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perm_storV_dT/"/>
    </mc:Choice>
  </mc:AlternateContent>
  <xr:revisionPtr revIDLastSave="0" documentId="8_{548C3E54-80E8-4505-9CB8-7C57DAF7458C}" xr6:coauthVersionLast="47" xr6:coauthVersionMax="47" xr10:uidLastSave="{00000000-0000-0000-0000-000000000000}"/>
  <bookViews>
    <workbookView xWindow="1515" yWindow="3210" windowWidth="21600" windowHeight="11385" xr2:uid="{CDCB0C30-5980-417C-B45E-9B7E1E847A9A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54" i="1" l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<sst xmlns="http://schemas.openxmlformats.org/spreadsheetml/2006/main" count="15" uniqueCount="15">
  <si>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MODEL\SCENARIOS\2022\Parameterstudy_perm_storV_dT\perm50_V600_dt40.sr3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</si>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</sst>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A38604-0135-4505-9947-C645AF353565}" name="Table1" displayName="Table1" ref="A3:N2254" totalsRowShown="0">
  <autoFilter ref="A3:N2254" xr:uid="{5EA38604-0135-4505-9947-C645AF353565}"/>
  <tableColumns count="14">
    <tableColumn id="1" xr3:uid="{E59A7F5E-EE51-4D80-8F99-3235F25ECA74}" name="Time (day)"/>
    <tableColumn id="2" xr3:uid="{E62F986D-7572-4E23-9F04-5C454FF3241B}" name="Date" dataDxfId="0"/>
    <tableColumn id="3" xr3:uid="{15F641CA-AA99-4E6C-BA1B-CF0D730B05AD}" name="Hot well INJ-Well bottom hole temperature (C)"/>
    <tableColumn id="4" xr3:uid="{E6CDECEE-B18C-4619-B391-563F38188A45}" name="Hot well PROD-Well bottom hole temperature (C)"/>
    <tableColumn id="5" xr3:uid="{E88BCF2A-8E1C-4019-AA25-9D7B87023E5A}" name="Warm well INJ-Well bottom hole temperature (C)"/>
    <tableColumn id="6" xr3:uid="{191F026B-571C-4AA0-8301-2887B5647468}" name="Warm well PROD-Well bottom hole temperature (C)"/>
    <tableColumn id="7" xr3:uid="{7C5F1BE2-650E-4BE6-BD5F-6EB671DC7E9F}" name="Hot well INJ-Well Bottom-hole Pressure (kPa)"/>
    <tableColumn id="8" xr3:uid="{507281A4-FF85-47B1-93AC-BDD5F55CF615}" name="Hot well PROD-Well Bottom-hole Pressure (kPa)"/>
    <tableColumn id="9" xr3:uid="{A1B598CB-BDE8-4E6E-966B-9BDD418FBDC0}" name="Warm well INJ-Well Bottom-hole Pressure (kPa)"/>
    <tableColumn id="10" xr3:uid="{0847EE90-6EAE-4C68-8996-D54233369944}" name="Warm well PROD-Well Bottom-hole Pressure (kPa)"/>
    <tableColumn id="11" xr3:uid="{F6764FDB-3DE2-4F8B-AFF8-C25BFE618EC3}" name="Hot well INJ-Fluid Rate SC (m³/day)"/>
    <tableColumn id="12" xr3:uid="{F0D69042-D9CD-4C43-8B9C-7FF67562BC9E}" name="Hot well PROD-Fluid Rate SC (m³/day)"/>
    <tableColumn id="13" xr3:uid="{4590D0E8-AED3-4521-9797-ED3544565C9E}" name="Warm well INJ-Fluid Rate SC (m³/day)"/>
    <tableColumn id="14" xr3:uid="{874F1077-8D6A-4F60-B533-4D864FDBEE0D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22FDD-0663-4536-86EA-143E21B3F6CB}">
  <dimension ref="A1:N2254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15.000079155</v>
      </c>
      <c r="E4">
        <v>40</v>
      </c>
      <c r="F4">
        <v>14.999971390000001</v>
      </c>
      <c r="G4">
        <v>1335.1103516000001</v>
      </c>
      <c r="H4">
        <v>1329.6895752</v>
      </c>
      <c r="I4">
        <v>1329.1309814000001</v>
      </c>
      <c r="J4">
        <v>1323.7093506000001</v>
      </c>
      <c r="K4">
        <v>1650</v>
      </c>
      <c r="L4">
        <v>0</v>
      </c>
      <c r="M4">
        <v>0</v>
      </c>
      <c r="N4">
        <v>1650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15.000297546000001</v>
      </c>
      <c r="E5">
        <v>40</v>
      </c>
      <c r="F5">
        <v>14.999903679000001</v>
      </c>
      <c r="G5">
        <v>1335.7672118999999</v>
      </c>
      <c r="H5">
        <v>1330.3463135</v>
      </c>
      <c r="I5">
        <v>1328.4770507999999</v>
      </c>
      <c r="J5">
        <v>1323.0555420000001</v>
      </c>
      <c r="K5">
        <v>1650</v>
      </c>
      <c r="L5">
        <v>0</v>
      </c>
      <c r="M5">
        <v>0</v>
      </c>
      <c r="N5">
        <v>1650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15.000872612</v>
      </c>
      <c r="E6">
        <v>40</v>
      </c>
      <c r="F6">
        <v>14.99978447</v>
      </c>
      <c r="G6">
        <v>1336.9377440999999</v>
      </c>
      <c r="H6">
        <v>1331.5169678</v>
      </c>
      <c r="I6">
        <v>1327.3114014</v>
      </c>
      <c r="J6">
        <v>1321.8898925999999</v>
      </c>
      <c r="K6">
        <v>1650</v>
      </c>
      <c r="L6">
        <v>0</v>
      </c>
      <c r="M6">
        <v>0</v>
      </c>
      <c r="N6">
        <v>1650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15.002388</v>
      </c>
      <c r="E7">
        <v>40</v>
      </c>
      <c r="F7">
        <v>14.999629973999999</v>
      </c>
      <c r="G7">
        <v>1338.4410399999999</v>
      </c>
      <c r="H7">
        <v>1333.0203856999999</v>
      </c>
      <c r="I7">
        <v>1325.8143310999999</v>
      </c>
      <c r="J7">
        <v>1320.3929443</v>
      </c>
      <c r="K7">
        <v>1650</v>
      </c>
      <c r="L7">
        <v>0</v>
      </c>
      <c r="M7">
        <v>0</v>
      </c>
      <c r="N7">
        <v>1650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15.006632805000001</v>
      </c>
      <c r="E8">
        <v>40</v>
      </c>
      <c r="F8">
        <v>14.999469757</v>
      </c>
      <c r="G8">
        <v>1340.0075684000001</v>
      </c>
      <c r="H8">
        <v>1334.5875243999999</v>
      </c>
      <c r="I8">
        <v>1324.2536620999999</v>
      </c>
      <c r="J8">
        <v>1318.8323975000001</v>
      </c>
      <c r="K8">
        <v>1650</v>
      </c>
      <c r="L8">
        <v>0</v>
      </c>
      <c r="M8">
        <v>0</v>
      </c>
      <c r="N8">
        <v>1650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15.019041060999999</v>
      </c>
      <c r="E9">
        <v>40</v>
      </c>
      <c r="F9">
        <v>14.999310492999999</v>
      </c>
      <c r="G9">
        <v>1341.5605469</v>
      </c>
      <c r="H9">
        <v>1336.1422118999999</v>
      </c>
      <c r="I9">
        <v>1322.7049560999999</v>
      </c>
      <c r="J9">
        <v>1317.2836914</v>
      </c>
      <c r="K9">
        <v>1650</v>
      </c>
      <c r="L9">
        <v>0</v>
      </c>
      <c r="M9">
        <v>0</v>
      </c>
      <c r="N9">
        <v>1650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15.055921554999999</v>
      </c>
      <c r="E10">
        <v>40</v>
      </c>
      <c r="F10">
        <v>14.999156952</v>
      </c>
      <c r="G10">
        <v>1343.0605469</v>
      </c>
      <c r="H10">
        <v>1337.6473389</v>
      </c>
      <c r="I10">
        <v>1321.2041016000001</v>
      </c>
      <c r="J10">
        <v>1315.7828368999999</v>
      </c>
      <c r="K10">
        <v>1650</v>
      </c>
      <c r="L10">
        <v>0</v>
      </c>
      <c r="M10">
        <v>0</v>
      </c>
      <c r="N10">
        <v>1650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15.166059494000001</v>
      </c>
      <c r="E11">
        <v>40</v>
      </c>
      <c r="F11">
        <v>14.999028206</v>
      </c>
      <c r="G11">
        <v>1344.3063964999999</v>
      </c>
      <c r="H11">
        <v>1338.9083252</v>
      </c>
      <c r="I11">
        <v>1319.9456786999999</v>
      </c>
      <c r="J11">
        <v>1314.5242920000001</v>
      </c>
      <c r="K11">
        <v>1650</v>
      </c>
      <c r="L11">
        <v>0</v>
      </c>
      <c r="M11">
        <v>0</v>
      </c>
      <c r="N11">
        <v>1650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15.494649887</v>
      </c>
      <c r="E12">
        <v>40</v>
      </c>
      <c r="F12">
        <v>14.998952866</v>
      </c>
      <c r="G12">
        <v>1345.0266113</v>
      </c>
      <c r="H12">
        <v>1339.6735839999999</v>
      </c>
      <c r="I12">
        <v>1319.1981201000001</v>
      </c>
      <c r="J12">
        <v>1313.7768555</v>
      </c>
      <c r="K12">
        <v>1650</v>
      </c>
      <c r="L12">
        <v>0</v>
      </c>
      <c r="M12">
        <v>0</v>
      </c>
      <c r="N12">
        <v>1650</v>
      </c>
    </row>
    <row r="13" spans="1:14" x14ac:dyDescent="0.25">
      <c r="A13">
        <v>2.9524000000000002E-2</v>
      </c>
      <c r="B13" s="1">
        <f>DATE(2010,5,1) + TIME(0,42,30)</f>
        <v>40299.029513888891</v>
      </c>
      <c r="C13">
        <v>80</v>
      </c>
      <c r="D13">
        <v>16.46792984</v>
      </c>
      <c r="E13">
        <v>40</v>
      </c>
      <c r="F13">
        <v>14.998933792000001</v>
      </c>
      <c r="G13">
        <v>1345.1447754000001</v>
      </c>
      <c r="H13">
        <v>1339.9211425999999</v>
      </c>
      <c r="I13">
        <v>1318.9652100000001</v>
      </c>
      <c r="J13">
        <v>1313.5438231999999</v>
      </c>
      <c r="K13">
        <v>1650</v>
      </c>
      <c r="L13">
        <v>0</v>
      </c>
      <c r="M13">
        <v>0</v>
      </c>
      <c r="N13">
        <v>1650</v>
      </c>
    </row>
    <row r="14" spans="1:14" x14ac:dyDescent="0.25">
      <c r="A14">
        <v>4.9747E-2</v>
      </c>
      <c r="B14" s="1">
        <f>DATE(2010,5,1) + TIME(1,11,38)</f>
        <v>40299.049745370372</v>
      </c>
      <c r="C14">
        <v>80</v>
      </c>
      <c r="D14">
        <v>17.457036972000001</v>
      </c>
      <c r="E14">
        <v>40</v>
      </c>
      <c r="F14">
        <v>14.998936652999999</v>
      </c>
      <c r="G14">
        <v>1345.0368652</v>
      </c>
      <c r="H14">
        <v>1339.9294434000001</v>
      </c>
      <c r="I14">
        <v>1318.9426269999999</v>
      </c>
      <c r="J14">
        <v>1313.5213623</v>
      </c>
      <c r="K14">
        <v>1650</v>
      </c>
      <c r="L14">
        <v>0</v>
      </c>
      <c r="M14">
        <v>0</v>
      </c>
      <c r="N14">
        <v>1650</v>
      </c>
    </row>
    <row r="15" spans="1:14" x14ac:dyDescent="0.25">
      <c r="A15">
        <v>7.0193000000000005E-2</v>
      </c>
      <c r="B15" s="1">
        <f>DATE(2010,5,1) + TIME(1,41,4)</f>
        <v>40299.070185185185</v>
      </c>
      <c r="C15">
        <v>80</v>
      </c>
      <c r="D15">
        <v>18.446352005000001</v>
      </c>
      <c r="E15">
        <v>40</v>
      </c>
      <c r="F15">
        <v>14.998941422</v>
      </c>
      <c r="G15">
        <v>1344.8967285000001</v>
      </c>
      <c r="H15">
        <v>1339.8994141000001</v>
      </c>
      <c r="I15">
        <v>1318.9428711</v>
      </c>
      <c r="J15">
        <v>1313.5213623</v>
      </c>
      <c r="K15">
        <v>1650</v>
      </c>
      <c r="L15">
        <v>0</v>
      </c>
      <c r="M15">
        <v>0</v>
      </c>
      <c r="N15">
        <v>1650</v>
      </c>
    </row>
    <row r="16" spans="1:14" x14ac:dyDescent="0.25">
      <c r="A16">
        <v>9.0859999999999996E-2</v>
      </c>
      <c r="B16" s="1">
        <f>DATE(2010,5,1) + TIME(2,10,50)</f>
        <v>40299.090856481482</v>
      </c>
      <c r="C16">
        <v>80</v>
      </c>
      <c r="D16">
        <v>19.435661316000001</v>
      </c>
      <c r="E16">
        <v>40</v>
      </c>
      <c r="F16">
        <v>14.99894619</v>
      </c>
      <c r="G16">
        <v>1344.7579346</v>
      </c>
      <c r="H16">
        <v>1339.8648682</v>
      </c>
      <c r="I16">
        <v>1318.9443358999999</v>
      </c>
      <c r="J16">
        <v>1313.5228271000001</v>
      </c>
      <c r="K16">
        <v>1650</v>
      </c>
      <c r="L16">
        <v>0</v>
      </c>
      <c r="M16">
        <v>0</v>
      </c>
      <c r="N16">
        <v>1650</v>
      </c>
    </row>
    <row r="17" spans="1:14" x14ac:dyDescent="0.25">
      <c r="A17">
        <v>0.111751</v>
      </c>
      <c r="B17" s="1">
        <f>DATE(2010,5,1) + TIME(2,40,55)</f>
        <v>40299.111747685187</v>
      </c>
      <c r="C17">
        <v>80</v>
      </c>
      <c r="D17">
        <v>20.425333023</v>
      </c>
      <c r="E17">
        <v>40</v>
      </c>
      <c r="F17">
        <v>14.998950958</v>
      </c>
      <c r="G17">
        <v>1344.6268310999999</v>
      </c>
      <c r="H17">
        <v>1339.8325195</v>
      </c>
      <c r="I17">
        <v>1318.9453125</v>
      </c>
      <c r="J17">
        <v>1313.5238036999999</v>
      </c>
      <c r="K17">
        <v>1650</v>
      </c>
      <c r="L17">
        <v>0</v>
      </c>
      <c r="M17">
        <v>0</v>
      </c>
      <c r="N17">
        <v>1650</v>
      </c>
    </row>
    <row r="18" spans="1:14" x14ac:dyDescent="0.25">
      <c r="A18">
        <v>0.132859</v>
      </c>
      <c r="B18" s="1">
        <f>DATE(2010,5,1) + TIME(3,11,19)</f>
        <v>40299.1328587963</v>
      </c>
      <c r="C18">
        <v>80</v>
      </c>
      <c r="D18">
        <v>21.415121077999999</v>
      </c>
      <c r="E18">
        <v>40</v>
      </c>
      <c r="F18">
        <v>14.998954772999999</v>
      </c>
      <c r="G18">
        <v>1344.5042725000001</v>
      </c>
      <c r="H18">
        <v>1339.8035889</v>
      </c>
      <c r="I18">
        <v>1318.9461670000001</v>
      </c>
      <c r="J18">
        <v>1313.5244141000001</v>
      </c>
      <c r="K18">
        <v>1650</v>
      </c>
      <c r="L18">
        <v>0</v>
      </c>
      <c r="M18">
        <v>0</v>
      </c>
      <c r="N18">
        <v>1650</v>
      </c>
    </row>
    <row r="19" spans="1:14" x14ac:dyDescent="0.25">
      <c r="A19">
        <v>0.15418499999999999</v>
      </c>
      <c r="B19" s="1">
        <f>DATE(2010,5,1) + TIME(3,42,1)</f>
        <v>40299.154178240744</v>
      </c>
      <c r="C19">
        <v>80</v>
      </c>
      <c r="D19">
        <v>22.404388428000001</v>
      </c>
      <c r="E19">
        <v>40</v>
      </c>
      <c r="F19">
        <v>14.998959541</v>
      </c>
      <c r="G19">
        <v>1344.3902588000001</v>
      </c>
      <c r="H19">
        <v>1339.7784423999999</v>
      </c>
      <c r="I19">
        <v>1318.9468993999999</v>
      </c>
      <c r="J19">
        <v>1313.5250243999999</v>
      </c>
      <c r="K19">
        <v>1650</v>
      </c>
      <c r="L19">
        <v>0</v>
      </c>
      <c r="M19">
        <v>0</v>
      </c>
      <c r="N19">
        <v>1650</v>
      </c>
    </row>
    <row r="20" spans="1:14" x14ac:dyDescent="0.25">
      <c r="A20">
        <v>0.17574200000000001</v>
      </c>
      <c r="B20" s="1">
        <f>DATE(2010,5,1) + TIME(4,13,4)</f>
        <v>40299.175740740742</v>
      </c>
      <c r="C20">
        <v>80</v>
      </c>
      <c r="D20">
        <v>23.393604279000002</v>
      </c>
      <c r="E20">
        <v>40</v>
      </c>
      <c r="F20">
        <v>14.99896431</v>
      </c>
      <c r="G20">
        <v>1344.2845459</v>
      </c>
      <c r="H20">
        <v>1339.7568358999999</v>
      </c>
      <c r="I20">
        <v>1318.9475098</v>
      </c>
      <c r="J20">
        <v>1313.5256348</v>
      </c>
      <c r="K20">
        <v>1650</v>
      </c>
      <c r="L20">
        <v>0</v>
      </c>
      <c r="M20">
        <v>0</v>
      </c>
      <c r="N20">
        <v>1650</v>
      </c>
    </row>
    <row r="21" spans="1:14" x14ac:dyDescent="0.25">
      <c r="A21">
        <v>0.19753499999999999</v>
      </c>
      <c r="B21" s="1">
        <f>DATE(2010,5,1) + TIME(4,44,27)</f>
        <v>40299.197534722225</v>
      </c>
      <c r="C21">
        <v>80</v>
      </c>
      <c r="D21">
        <v>24.382757186999999</v>
      </c>
      <c r="E21">
        <v>40</v>
      </c>
      <c r="F21">
        <v>14.998969078</v>
      </c>
      <c r="G21">
        <v>1344.1866454999999</v>
      </c>
      <c r="H21">
        <v>1339.7386475000001</v>
      </c>
      <c r="I21">
        <v>1318.9482422000001</v>
      </c>
      <c r="J21">
        <v>1313.5261230000001</v>
      </c>
      <c r="K21">
        <v>1650</v>
      </c>
      <c r="L21">
        <v>0</v>
      </c>
      <c r="M21">
        <v>0</v>
      </c>
      <c r="N21">
        <v>1650</v>
      </c>
    </row>
    <row r="22" spans="1:14" x14ac:dyDescent="0.25">
      <c r="A22">
        <v>0.21956600000000001</v>
      </c>
      <c r="B22" s="1">
        <f>DATE(2010,5,1) + TIME(5,16,10)</f>
        <v>40299.219560185185</v>
      </c>
      <c r="C22">
        <v>80</v>
      </c>
      <c r="D22">
        <v>25.372085571</v>
      </c>
      <c r="E22">
        <v>40</v>
      </c>
      <c r="F22">
        <v>14.998973846</v>
      </c>
      <c r="G22">
        <v>1344.0961914</v>
      </c>
      <c r="H22">
        <v>1339.7238769999999</v>
      </c>
      <c r="I22">
        <v>1318.9488524999999</v>
      </c>
      <c r="J22">
        <v>1313.5266113</v>
      </c>
      <c r="K22">
        <v>1650</v>
      </c>
      <c r="L22">
        <v>0</v>
      </c>
      <c r="M22">
        <v>0</v>
      </c>
      <c r="N22">
        <v>1650</v>
      </c>
    </row>
    <row r="23" spans="1:14" x14ac:dyDescent="0.25">
      <c r="A23">
        <v>0.24183499999999999</v>
      </c>
      <c r="B23" s="1">
        <f>DATE(2010,5,1) + TIME(5,48,14)</f>
        <v>40299.241828703707</v>
      </c>
      <c r="C23">
        <v>80</v>
      </c>
      <c r="D23">
        <v>26.361499786</v>
      </c>
      <c r="E23">
        <v>40</v>
      </c>
      <c r="F23">
        <v>14.998978615</v>
      </c>
      <c r="G23">
        <v>1344.0128173999999</v>
      </c>
      <c r="H23">
        <v>1339.7124022999999</v>
      </c>
      <c r="I23">
        <v>1318.9494629000001</v>
      </c>
      <c r="J23">
        <v>1313.5270995999999</v>
      </c>
      <c r="K23">
        <v>1650</v>
      </c>
      <c r="L23">
        <v>0</v>
      </c>
      <c r="M23">
        <v>0</v>
      </c>
      <c r="N23">
        <v>1650</v>
      </c>
    </row>
    <row r="24" spans="1:14" x14ac:dyDescent="0.25">
      <c r="A24">
        <v>0.26434200000000002</v>
      </c>
      <c r="B24" s="1">
        <f>DATE(2010,5,1) + TIME(6,20,39)</f>
        <v>40299.264340277776</v>
      </c>
      <c r="C24">
        <v>80</v>
      </c>
      <c r="D24">
        <v>27.350402832</v>
      </c>
      <c r="E24">
        <v>40</v>
      </c>
      <c r="F24">
        <v>14.99898243</v>
      </c>
      <c r="G24">
        <v>1343.9362793</v>
      </c>
      <c r="H24">
        <v>1339.7039795000001</v>
      </c>
      <c r="I24">
        <v>1318.9499512</v>
      </c>
      <c r="J24">
        <v>1313.5275879000001</v>
      </c>
      <c r="K24">
        <v>1650</v>
      </c>
      <c r="L24">
        <v>0</v>
      </c>
      <c r="M24">
        <v>0</v>
      </c>
      <c r="N24">
        <v>1650</v>
      </c>
    </row>
    <row r="25" spans="1:14" x14ac:dyDescent="0.25">
      <c r="A25">
        <v>0.28710200000000002</v>
      </c>
      <c r="B25" s="1">
        <f>DATE(2010,5,1) + TIME(6,53,25)</f>
        <v>40299.287094907406</v>
      </c>
      <c r="C25">
        <v>80</v>
      </c>
      <c r="D25">
        <v>28.339178085</v>
      </c>
      <c r="E25">
        <v>40</v>
      </c>
      <c r="F25">
        <v>14.998987198</v>
      </c>
      <c r="G25">
        <v>1343.8662108999999</v>
      </c>
      <c r="H25">
        <v>1339.6986084</v>
      </c>
      <c r="I25">
        <v>1318.9505615</v>
      </c>
      <c r="J25">
        <v>1313.5279541</v>
      </c>
      <c r="K25">
        <v>1650</v>
      </c>
      <c r="L25">
        <v>0</v>
      </c>
      <c r="M25">
        <v>0</v>
      </c>
      <c r="N25">
        <v>1650</v>
      </c>
    </row>
    <row r="26" spans="1:14" x14ac:dyDescent="0.25">
      <c r="A26">
        <v>0.31012099999999998</v>
      </c>
      <c r="B26" s="1">
        <f>DATE(2010,5,1) + TIME(7,26,34)</f>
        <v>40299.310115740744</v>
      </c>
      <c r="C26">
        <v>80</v>
      </c>
      <c r="D26">
        <v>29.327806472999999</v>
      </c>
      <c r="E26">
        <v>40</v>
      </c>
      <c r="F26">
        <v>14.998991966</v>
      </c>
      <c r="G26">
        <v>1343.8022461</v>
      </c>
      <c r="H26">
        <v>1339.6959228999999</v>
      </c>
      <c r="I26">
        <v>1318.9511719</v>
      </c>
      <c r="J26">
        <v>1313.5283202999999</v>
      </c>
      <c r="K26">
        <v>1650</v>
      </c>
      <c r="L26">
        <v>0</v>
      </c>
      <c r="M26">
        <v>0</v>
      </c>
      <c r="N26">
        <v>1650</v>
      </c>
    </row>
    <row r="27" spans="1:14" x14ac:dyDescent="0.25">
      <c r="A27">
        <v>0.33340399999999998</v>
      </c>
      <c r="B27" s="1">
        <f>DATE(2010,5,1) + TIME(8,0,6)</f>
        <v>40299.333402777775</v>
      </c>
      <c r="C27">
        <v>80</v>
      </c>
      <c r="D27">
        <v>30.316341399999999</v>
      </c>
      <c r="E27">
        <v>40</v>
      </c>
      <c r="F27">
        <v>14.998996735</v>
      </c>
      <c r="G27">
        <v>1343.7441406</v>
      </c>
      <c r="H27">
        <v>1339.6960449000001</v>
      </c>
      <c r="I27">
        <v>1318.9516602000001</v>
      </c>
      <c r="J27">
        <v>1313.5286865</v>
      </c>
      <c r="K27">
        <v>1650</v>
      </c>
      <c r="L27">
        <v>0</v>
      </c>
      <c r="M27">
        <v>0</v>
      </c>
      <c r="N27">
        <v>1650</v>
      </c>
    </row>
    <row r="28" spans="1:14" x14ac:dyDescent="0.25">
      <c r="A28">
        <v>0.35695700000000002</v>
      </c>
      <c r="B28" s="1">
        <f>DATE(2010,5,1) + TIME(8,34,1)</f>
        <v>40299.356956018521</v>
      </c>
      <c r="C28">
        <v>80</v>
      </c>
      <c r="D28">
        <v>31.304775238000001</v>
      </c>
      <c r="E28">
        <v>40</v>
      </c>
      <c r="F28">
        <v>14.999000549</v>
      </c>
      <c r="G28">
        <v>1343.6915283000001</v>
      </c>
      <c r="H28">
        <v>1339.6987305</v>
      </c>
      <c r="I28">
        <v>1318.9521483999999</v>
      </c>
      <c r="J28">
        <v>1313.5290527</v>
      </c>
      <c r="K28">
        <v>1650</v>
      </c>
      <c r="L28">
        <v>0</v>
      </c>
      <c r="M28">
        <v>0</v>
      </c>
      <c r="N28">
        <v>1650</v>
      </c>
    </row>
    <row r="29" spans="1:14" x14ac:dyDescent="0.25">
      <c r="A29">
        <v>0.38078499999999998</v>
      </c>
      <c r="B29" s="1">
        <f>DATE(2010,5,1) + TIME(9,8,19)</f>
        <v>40299.38077546296</v>
      </c>
      <c r="C29">
        <v>80</v>
      </c>
      <c r="D29">
        <v>32.292854308999999</v>
      </c>
      <c r="E29">
        <v>40</v>
      </c>
      <c r="F29">
        <v>14.999005318</v>
      </c>
      <c r="G29">
        <v>1343.6442870999999</v>
      </c>
      <c r="H29">
        <v>1339.7039795000001</v>
      </c>
      <c r="I29">
        <v>1318.9527588000001</v>
      </c>
      <c r="J29">
        <v>1313.5294189000001</v>
      </c>
      <c r="K29">
        <v>1650</v>
      </c>
      <c r="L29">
        <v>0</v>
      </c>
      <c r="M29">
        <v>0</v>
      </c>
      <c r="N29">
        <v>1650</v>
      </c>
    </row>
    <row r="30" spans="1:14" x14ac:dyDescent="0.25">
      <c r="A30">
        <v>0.40490100000000001</v>
      </c>
      <c r="B30" s="1">
        <f>DATE(2010,5,1) + TIME(9,43,3)</f>
        <v>40299.404895833337</v>
      </c>
      <c r="C30">
        <v>80</v>
      </c>
      <c r="D30">
        <v>33.280700684000003</v>
      </c>
      <c r="E30">
        <v>40</v>
      </c>
      <c r="F30">
        <v>14.999010086</v>
      </c>
      <c r="G30">
        <v>1343.6020507999999</v>
      </c>
      <c r="H30">
        <v>1339.7116699000001</v>
      </c>
      <c r="I30">
        <v>1318.9532471</v>
      </c>
      <c r="J30">
        <v>1313.5297852000001</v>
      </c>
      <c r="K30">
        <v>1650</v>
      </c>
      <c r="L30">
        <v>0</v>
      </c>
      <c r="M30">
        <v>0</v>
      </c>
      <c r="N30">
        <v>1650</v>
      </c>
    </row>
    <row r="31" spans="1:14" x14ac:dyDescent="0.25">
      <c r="A31">
        <v>0.42931399999999997</v>
      </c>
      <c r="B31" s="1">
        <f>DATE(2010,5,1) + TIME(10,18,12)</f>
        <v>40299.429305555554</v>
      </c>
      <c r="C31">
        <v>80</v>
      </c>
      <c r="D31">
        <v>34.268287659000002</v>
      </c>
      <c r="E31">
        <v>40</v>
      </c>
      <c r="F31">
        <v>14.999014854</v>
      </c>
      <c r="G31">
        <v>1343.5646973</v>
      </c>
      <c r="H31">
        <v>1339.7215576000001</v>
      </c>
      <c r="I31">
        <v>1318.9537353999999</v>
      </c>
      <c r="J31">
        <v>1313.5300293</v>
      </c>
      <c r="K31">
        <v>1650</v>
      </c>
      <c r="L31">
        <v>0</v>
      </c>
      <c r="M31">
        <v>0</v>
      </c>
      <c r="N31">
        <v>1650</v>
      </c>
    </row>
    <row r="32" spans="1:14" x14ac:dyDescent="0.25">
      <c r="A32">
        <v>0.45403399999999999</v>
      </c>
      <c r="B32" s="1">
        <f>DATE(2010,5,1) + TIME(10,53,48)</f>
        <v>40299.454027777778</v>
      </c>
      <c r="C32">
        <v>80</v>
      </c>
      <c r="D32">
        <v>35.255596161</v>
      </c>
      <c r="E32">
        <v>40</v>
      </c>
      <c r="F32">
        <v>14.999018669</v>
      </c>
      <c r="G32">
        <v>1343.5318603999999</v>
      </c>
      <c r="H32">
        <v>1339.7336425999999</v>
      </c>
      <c r="I32">
        <v>1318.9542236</v>
      </c>
      <c r="J32">
        <v>1313.5302733999999</v>
      </c>
      <c r="K32">
        <v>1650</v>
      </c>
      <c r="L32">
        <v>0</v>
      </c>
      <c r="M32">
        <v>0</v>
      </c>
      <c r="N32">
        <v>1650</v>
      </c>
    </row>
    <row r="33" spans="1:14" x14ac:dyDescent="0.25">
      <c r="A33">
        <v>0.47907100000000002</v>
      </c>
      <c r="B33" s="1">
        <f>DATE(2010,5,1) + TIME(11,29,51)</f>
        <v>40299.479062500002</v>
      </c>
      <c r="C33">
        <v>80</v>
      </c>
      <c r="D33">
        <v>36.242599487</v>
      </c>
      <c r="E33">
        <v>40</v>
      </c>
      <c r="F33">
        <v>14.999023438</v>
      </c>
      <c r="G33">
        <v>1343.503418</v>
      </c>
      <c r="H33">
        <v>1339.7478027</v>
      </c>
      <c r="I33">
        <v>1318.9547118999999</v>
      </c>
      <c r="J33">
        <v>1313.5306396000001</v>
      </c>
      <c r="K33">
        <v>1650</v>
      </c>
      <c r="L33">
        <v>0</v>
      </c>
      <c r="M33">
        <v>0</v>
      </c>
      <c r="N33">
        <v>1650</v>
      </c>
    </row>
    <row r="34" spans="1:14" x14ac:dyDescent="0.25">
      <c r="A34">
        <v>0.50443899999999997</v>
      </c>
      <c r="B34" s="1">
        <f>DATE(2010,5,1) + TIME(12,6,23)</f>
        <v>40299.504432870373</v>
      </c>
      <c r="C34">
        <v>80</v>
      </c>
      <c r="D34">
        <v>37.229263306</v>
      </c>
      <c r="E34">
        <v>40</v>
      </c>
      <c r="F34">
        <v>14.999027251999999</v>
      </c>
      <c r="G34">
        <v>1343.479126</v>
      </c>
      <c r="H34">
        <v>1339.7639160000001</v>
      </c>
      <c r="I34">
        <v>1318.9552002</v>
      </c>
      <c r="J34">
        <v>1313.5308838000001</v>
      </c>
      <c r="K34">
        <v>1650</v>
      </c>
      <c r="L34">
        <v>0</v>
      </c>
      <c r="M34">
        <v>0</v>
      </c>
      <c r="N34">
        <v>1650</v>
      </c>
    </row>
    <row r="35" spans="1:14" x14ac:dyDescent="0.25">
      <c r="A35">
        <v>0.53014899999999998</v>
      </c>
      <c r="B35" s="1">
        <f>DATE(2010,5,1) + TIME(12,43,24)</f>
        <v>40299.530138888891</v>
      </c>
      <c r="C35">
        <v>80</v>
      </c>
      <c r="D35">
        <v>38.215564727999997</v>
      </c>
      <c r="E35">
        <v>40</v>
      </c>
      <c r="F35">
        <v>14.999032021</v>
      </c>
      <c r="G35">
        <v>1343.4587402</v>
      </c>
      <c r="H35">
        <v>1339.7819824000001</v>
      </c>
      <c r="I35">
        <v>1318.9555664</v>
      </c>
      <c r="J35">
        <v>1313.5311279</v>
      </c>
      <c r="K35">
        <v>1650</v>
      </c>
      <c r="L35">
        <v>0</v>
      </c>
      <c r="M35">
        <v>0</v>
      </c>
      <c r="N35">
        <v>1650</v>
      </c>
    </row>
    <row r="36" spans="1:14" x14ac:dyDescent="0.25">
      <c r="A36">
        <v>0.55621600000000004</v>
      </c>
      <c r="B36" s="1">
        <f>DATE(2010,5,1) + TIME(13,20,57)</f>
        <v>40299.556215277778</v>
      </c>
      <c r="C36">
        <v>80</v>
      </c>
      <c r="D36">
        <v>39.201473235999998</v>
      </c>
      <c r="E36">
        <v>40</v>
      </c>
      <c r="F36">
        <v>14.999036789</v>
      </c>
      <c r="G36">
        <v>1343.4421387</v>
      </c>
      <c r="H36">
        <v>1339.8018798999999</v>
      </c>
      <c r="I36">
        <v>1318.9560547000001</v>
      </c>
      <c r="J36">
        <v>1313.53125</v>
      </c>
      <c r="K36">
        <v>1650</v>
      </c>
      <c r="L36">
        <v>0</v>
      </c>
      <c r="M36">
        <v>0</v>
      </c>
      <c r="N36">
        <v>1650</v>
      </c>
    </row>
    <row r="37" spans="1:14" x14ac:dyDescent="0.25">
      <c r="A37">
        <v>0.58265500000000003</v>
      </c>
      <c r="B37" s="1">
        <f>DATE(2010,5,1) + TIME(13,59,1)</f>
        <v>40299.582650462966</v>
      </c>
      <c r="C37">
        <v>80</v>
      </c>
      <c r="D37">
        <v>40.186996460000003</v>
      </c>
      <c r="E37">
        <v>40</v>
      </c>
      <c r="F37">
        <v>14.999040603999999</v>
      </c>
      <c r="G37">
        <v>1343.4291992000001</v>
      </c>
      <c r="H37">
        <v>1339.8234863</v>
      </c>
      <c r="I37">
        <v>1318.956543</v>
      </c>
      <c r="J37">
        <v>1313.5314940999999</v>
      </c>
      <c r="K37">
        <v>1650</v>
      </c>
      <c r="L37">
        <v>0</v>
      </c>
      <c r="M37">
        <v>0</v>
      </c>
      <c r="N37">
        <v>1650</v>
      </c>
    </row>
    <row r="38" spans="1:14" x14ac:dyDescent="0.25">
      <c r="A38">
        <v>0.609483</v>
      </c>
      <c r="B38" s="1">
        <f>DATE(2010,5,1) + TIME(14,37,39)</f>
        <v>40299.609479166669</v>
      </c>
      <c r="C38">
        <v>80</v>
      </c>
      <c r="D38">
        <v>41.172206879000001</v>
      </c>
      <c r="E38">
        <v>40</v>
      </c>
      <c r="F38">
        <v>14.999045371999999</v>
      </c>
      <c r="G38">
        <v>1343.4196777</v>
      </c>
      <c r="H38">
        <v>1339.8466797000001</v>
      </c>
      <c r="I38">
        <v>1318.9569091999999</v>
      </c>
      <c r="J38">
        <v>1313.5317382999999</v>
      </c>
      <c r="K38">
        <v>1650</v>
      </c>
      <c r="L38">
        <v>0</v>
      </c>
      <c r="M38">
        <v>0</v>
      </c>
      <c r="N38">
        <v>1650</v>
      </c>
    </row>
    <row r="39" spans="1:14" x14ac:dyDescent="0.25">
      <c r="A39">
        <v>0.636714</v>
      </c>
      <c r="B39" s="1">
        <f>DATE(2010,5,1) + TIME(15,16,52)</f>
        <v>40299.636712962965</v>
      </c>
      <c r="C39">
        <v>80</v>
      </c>
      <c r="D39">
        <v>42.156745911000002</v>
      </c>
      <c r="E39">
        <v>40</v>
      </c>
      <c r="F39">
        <v>14.99905014</v>
      </c>
      <c r="G39">
        <v>1343.4133300999999</v>
      </c>
      <c r="H39">
        <v>1339.871582</v>
      </c>
      <c r="I39">
        <v>1318.9573975000001</v>
      </c>
      <c r="J39">
        <v>1313.5318603999999</v>
      </c>
      <c r="K39">
        <v>1650</v>
      </c>
      <c r="L39">
        <v>0</v>
      </c>
      <c r="M39">
        <v>0</v>
      </c>
      <c r="N39">
        <v>1650</v>
      </c>
    </row>
    <row r="40" spans="1:14" x14ac:dyDescent="0.25">
      <c r="A40">
        <v>0.66437299999999999</v>
      </c>
      <c r="B40" s="1">
        <f>DATE(2010,5,1) + TIME(15,56,41)</f>
        <v>40299.664363425924</v>
      </c>
      <c r="C40">
        <v>80</v>
      </c>
      <c r="D40">
        <v>43.140750885000003</v>
      </c>
      <c r="E40">
        <v>40</v>
      </c>
      <c r="F40">
        <v>14.999053955000001</v>
      </c>
      <c r="G40">
        <v>1343.4100341999999</v>
      </c>
      <c r="H40">
        <v>1339.8979492000001</v>
      </c>
      <c r="I40">
        <v>1318.9577637</v>
      </c>
      <c r="J40">
        <v>1313.5321045000001</v>
      </c>
      <c r="K40">
        <v>1650</v>
      </c>
      <c r="L40">
        <v>0</v>
      </c>
      <c r="M40">
        <v>0</v>
      </c>
      <c r="N40">
        <v>1650</v>
      </c>
    </row>
    <row r="41" spans="1:14" x14ac:dyDescent="0.25">
      <c r="A41">
        <v>0.69248100000000001</v>
      </c>
      <c r="B41" s="1">
        <f>DATE(2010,5,1) + TIME(16,37,10)</f>
        <v>40299.692476851851</v>
      </c>
      <c r="C41">
        <v>80</v>
      </c>
      <c r="D41">
        <v>44.124187468999999</v>
      </c>
      <c r="E41">
        <v>40</v>
      </c>
      <c r="F41">
        <v>14.999058722999999</v>
      </c>
      <c r="G41">
        <v>1343.4097899999999</v>
      </c>
      <c r="H41">
        <v>1339.9256591999999</v>
      </c>
      <c r="I41">
        <v>1318.9582519999999</v>
      </c>
      <c r="J41">
        <v>1313.5322266000001</v>
      </c>
      <c r="K41">
        <v>1650</v>
      </c>
      <c r="L41">
        <v>0</v>
      </c>
      <c r="M41">
        <v>0</v>
      </c>
      <c r="N41">
        <v>1650</v>
      </c>
    </row>
    <row r="42" spans="1:14" x14ac:dyDescent="0.25">
      <c r="A42">
        <v>0.72106199999999998</v>
      </c>
      <c r="B42" s="1">
        <f>DATE(2010,5,1) + TIME(17,18,19)</f>
        <v>40299.721053240741</v>
      </c>
      <c r="C42">
        <v>80</v>
      </c>
      <c r="D42">
        <v>45.107009888</v>
      </c>
      <c r="E42">
        <v>40</v>
      </c>
      <c r="F42">
        <v>14.999062538</v>
      </c>
      <c r="G42">
        <v>1343.4123535000001</v>
      </c>
      <c r="H42">
        <v>1339.9547118999999</v>
      </c>
      <c r="I42">
        <v>1318.9586182</v>
      </c>
      <c r="J42">
        <v>1313.5324707</v>
      </c>
      <c r="K42">
        <v>1650</v>
      </c>
      <c r="L42">
        <v>0</v>
      </c>
      <c r="M42">
        <v>0</v>
      </c>
      <c r="N42">
        <v>1650</v>
      </c>
    </row>
    <row r="43" spans="1:14" x14ac:dyDescent="0.25">
      <c r="A43">
        <v>0.750143</v>
      </c>
      <c r="B43" s="1">
        <f>DATE(2010,5,1) + TIME(18,0,12)</f>
        <v>40299.750138888892</v>
      </c>
      <c r="C43">
        <v>80</v>
      </c>
      <c r="D43">
        <v>46.089172363000003</v>
      </c>
      <c r="E43">
        <v>40</v>
      </c>
      <c r="F43">
        <v>14.999067307000001</v>
      </c>
      <c r="G43">
        <v>1343.4176024999999</v>
      </c>
      <c r="H43">
        <v>1339.9851074000001</v>
      </c>
      <c r="I43">
        <v>1318.9591064000001</v>
      </c>
      <c r="J43">
        <v>1313.5325928</v>
      </c>
      <c r="K43">
        <v>1650</v>
      </c>
      <c r="L43">
        <v>0</v>
      </c>
      <c r="M43">
        <v>0</v>
      </c>
      <c r="N43">
        <v>1650</v>
      </c>
    </row>
    <row r="44" spans="1:14" x14ac:dyDescent="0.25">
      <c r="A44">
        <v>0.779752</v>
      </c>
      <c r="B44" s="1">
        <f>DATE(2010,5,1) + TIME(18,42,50)</f>
        <v>40299.779745370368</v>
      </c>
      <c r="C44">
        <v>80</v>
      </c>
      <c r="D44">
        <v>47.070632934999999</v>
      </c>
      <c r="E44">
        <v>40</v>
      </c>
      <c r="F44">
        <v>14.999071121</v>
      </c>
      <c r="G44">
        <v>1343.4254149999999</v>
      </c>
      <c r="H44">
        <v>1340.0167236</v>
      </c>
      <c r="I44">
        <v>1318.9594727000001</v>
      </c>
      <c r="J44">
        <v>1313.5327147999999</v>
      </c>
      <c r="K44">
        <v>1650</v>
      </c>
      <c r="L44">
        <v>0</v>
      </c>
      <c r="M44">
        <v>0</v>
      </c>
      <c r="N44">
        <v>1650</v>
      </c>
    </row>
    <row r="45" spans="1:14" x14ac:dyDescent="0.25">
      <c r="A45">
        <v>0.809921</v>
      </c>
      <c r="B45" s="1">
        <f>DATE(2010,5,1) + TIME(19,26,17)</f>
        <v>40299.809918981482</v>
      </c>
      <c r="C45">
        <v>80</v>
      </c>
      <c r="D45">
        <v>48.051342009999999</v>
      </c>
      <c r="E45">
        <v>40</v>
      </c>
      <c r="F45">
        <v>14.99907589</v>
      </c>
      <c r="G45">
        <v>1343.4357910000001</v>
      </c>
      <c r="H45">
        <v>1340.0495605000001</v>
      </c>
      <c r="I45">
        <v>1318.9599608999999</v>
      </c>
      <c r="J45">
        <v>1313.5328368999999</v>
      </c>
      <c r="K45">
        <v>1650</v>
      </c>
      <c r="L45">
        <v>0</v>
      </c>
      <c r="M45">
        <v>0</v>
      </c>
      <c r="N45">
        <v>1650</v>
      </c>
    </row>
    <row r="46" spans="1:14" x14ac:dyDescent="0.25">
      <c r="A46">
        <v>0.84068200000000004</v>
      </c>
      <c r="B46" s="1">
        <f>DATE(2010,5,1) + TIME(20,10,34)</f>
        <v>40299.840671296297</v>
      </c>
      <c r="C46">
        <v>80</v>
      </c>
      <c r="D46">
        <v>49.031234740999999</v>
      </c>
      <c r="E46">
        <v>40</v>
      </c>
      <c r="F46">
        <v>14.999080658</v>
      </c>
      <c r="G46">
        <v>1343.4483643000001</v>
      </c>
      <c r="H46">
        <v>1340.083374</v>
      </c>
      <c r="I46">
        <v>1318.9603271000001</v>
      </c>
      <c r="J46">
        <v>1313.5330810999999</v>
      </c>
      <c r="K46">
        <v>1650</v>
      </c>
      <c r="L46">
        <v>0</v>
      </c>
      <c r="M46">
        <v>0</v>
      </c>
      <c r="N46">
        <v>1650</v>
      </c>
    </row>
    <row r="47" spans="1:14" x14ac:dyDescent="0.25">
      <c r="A47">
        <v>0.87207500000000004</v>
      </c>
      <c r="B47" s="1">
        <f>DATE(2010,5,1) + TIME(20,55,47)</f>
        <v>40299.872071759259</v>
      </c>
      <c r="C47">
        <v>80</v>
      </c>
      <c r="D47">
        <v>50.010257721000002</v>
      </c>
      <c r="E47">
        <v>40</v>
      </c>
      <c r="F47">
        <v>14.999084473</v>
      </c>
      <c r="G47">
        <v>1343.4631348</v>
      </c>
      <c r="H47">
        <v>1340.1182861</v>
      </c>
      <c r="I47">
        <v>1318.9606934000001</v>
      </c>
      <c r="J47">
        <v>1313.5332031</v>
      </c>
      <c r="K47">
        <v>1650</v>
      </c>
      <c r="L47">
        <v>0</v>
      </c>
      <c r="M47">
        <v>0</v>
      </c>
      <c r="N47">
        <v>1650</v>
      </c>
    </row>
    <row r="48" spans="1:14" x14ac:dyDescent="0.25">
      <c r="A48">
        <v>0.90414099999999997</v>
      </c>
      <c r="B48" s="1">
        <f>DATE(2010,5,1) + TIME(21,41,57)</f>
        <v>40299.904131944444</v>
      </c>
      <c r="C48">
        <v>80</v>
      </c>
      <c r="D48">
        <v>50.987895966000004</v>
      </c>
      <c r="E48">
        <v>40</v>
      </c>
      <c r="F48">
        <v>14.999089241</v>
      </c>
      <c r="G48">
        <v>1343.4801024999999</v>
      </c>
      <c r="H48">
        <v>1340.1541748</v>
      </c>
      <c r="I48">
        <v>1318.9611815999999</v>
      </c>
      <c r="J48">
        <v>1313.5333252</v>
      </c>
      <c r="K48">
        <v>1650</v>
      </c>
      <c r="L48">
        <v>0</v>
      </c>
      <c r="M48">
        <v>0</v>
      </c>
      <c r="N48">
        <v>1650</v>
      </c>
    </row>
    <row r="49" spans="1:14" x14ac:dyDescent="0.25">
      <c r="A49">
        <v>0.93694</v>
      </c>
      <c r="B49" s="1">
        <f>DATE(2010,5,1) + TIME(22,29,11)</f>
        <v>40299.936932870369</v>
      </c>
      <c r="C49">
        <v>80</v>
      </c>
      <c r="D49">
        <v>51.964954376000001</v>
      </c>
      <c r="E49">
        <v>40</v>
      </c>
      <c r="F49">
        <v>14.999093056</v>
      </c>
      <c r="G49">
        <v>1343.4991454999999</v>
      </c>
      <c r="H49">
        <v>1340.1910399999999</v>
      </c>
      <c r="I49">
        <v>1318.9615478999999</v>
      </c>
      <c r="J49">
        <v>1313.5334473</v>
      </c>
      <c r="K49">
        <v>1650</v>
      </c>
      <c r="L49">
        <v>0</v>
      </c>
      <c r="M49">
        <v>0</v>
      </c>
      <c r="N49">
        <v>1650</v>
      </c>
    </row>
    <row r="50" spans="1:14" x14ac:dyDescent="0.25">
      <c r="A50">
        <v>0.97050899999999996</v>
      </c>
      <c r="B50" s="1">
        <f>DATE(2010,5,1) + TIME(23,17,32)</f>
        <v>40299.970509259256</v>
      </c>
      <c r="C50">
        <v>80</v>
      </c>
      <c r="D50">
        <v>52.940940857000001</v>
      </c>
      <c r="E50">
        <v>40</v>
      </c>
      <c r="F50">
        <v>14.999097824</v>
      </c>
      <c r="G50">
        <v>1343.5201416</v>
      </c>
      <c r="H50">
        <v>1340.2286377</v>
      </c>
      <c r="I50">
        <v>1318.9620361</v>
      </c>
      <c r="J50">
        <v>1313.5335693</v>
      </c>
      <c r="K50">
        <v>1650</v>
      </c>
      <c r="L50">
        <v>0</v>
      </c>
      <c r="M50">
        <v>0</v>
      </c>
      <c r="N50">
        <v>1650</v>
      </c>
    </row>
    <row r="51" spans="1:14" x14ac:dyDescent="0.25">
      <c r="A51">
        <v>1.0049049999999999</v>
      </c>
      <c r="B51" s="1">
        <f>DATE(2010,5,2) + TIME(0,7,3)</f>
        <v>40300.004895833335</v>
      </c>
      <c r="C51">
        <v>80</v>
      </c>
      <c r="D51">
        <v>53.915771483999997</v>
      </c>
      <c r="E51">
        <v>40</v>
      </c>
      <c r="F51">
        <v>14.999102592</v>
      </c>
      <c r="G51">
        <v>1343.5429687999999</v>
      </c>
      <c r="H51">
        <v>1340.2672118999999</v>
      </c>
      <c r="I51">
        <v>1318.9624022999999</v>
      </c>
      <c r="J51">
        <v>1313.5336914</v>
      </c>
      <c r="K51">
        <v>1650</v>
      </c>
      <c r="L51">
        <v>0</v>
      </c>
      <c r="M51">
        <v>0</v>
      </c>
      <c r="N51">
        <v>1650</v>
      </c>
    </row>
    <row r="52" spans="1:14" x14ac:dyDescent="0.25">
      <c r="A52">
        <v>1.0401879999999999</v>
      </c>
      <c r="B52" s="1">
        <f>DATE(2010,5,2) + TIME(0,57,52)</f>
        <v>40300.040185185186</v>
      </c>
      <c r="C52">
        <v>80</v>
      </c>
      <c r="D52">
        <v>54.889347076</v>
      </c>
      <c r="E52">
        <v>40</v>
      </c>
      <c r="F52">
        <v>14.999106406999999</v>
      </c>
      <c r="G52">
        <v>1343.5675048999999</v>
      </c>
      <c r="H52">
        <v>1340.3065185999999</v>
      </c>
      <c r="I52">
        <v>1318.9627685999999</v>
      </c>
      <c r="J52">
        <v>1313.5338135</v>
      </c>
      <c r="K52">
        <v>1650</v>
      </c>
      <c r="L52">
        <v>0</v>
      </c>
      <c r="M52">
        <v>0</v>
      </c>
      <c r="N52">
        <v>1650</v>
      </c>
    </row>
    <row r="53" spans="1:14" x14ac:dyDescent="0.25">
      <c r="A53">
        <v>1.0764290000000001</v>
      </c>
      <c r="B53" s="1">
        <f>DATE(2010,5,2) + TIME(1,50,3)</f>
        <v>40300.076423611114</v>
      </c>
      <c r="C53">
        <v>80</v>
      </c>
      <c r="D53">
        <v>55.861576079999999</v>
      </c>
      <c r="E53">
        <v>40</v>
      </c>
      <c r="F53">
        <v>14.999111176</v>
      </c>
      <c r="G53">
        <v>1343.59375</v>
      </c>
      <c r="H53">
        <v>1340.3464355000001</v>
      </c>
      <c r="I53">
        <v>1318.9632568</v>
      </c>
      <c r="J53">
        <v>1313.5339355000001</v>
      </c>
      <c r="K53">
        <v>1650</v>
      </c>
      <c r="L53">
        <v>0</v>
      </c>
      <c r="M53">
        <v>0</v>
      </c>
      <c r="N53">
        <v>1650</v>
      </c>
    </row>
    <row r="54" spans="1:14" x14ac:dyDescent="0.25">
      <c r="A54">
        <v>1.1137049999999999</v>
      </c>
      <c r="B54" s="1">
        <f>DATE(2010,5,2) + TIME(2,43,44)</f>
        <v>40300.113703703704</v>
      </c>
      <c r="C54">
        <v>80</v>
      </c>
      <c r="D54">
        <v>56.83234787</v>
      </c>
      <c r="E54">
        <v>40</v>
      </c>
      <c r="F54">
        <v>14.999115944</v>
      </c>
      <c r="G54">
        <v>1343.6217041</v>
      </c>
      <c r="H54">
        <v>1340.3870850000001</v>
      </c>
      <c r="I54">
        <v>1318.9637451000001</v>
      </c>
      <c r="J54">
        <v>1313.5339355000001</v>
      </c>
      <c r="K54">
        <v>1650</v>
      </c>
      <c r="L54">
        <v>0</v>
      </c>
      <c r="M54">
        <v>0</v>
      </c>
      <c r="N54">
        <v>1650</v>
      </c>
    </row>
    <row r="55" spans="1:14" x14ac:dyDescent="0.25">
      <c r="A55">
        <v>1.1521030000000001</v>
      </c>
      <c r="B55" s="1">
        <f>DATE(2010,5,2) + TIME(3,39,1)</f>
        <v>40300.152094907404</v>
      </c>
      <c r="C55">
        <v>80</v>
      </c>
      <c r="D55">
        <v>57.801532745000003</v>
      </c>
      <c r="E55">
        <v>40</v>
      </c>
      <c r="F55">
        <v>14.999120712</v>
      </c>
      <c r="G55">
        <v>1343.6512451000001</v>
      </c>
      <c r="H55">
        <v>1340.4284668</v>
      </c>
      <c r="I55">
        <v>1318.9641113</v>
      </c>
      <c r="J55">
        <v>1313.5340576000001</v>
      </c>
      <c r="K55">
        <v>1650</v>
      </c>
      <c r="L55">
        <v>0</v>
      </c>
      <c r="M55">
        <v>0</v>
      </c>
      <c r="N55">
        <v>1650</v>
      </c>
    </row>
    <row r="56" spans="1:14" x14ac:dyDescent="0.25">
      <c r="A56">
        <v>1.1917230000000001</v>
      </c>
      <c r="B56" s="1">
        <f>DATE(2010,5,2) + TIME(4,36,4)</f>
        <v>40300.191712962966</v>
      </c>
      <c r="C56">
        <v>80</v>
      </c>
      <c r="D56">
        <v>58.769004821999999</v>
      </c>
      <c r="E56">
        <v>40</v>
      </c>
      <c r="F56">
        <v>14.999125481</v>
      </c>
      <c r="G56">
        <v>1343.682251</v>
      </c>
      <c r="H56">
        <v>1340.4703368999999</v>
      </c>
      <c r="I56">
        <v>1318.9645995999999</v>
      </c>
      <c r="J56">
        <v>1313.5341797000001</v>
      </c>
      <c r="K56">
        <v>1650</v>
      </c>
      <c r="L56">
        <v>0</v>
      </c>
      <c r="M56">
        <v>0</v>
      </c>
      <c r="N56">
        <v>1650</v>
      </c>
    </row>
    <row r="57" spans="1:14" x14ac:dyDescent="0.25">
      <c r="A57">
        <v>1.232674</v>
      </c>
      <c r="B57" s="1">
        <f>DATE(2010,5,2) + TIME(5,35,3)</f>
        <v>40300.232673611114</v>
      </c>
      <c r="C57">
        <v>80</v>
      </c>
      <c r="D57">
        <v>59.734600067000002</v>
      </c>
      <c r="E57">
        <v>40</v>
      </c>
      <c r="F57">
        <v>14.999129294999999</v>
      </c>
      <c r="G57">
        <v>1343.7147216999999</v>
      </c>
      <c r="H57">
        <v>1340.5126952999999</v>
      </c>
      <c r="I57">
        <v>1318.9649658000001</v>
      </c>
      <c r="J57">
        <v>1313.5343018000001</v>
      </c>
      <c r="K57">
        <v>1650</v>
      </c>
      <c r="L57">
        <v>0</v>
      </c>
      <c r="M57">
        <v>0</v>
      </c>
      <c r="N57">
        <v>1650</v>
      </c>
    </row>
    <row r="58" spans="1:14" x14ac:dyDescent="0.25">
      <c r="A58">
        <v>1.275085</v>
      </c>
      <c r="B58" s="1">
        <f>DATE(2010,5,2) + TIME(6,36,7)</f>
        <v>40300.275081018517</v>
      </c>
      <c r="C58">
        <v>80</v>
      </c>
      <c r="D58">
        <v>60.697639465000002</v>
      </c>
      <c r="E58">
        <v>40</v>
      </c>
      <c r="F58">
        <v>14.999134064</v>
      </c>
      <c r="G58">
        <v>1343.7485352000001</v>
      </c>
      <c r="H58">
        <v>1340.5556641000001</v>
      </c>
      <c r="I58">
        <v>1318.9654541</v>
      </c>
      <c r="J58">
        <v>1313.5344238</v>
      </c>
      <c r="K58">
        <v>1650</v>
      </c>
      <c r="L58">
        <v>0</v>
      </c>
      <c r="M58">
        <v>0</v>
      </c>
      <c r="N58">
        <v>1650</v>
      </c>
    </row>
    <row r="59" spans="1:14" x14ac:dyDescent="0.25">
      <c r="A59">
        <v>1.319123</v>
      </c>
      <c r="B59" s="1">
        <f>DATE(2010,5,2) + TIME(7,39,32)</f>
        <v>40300.319120370368</v>
      </c>
      <c r="C59">
        <v>80</v>
      </c>
      <c r="D59">
        <v>61.658699036000002</v>
      </c>
      <c r="E59">
        <v>40</v>
      </c>
      <c r="F59">
        <v>14.999138832</v>
      </c>
      <c r="G59">
        <v>1343.7835693</v>
      </c>
      <c r="H59">
        <v>1340.598999</v>
      </c>
      <c r="I59">
        <v>1318.9659423999999</v>
      </c>
      <c r="J59">
        <v>1313.5345459</v>
      </c>
      <c r="K59">
        <v>1650</v>
      </c>
      <c r="L59">
        <v>0</v>
      </c>
      <c r="M59">
        <v>0</v>
      </c>
      <c r="N59">
        <v>1650</v>
      </c>
    </row>
    <row r="60" spans="1:14" x14ac:dyDescent="0.25">
      <c r="A60">
        <v>1.3649450000000001</v>
      </c>
      <c r="B60" s="1">
        <f>DATE(2010,5,2) + TIME(8,45,31)</f>
        <v>40300.364942129629</v>
      </c>
      <c r="C60">
        <v>80</v>
      </c>
      <c r="D60">
        <v>62.617465973000002</v>
      </c>
      <c r="E60">
        <v>40</v>
      </c>
      <c r="F60">
        <v>14.9991436</v>
      </c>
      <c r="G60">
        <v>1343.8200684000001</v>
      </c>
      <c r="H60">
        <v>1340.6427002</v>
      </c>
      <c r="I60">
        <v>1318.9664307</v>
      </c>
      <c r="J60">
        <v>1313.534668</v>
      </c>
      <c r="K60">
        <v>1650</v>
      </c>
      <c r="L60">
        <v>0</v>
      </c>
      <c r="M60">
        <v>0</v>
      </c>
      <c r="N60">
        <v>1650</v>
      </c>
    </row>
    <row r="61" spans="1:14" x14ac:dyDescent="0.25">
      <c r="A61">
        <v>1.412738</v>
      </c>
      <c r="B61" s="1">
        <f>DATE(2010,5,2) + TIME(9,54,20)</f>
        <v>40300.412731481483</v>
      </c>
      <c r="C61">
        <v>80</v>
      </c>
      <c r="D61">
        <v>63.573497772000003</v>
      </c>
      <c r="E61">
        <v>40</v>
      </c>
      <c r="F61">
        <v>14.999149322999999</v>
      </c>
      <c r="G61">
        <v>1343.8576660000001</v>
      </c>
      <c r="H61">
        <v>1340.6867675999999</v>
      </c>
      <c r="I61">
        <v>1318.9669189000001</v>
      </c>
      <c r="J61">
        <v>1313.5347899999999</v>
      </c>
      <c r="K61">
        <v>1650</v>
      </c>
      <c r="L61">
        <v>0</v>
      </c>
      <c r="M61">
        <v>0</v>
      </c>
      <c r="N61">
        <v>1650</v>
      </c>
    </row>
    <row r="62" spans="1:14" x14ac:dyDescent="0.25">
      <c r="A62">
        <v>1.4627300000000001</v>
      </c>
      <c r="B62" s="1">
        <f>DATE(2010,5,2) + TIME(11,6,19)</f>
        <v>40300.462719907409</v>
      </c>
      <c r="C62">
        <v>80</v>
      </c>
      <c r="D62">
        <v>64.526496886999993</v>
      </c>
      <c r="E62">
        <v>40</v>
      </c>
      <c r="F62">
        <v>14.999154090999999</v>
      </c>
      <c r="G62">
        <v>1343.8964844</v>
      </c>
      <c r="H62">
        <v>1340.7310791</v>
      </c>
      <c r="I62">
        <v>1318.9674072</v>
      </c>
      <c r="J62">
        <v>1313.5349120999999</v>
      </c>
      <c r="K62">
        <v>1650</v>
      </c>
      <c r="L62">
        <v>0</v>
      </c>
      <c r="M62">
        <v>0</v>
      </c>
      <c r="N62">
        <v>1650</v>
      </c>
    </row>
    <row r="63" spans="1:14" x14ac:dyDescent="0.25">
      <c r="A63">
        <v>1.5151859999999999</v>
      </c>
      <c r="B63" s="1">
        <f>DATE(2010,5,2) + TIME(12,21,52)</f>
        <v>40300.515185185184</v>
      </c>
      <c r="C63">
        <v>80</v>
      </c>
      <c r="D63">
        <v>65.476226807000003</v>
      </c>
      <c r="E63">
        <v>40</v>
      </c>
      <c r="F63">
        <v>14.999158859</v>
      </c>
      <c r="G63">
        <v>1343.9362793</v>
      </c>
      <c r="H63">
        <v>1340.7756348</v>
      </c>
      <c r="I63">
        <v>1318.9678954999999</v>
      </c>
      <c r="J63">
        <v>1313.5350341999999</v>
      </c>
      <c r="K63">
        <v>1650</v>
      </c>
      <c r="L63">
        <v>0</v>
      </c>
      <c r="M63">
        <v>0</v>
      </c>
      <c r="N63">
        <v>1650</v>
      </c>
    </row>
    <row r="64" spans="1:14" x14ac:dyDescent="0.25">
      <c r="A64">
        <v>1.570419</v>
      </c>
      <c r="B64" s="1">
        <f>DATE(2010,5,2) + TIME(13,41,24)</f>
        <v>40300.570416666669</v>
      </c>
      <c r="C64">
        <v>80</v>
      </c>
      <c r="D64">
        <v>66.422180175999998</v>
      </c>
      <c r="E64">
        <v>40</v>
      </c>
      <c r="F64">
        <v>14.999164581</v>
      </c>
      <c r="G64">
        <v>1343.9772949000001</v>
      </c>
      <c r="H64">
        <v>1340.8204346</v>
      </c>
      <c r="I64">
        <v>1318.9685059000001</v>
      </c>
      <c r="J64">
        <v>1313.5352783000001</v>
      </c>
      <c r="K64">
        <v>1650</v>
      </c>
      <c r="L64">
        <v>0</v>
      </c>
      <c r="M64">
        <v>0</v>
      </c>
      <c r="N64">
        <v>1650</v>
      </c>
    </row>
    <row r="65" spans="1:14" x14ac:dyDescent="0.25">
      <c r="A65">
        <v>1.599272</v>
      </c>
      <c r="B65" s="1">
        <f>DATE(2010,5,2) + TIME(14,22,57)</f>
        <v>40300.599270833336</v>
      </c>
      <c r="C65">
        <v>80</v>
      </c>
      <c r="D65">
        <v>66.904495238999999</v>
      </c>
      <c r="E65">
        <v>40</v>
      </c>
      <c r="F65">
        <v>14.999167441999999</v>
      </c>
      <c r="G65">
        <v>1344.0388184000001</v>
      </c>
      <c r="H65">
        <v>1340.8657227000001</v>
      </c>
      <c r="I65">
        <v>1318.9689940999999</v>
      </c>
      <c r="J65">
        <v>1313.5354004000001</v>
      </c>
      <c r="K65">
        <v>1650</v>
      </c>
      <c r="L65">
        <v>0</v>
      </c>
      <c r="M65">
        <v>0</v>
      </c>
      <c r="N65">
        <v>1650</v>
      </c>
    </row>
    <row r="66" spans="1:14" x14ac:dyDescent="0.25">
      <c r="A66">
        <v>1.628125</v>
      </c>
      <c r="B66" s="1">
        <f>DATE(2010,5,2) + TIME(15,4,30)</f>
        <v>40300.628125000003</v>
      </c>
      <c r="C66">
        <v>80</v>
      </c>
      <c r="D66">
        <v>67.372352599999999</v>
      </c>
      <c r="E66">
        <v>40</v>
      </c>
      <c r="F66">
        <v>14.999169350000001</v>
      </c>
      <c r="G66">
        <v>1344.0610352000001</v>
      </c>
      <c r="H66">
        <v>1340.8889160000001</v>
      </c>
      <c r="I66">
        <v>1318.9693603999999</v>
      </c>
      <c r="J66">
        <v>1313.5355225000001</v>
      </c>
      <c r="K66">
        <v>1650</v>
      </c>
      <c r="L66">
        <v>0</v>
      </c>
      <c r="M66">
        <v>0</v>
      </c>
      <c r="N66">
        <v>1650</v>
      </c>
    </row>
    <row r="67" spans="1:14" x14ac:dyDescent="0.25">
      <c r="A67">
        <v>1.6569780000000001</v>
      </c>
      <c r="B67" s="1">
        <f>DATE(2010,5,2) + TIME(15,46,2)</f>
        <v>40300.656967592593</v>
      </c>
      <c r="C67">
        <v>80</v>
      </c>
      <c r="D67">
        <v>67.826026916999993</v>
      </c>
      <c r="E67">
        <v>40</v>
      </c>
      <c r="F67">
        <v>14.999172210999999</v>
      </c>
      <c r="G67">
        <v>1344.0830077999999</v>
      </c>
      <c r="H67">
        <v>1340.9113769999999</v>
      </c>
      <c r="I67">
        <v>1318.9696045000001</v>
      </c>
      <c r="J67">
        <v>1313.5355225000001</v>
      </c>
      <c r="K67">
        <v>1650</v>
      </c>
      <c r="L67">
        <v>0</v>
      </c>
      <c r="M67">
        <v>0</v>
      </c>
      <c r="N67">
        <v>1650</v>
      </c>
    </row>
    <row r="68" spans="1:14" x14ac:dyDescent="0.25">
      <c r="A68">
        <v>1.6858310000000001</v>
      </c>
      <c r="B68" s="1">
        <f>DATE(2010,5,2) + TIME(16,27,35)</f>
        <v>40300.68582175926</v>
      </c>
      <c r="C68">
        <v>80</v>
      </c>
      <c r="D68">
        <v>68.265777588000006</v>
      </c>
      <c r="E68">
        <v>40</v>
      </c>
      <c r="F68">
        <v>14.999175072</v>
      </c>
      <c r="G68">
        <v>1344.1044922000001</v>
      </c>
      <c r="H68">
        <v>1340.9331055</v>
      </c>
      <c r="I68">
        <v>1318.9698486</v>
      </c>
      <c r="J68">
        <v>1313.5356445</v>
      </c>
      <c r="K68">
        <v>1650</v>
      </c>
      <c r="L68">
        <v>0</v>
      </c>
      <c r="M68">
        <v>0</v>
      </c>
      <c r="N68">
        <v>1650</v>
      </c>
    </row>
    <row r="69" spans="1:14" x14ac:dyDescent="0.25">
      <c r="A69">
        <v>1.7145779999999999</v>
      </c>
      <c r="B69" s="1">
        <f>DATE(2010,5,2) + TIME(17,8,59)</f>
        <v>40300.714571759258</v>
      </c>
      <c r="C69">
        <v>80</v>
      </c>
      <c r="D69">
        <v>68.690391540999997</v>
      </c>
      <c r="E69">
        <v>40</v>
      </c>
      <c r="F69">
        <v>14.999177933</v>
      </c>
      <c r="G69">
        <v>1344.1257324000001</v>
      </c>
      <c r="H69">
        <v>1340.9543457</v>
      </c>
      <c r="I69">
        <v>1318.9700928</v>
      </c>
      <c r="J69">
        <v>1313.5356445</v>
      </c>
      <c r="K69">
        <v>1650</v>
      </c>
      <c r="L69">
        <v>0</v>
      </c>
      <c r="M69">
        <v>0</v>
      </c>
      <c r="N69">
        <v>1650</v>
      </c>
    </row>
    <row r="70" spans="1:14" x14ac:dyDescent="0.25">
      <c r="A70">
        <v>1.7432049999999999</v>
      </c>
      <c r="B70" s="1">
        <f>DATE(2010,5,2) + TIME(17,50,12)</f>
        <v>40300.743194444447</v>
      </c>
      <c r="C70">
        <v>80</v>
      </c>
      <c r="D70">
        <v>69.100074767999999</v>
      </c>
      <c r="E70">
        <v>40</v>
      </c>
      <c r="F70">
        <v>14.99917984</v>
      </c>
      <c r="G70">
        <v>1344.1464844</v>
      </c>
      <c r="H70">
        <v>1340.9748535000001</v>
      </c>
      <c r="I70">
        <v>1318.9704589999999</v>
      </c>
      <c r="J70">
        <v>1313.5357666</v>
      </c>
      <c r="K70">
        <v>1650</v>
      </c>
      <c r="L70">
        <v>0</v>
      </c>
      <c r="M70">
        <v>0</v>
      </c>
      <c r="N70">
        <v>1650</v>
      </c>
    </row>
    <row r="71" spans="1:14" x14ac:dyDescent="0.25">
      <c r="A71">
        <v>1.77173</v>
      </c>
      <c r="B71" s="1">
        <f>DATE(2010,5,2) + TIME(18,31,17)</f>
        <v>40300.771724537037</v>
      </c>
      <c r="C71">
        <v>80</v>
      </c>
      <c r="D71">
        <v>69.495483398000005</v>
      </c>
      <c r="E71">
        <v>40</v>
      </c>
      <c r="F71">
        <v>14.999182701000001</v>
      </c>
      <c r="G71">
        <v>1344.166626</v>
      </c>
      <c r="H71">
        <v>1340.994751</v>
      </c>
      <c r="I71">
        <v>1318.9707031</v>
      </c>
      <c r="J71">
        <v>1313.5358887</v>
      </c>
      <c r="K71">
        <v>1650</v>
      </c>
      <c r="L71">
        <v>0</v>
      </c>
      <c r="M71">
        <v>0</v>
      </c>
      <c r="N71">
        <v>1650</v>
      </c>
    </row>
    <row r="72" spans="1:14" x14ac:dyDescent="0.25">
      <c r="A72">
        <v>1.800168</v>
      </c>
      <c r="B72" s="1">
        <f>DATE(2010,5,2) + TIME(19,12,14)</f>
        <v>40300.800162037034</v>
      </c>
      <c r="C72">
        <v>80</v>
      </c>
      <c r="D72">
        <v>69.877258300999998</v>
      </c>
      <c r="E72">
        <v>40</v>
      </c>
      <c r="F72">
        <v>14.999184608</v>
      </c>
      <c r="G72">
        <v>1344.1864014</v>
      </c>
      <c r="H72">
        <v>1341.0137939000001</v>
      </c>
      <c r="I72">
        <v>1318.9709473</v>
      </c>
      <c r="J72">
        <v>1313.5358887</v>
      </c>
      <c r="K72">
        <v>1650</v>
      </c>
      <c r="L72">
        <v>0</v>
      </c>
      <c r="M72">
        <v>0</v>
      </c>
      <c r="N72">
        <v>1650</v>
      </c>
    </row>
    <row r="73" spans="1:14" x14ac:dyDescent="0.25">
      <c r="A73">
        <v>1.828538</v>
      </c>
      <c r="B73" s="1">
        <f>DATE(2010,5,2) + TIME(19,53,5)</f>
        <v>40300.828530092593</v>
      </c>
      <c r="C73">
        <v>80</v>
      </c>
      <c r="D73">
        <v>70.245803832999997</v>
      </c>
      <c r="E73">
        <v>40</v>
      </c>
      <c r="F73">
        <v>14.999187469000001</v>
      </c>
      <c r="G73">
        <v>1344.2055664</v>
      </c>
      <c r="H73">
        <v>1341.0323486</v>
      </c>
      <c r="I73">
        <v>1318.9711914</v>
      </c>
      <c r="J73">
        <v>1313.5360106999999</v>
      </c>
      <c r="K73">
        <v>1650</v>
      </c>
      <c r="L73">
        <v>0</v>
      </c>
      <c r="M73">
        <v>0</v>
      </c>
      <c r="N73">
        <v>1650</v>
      </c>
    </row>
    <row r="74" spans="1:14" x14ac:dyDescent="0.25">
      <c r="A74">
        <v>1.8568530000000001</v>
      </c>
      <c r="B74" s="1">
        <f>DATE(2010,5,2) + TIME(20,33,52)</f>
        <v>40300.856851851851</v>
      </c>
      <c r="C74">
        <v>80</v>
      </c>
      <c r="D74">
        <v>70.601745605000005</v>
      </c>
      <c r="E74">
        <v>40</v>
      </c>
      <c r="F74">
        <v>14.999189377</v>
      </c>
      <c r="G74">
        <v>1344.2242432</v>
      </c>
      <c r="H74">
        <v>1341.0501709</v>
      </c>
      <c r="I74">
        <v>1318.9714355000001</v>
      </c>
      <c r="J74">
        <v>1313.5361327999999</v>
      </c>
      <c r="K74">
        <v>1650</v>
      </c>
      <c r="L74">
        <v>0</v>
      </c>
      <c r="M74">
        <v>0</v>
      </c>
      <c r="N74">
        <v>1650</v>
      </c>
    </row>
    <row r="75" spans="1:14" x14ac:dyDescent="0.25">
      <c r="A75">
        <v>1.8851290000000001</v>
      </c>
      <c r="B75" s="1">
        <f>DATE(2010,5,2) + TIME(21,14,35)</f>
        <v>40300.885127314818</v>
      </c>
      <c r="C75">
        <v>80</v>
      </c>
      <c r="D75">
        <v>70.945693969999994</v>
      </c>
      <c r="E75">
        <v>40</v>
      </c>
      <c r="F75">
        <v>14.999192237999999</v>
      </c>
      <c r="G75">
        <v>1344.2424315999999</v>
      </c>
      <c r="H75">
        <v>1341.0673827999999</v>
      </c>
      <c r="I75">
        <v>1318.9716797000001</v>
      </c>
      <c r="J75">
        <v>1313.5361327999999</v>
      </c>
      <c r="K75">
        <v>1650</v>
      </c>
      <c r="L75">
        <v>0</v>
      </c>
      <c r="M75">
        <v>0</v>
      </c>
      <c r="N75">
        <v>1650</v>
      </c>
    </row>
    <row r="76" spans="1:14" x14ac:dyDescent="0.25">
      <c r="A76">
        <v>1.9133800000000001</v>
      </c>
      <c r="B76" s="1">
        <f>DATE(2010,5,2) + TIME(21,55,16)</f>
        <v>40300.91337962963</v>
      </c>
      <c r="C76">
        <v>80</v>
      </c>
      <c r="D76">
        <v>71.278129578000005</v>
      </c>
      <c r="E76">
        <v>40</v>
      </c>
      <c r="F76">
        <v>14.999194145000001</v>
      </c>
      <c r="G76">
        <v>1344.2602539</v>
      </c>
      <c r="H76">
        <v>1341.0839844</v>
      </c>
      <c r="I76">
        <v>1318.9719238</v>
      </c>
      <c r="J76">
        <v>1313.5362548999999</v>
      </c>
      <c r="K76">
        <v>1650</v>
      </c>
      <c r="L76">
        <v>0</v>
      </c>
      <c r="M76">
        <v>0</v>
      </c>
      <c r="N76">
        <v>1650</v>
      </c>
    </row>
    <row r="77" spans="1:14" x14ac:dyDescent="0.25">
      <c r="A77">
        <v>1.941621</v>
      </c>
      <c r="B77" s="1">
        <f>DATE(2010,5,2) + TIME(22,35,56)</f>
        <v>40300.941620370373</v>
      </c>
      <c r="C77">
        <v>80</v>
      </c>
      <c r="D77">
        <v>71.599494934000006</v>
      </c>
      <c r="E77">
        <v>40</v>
      </c>
      <c r="F77">
        <v>14.999196053</v>
      </c>
      <c r="G77">
        <v>1344.2774658000001</v>
      </c>
      <c r="H77">
        <v>1341.1000977000001</v>
      </c>
      <c r="I77">
        <v>1318.9722899999999</v>
      </c>
      <c r="J77">
        <v>1313.5363769999999</v>
      </c>
      <c r="K77">
        <v>1650</v>
      </c>
      <c r="L77">
        <v>0</v>
      </c>
      <c r="M77">
        <v>0</v>
      </c>
      <c r="N77">
        <v>1650</v>
      </c>
    </row>
    <row r="78" spans="1:14" x14ac:dyDescent="0.25">
      <c r="A78">
        <v>1.9698610000000001</v>
      </c>
      <c r="B78" s="1">
        <f>DATE(2010,5,2) + TIME(23,16,36)</f>
        <v>40300.969861111109</v>
      </c>
      <c r="C78">
        <v>80</v>
      </c>
      <c r="D78">
        <v>71.910194396999998</v>
      </c>
      <c r="E78">
        <v>40</v>
      </c>
      <c r="F78">
        <v>14.999198914000001</v>
      </c>
      <c r="G78">
        <v>1344.2943115</v>
      </c>
      <c r="H78">
        <v>1341.1156006000001</v>
      </c>
      <c r="I78">
        <v>1318.9725341999999</v>
      </c>
      <c r="J78">
        <v>1313.5363769999999</v>
      </c>
      <c r="K78">
        <v>1650</v>
      </c>
      <c r="L78">
        <v>0</v>
      </c>
      <c r="M78">
        <v>0</v>
      </c>
      <c r="N78">
        <v>1650</v>
      </c>
    </row>
    <row r="79" spans="1:14" x14ac:dyDescent="0.25">
      <c r="A79">
        <v>1.998102</v>
      </c>
      <c r="B79" s="1">
        <f>DATE(2010,5,2) + TIME(23,57,16)</f>
        <v>40300.998101851852</v>
      </c>
      <c r="C79">
        <v>80</v>
      </c>
      <c r="D79">
        <v>72.210487365999995</v>
      </c>
      <c r="E79">
        <v>40</v>
      </c>
      <c r="F79">
        <v>14.999200821000001</v>
      </c>
      <c r="G79">
        <v>1344.3107910000001</v>
      </c>
      <c r="H79">
        <v>1341.1306152</v>
      </c>
      <c r="I79">
        <v>1318.9727783000001</v>
      </c>
      <c r="J79">
        <v>1313.536499</v>
      </c>
      <c r="K79">
        <v>1650</v>
      </c>
      <c r="L79">
        <v>0</v>
      </c>
      <c r="M79">
        <v>0</v>
      </c>
      <c r="N79">
        <v>1650</v>
      </c>
    </row>
    <row r="80" spans="1:14" x14ac:dyDescent="0.25">
      <c r="A80">
        <v>2.0263429999999998</v>
      </c>
      <c r="B80" s="1">
        <f>DATE(2010,5,3) + TIME(0,37,56)</f>
        <v>40301.026342592595</v>
      </c>
      <c r="C80">
        <v>80</v>
      </c>
      <c r="D80">
        <v>72.500648498999993</v>
      </c>
      <c r="E80">
        <v>40</v>
      </c>
      <c r="F80">
        <v>14.999202728</v>
      </c>
      <c r="G80">
        <v>1344.3266602000001</v>
      </c>
      <c r="H80">
        <v>1341.1450195</v>
      </c>
      <c r="I80">
        <v>1318.9730225000001</v>
      </c>
      <c r="J80">
        <v>1313.5366211</v>
      </c>
      <c r="K80">
        <v>1650</v>
      </c>
      <c r="L80">
        <v>0</v>
      </c>
      <c r="M80">
        <v>0</v>
      </c>
      <c r="N80">
        <v>1650</v>
      </c>
    </row>
    <row r="81" spans="1:14" x14ac:dyDescent="0.25">
      <c r="A81">
        <v>2.0545840000000002</v>
      </c>
      <c r="B81" s="1">
        <f>DATE(2010,5,3) + TIME(1,18,36)</f>
        <v>40301.054583333331</v>
      </c>
      <c r="C81">
        <v>80</v>
      </c>
      <c r="D81">
        <v>72.780944824000002</v>
      </c>
      <c r="E81">
        <v>40</v>
      </c>
      <c r="F81">
        <v>14.999204636</v>
      </c>
      <c r="G81">
        <v>1344.3422852000001</v>
      </c>
      <c r="H81">
        <v>1341.1589355000001</v>
      </c>
      <c r="I81">
        <v>1318.9732666</v>
      </c>
      <c r="J81">
        <v>1313.5366211</v>
      </c>
      <c r="K81">
        <v>1650</v>
      </c>
      <c r="L81">
        <v>0</v>
      </c>
      <c r="M81">
        <v>0</v>
      </c>
      <c r="N81">
        <v>1650</v>
      </c>
    </row>
    <row r="82" spans="1:14" x14ac:dyDescent="0.25">
      <c r="A82">
        <v>2.082824</v>
      </c>
      <c r="B82" s="1">
        <f>DATE(2010,5,3) + TIME(1,59,16)</f>
        <v>40301.082824074074</v>
      </c>
      <c r="C82">
        <v>80</v>
      </c>
      <c r="D82">
        <v>73.051628113000007</v>
      </c>
      <c r="E82">
        <v>40</v>
      </c>
      <c r="F82">
        <v>14.999207497</v>
      </c>
      <c r="G82">
        <v>1344.3572998</v>
      </c>
      <c r="H82">
        <v>1341.1722411999999</v>
      </c>
      <c r="I82">
        <v>1318.9733887</v>
      </c>
      <c r="J82">
        <v>1313.5367432</v>
      </c>
      <c r="K82">
        <v>1650</v>
      </c>
      <c r="L82">
        <v>0</v>
      </c>
      <c r="M82">
        <v>0</v>
      </c>
      <c r="N82">
        <v>1650</v>
      </c>
    </row>
    <row r="83" spans="1:14" x14ac:dyDescent="0.25">
      <c r="A83">
        <v>2.111065</v>
      </c>
      <c r="B83" s="1">
        <f>DATE(2010,5,3) + TIME(2,39,56)</f>
        <v>40301.111064814817</v>
      </c>
      <c r="C83">
        <v>80</v>
      </c>
      <c r="D83">
        <v>73.312973021999994</v>
      </c>
      <c r="E83">
        <v>40</v>
      </c>
      <c r="F83">
        <v>14.999209404</v>
      </c>
      <c r="G83">
        <v>1344.3720702999999</v>
      </c>
      <c r="H83">
        <v>1341.1851807</v>
      </c>
      <c r="I83">
        <v>1318.9736327999999</v>
      </c>
      <c r="J83">
        <v>1313.5368652</v>
      </c>
      <c r="K83">
        <v>1650</v>
      </c>
      <c r="L83">
        <v>0</v>
      </c>
      <c r="M83">
        <v>0</v>
      </c>
      <c r="N83">
        <v>1650</v>
      </c>
    </row>
    <row r="84" spans="1:14" x14ac:dyDescent="0.25">
      <c r="A84">
        <v>2.1393059999999999</v>
      </c>
      <c r="B84" s="1">
        <f>DATE(2010,5,3) + TIME(3,20,36)</f>
        <v>40301.139305555553</v>
      </c>
      <c r="C84">
        <v>80</v>
      </c>
      <c r="D84">
        <v>73.565223693999997</v>
      </c>
      <c r="E84">
        <v>40</v>
      </c>
      <c r="F84">
        <v>14.999211311</v>
      </c>
      <c r="G84">
        <v>1344.3862305</v>
      </c>
      <c r="H84">
        <v>1341.1975098</v>
      </c>
      <c r="I84">
        <v>1318.9738769999999</v>
      </c>
      <c r="J84">
        <v>1313.5368652</v>
      </c>
      <c r="K84">
        <v>1650</v>
      </c>
      <c r="L84">
        <v>0</v>
      </c>
      <c r="M84">
        <v>0</v>
      </c>
      <c r="N84">
        <v>1650</v>
      </c>
    </row>
    <row r="85" spans="1:14" x14ac:dyDescent="0.25">
      <c r="A85">
        <v>2.1675469999999999</v>
      </c>
      <c r="B85" s="1">
        <f>DATE(2010,5,3) + TIME(4,1,16)</f>
        <v>40301.167546296296</v>
      </c>
      <c r="C85">
        <v>80</v>
      </c>
      <c r="D85">
        <v>73.808654785000002</v>
      </c>
      <c r="E85">
        <v>40</v>
      </c>
      <c r="F85">
        <v>14.999213219</v>
      </c>
      <c r="G85">
        <v>1344.4001464999999</v>
      </c>
      <c r="H85">
        <v>1341.2094727000001</v>
      </c>
      <c r="I85">
        <v>1318.9741211</v>
      </c>
      <c r="J85">
        <v>1313.5369873</v>
      </c>
      <c r="K85">
        <v>1650</v>
      </c>
      <c r="L85">
        <v>0</v>
      </c>
      <c r="M85">
        <v>0</v>
      </c>
      <c r="N85">
        <v>1650</v>
      </c>
    </row>
    <row r="86" spans="1:14" x14ac:dyDescent="0.25">
      <c r="A86">
        <v>2.1957870000000002</v>
      </c>
      <c r="B86" s="1">
        <f>DATE(2010,5,3) + TIME(4,41,56)</f>
        <v>40301.195787037039</v>
      </c>
      <c r="C86">
        <v>80</v>
      </c>
      <c r="D86">
        <v>74.043502808</v>
      </c>
      <c r="E86">
        <v>40</v>
      </c>
      <c r="F86">
        <v>14.999215125999999</v>
      </c>
      <c r="G86">
        <v>1344.4134521000001</v>
      </c>
      <c r="H86">
        <v>1341.2209473</v>
      </c>
      <c r="I86">
        <v>1318.9743652</v>
      </c>
      <c r="J86">
        <v>1313.5371094</v>
      </c>
      <c r="K86">
        <v>1650</v>
      </c>
      <c r="L86">
        <v>0</v>
      </c>
      <c r="M86">
        <v>0</v>
      </c>
      <c r="N86">
        <v>1650</v>
      </c>
    </row>
    <row r="87" spans="1:14" x14ac:dyDescent="0.25">
      <c r="A87">
        <v>2.2522690000000001</v>
      </c>
      <c r="B87" s="1">
        <f>DATE(2010,5,3) + TIME(6,3,16)</f>
        <v>40301.252268518518</v>
      </c>
      <c r="C87">
        <v>80</v>
      </c>
      <c r="D87">
        <v>74.479454040999997</v>
      </c>
      <c r="E87">
        <v>40</v>
      </c>
      <c r="F87">
        <v>14.999218941000001</v>
      </c>
      <c r="G87">
        <v>1344.4178466999999</v>
      </c>
      <c r="H87">
        <v>1341.2321777</v>
      </c>
      <c r="I87">
        <v>1318.9746094</v>
      </c>
      <c r="J87">
        <v>1313.5371094</v>
      </c>
      <c r="K87">
        <v>1650</v>
      </c>
      <c r="L87">
        <v>0</v>
      </c>
      <c r="M87">
        <v>0</v>
      </c>
      <c r="N87">
        <v>1650</v>
      </c>
    </row>
    <row r="88" spans="1:14" x14ac:dyDescent="0.25">
      <c r="A88">
        <v>2.308989</v>
      </c>
      <c r="B88" s="1">
        <f>DATE(2010,5,3) + TIME(7,24,56)</f>
        <v>40301.308981481481</v>
      </c>
      <c r="C88">
        <v>80</v>
      </c>
      <c r="D88">
        <v>74.886901855000005</v>
      </c>
      <c r="E88">
        <v>40</v>
      </c>
      <c r="F88">
        <v>14.999222755</v>
      </c>
      <c r="G88">
        <v>1344.4425048999999</v>
      </c>
      <c r="H88">
        <v>1341.2520752</v>
      </c>
      <c r="I88">
        <v>1318.9750977000001</v>
      </c>
      <c r="J88">
        <v>1313.5373535000001</v>
      </c>
      <c r="K88">
        <v>1650</v>
      </c>
      <c r="L88">
        <v>0</v>
      </c>
      <c r="M88">
        <v>0</v>
      </c>
      <c r="N88">
        <v>1650</v>
      </c>
    </row>
    <row r="89" spans="1:14" x14ac:dyDescent="0.25">
      <c r="A89">
        <v>2.36633</v>
      </c>
      <c r="B89" s="1">
        <f>DATE(2010,5,3) + TIME(8,47,30)</f>
        <v>40301.366319444445</v>
      </c>
      <c r="C89">
        <v>80</v>
      </c>
      <c r="D89">
        <v>75.269401549999998</v>
      </c>
      <c r="E89">
        <v>40</v>
      </c>
      <c r="F89">
        <v>14.999226569999999</v>
      </c>
      <c r="G89">
        <v>1344.4655762</v>
      </c>
      <c r="H89">
        <v>1341.2703856999999</v>
      </c>
      <c r="I89">
        <v>1318.9754639</v>
      </c>
      <c r="J89">
        <v>1313.5374756000001</v>
      </c>
      <c r="K89">
        <v>1650</v>
      </c>
      <c r="L89">
        <v>0</v>
      </c>
      <c r="M89">
        <v>0</v>
      </c>
      <c r="N89">
        <v>1650</v>
      </c>
    </row>
    <row r="90" spans="1:14" x14ac:dyDescent="0.25">
      <c r="A90">
        <v>2.4243749999999999</v>
      </c>
      <c r="B90" s="1">
        <f>DATE(2010,5,3) + TIME(10,11,5)</f>
        <v>40301.424363425926</v>
      </c>
      <c r="C90">
        <v>80</v>
      </c>
      <c r="D90">
        <v>75.628463745000005</v>
      </c>
      <c r="E90">
        <v>40</v>
      </c>
      <c r="F90">
        <v>14.999230385000001</v>
      </c>
      <c r="G90">
        <v>1344.4873047000001</v>
      </c>
      <c r="H90">
        <v>1341.2872314000001</v>
      </c>
      <c r="I90">
        <v>1318.9759521000001</v>
      </c>
      <c r="J90">
        <v>1313.5377197</v>
      </c>
      <c r="K90">
        <v>1650</v>
      </c>
      <c r="L90">
        <v>0</v>
      </c>
      <c r="M90">
        <v>0</v>
      </c>
      <c r="N90">
        <v>1650</v>
      </c>
    </row>
    <row r="91" spans="1:14" x14ac:dyDescent="0.25">
      <c r="A91">
        <v>2.4832139999999998</v>
      </c>
      <c r="B91" s="1">
        <f>DATE(2010,5,3) + TIME(11,35,49)</f>
        <v>40301.483206018522</v>
      </c>
      <c r="C91">
        <v>80</v>
      </c>
      <c r="D91">
        <v>75.965454101999995</v>
      </c>
      <c r="E91">
        <v>40</v>
      </c>
      <c r="F91">
        <v>14.9992342</v>
      </c>
      <c r="G91">
        <v>1344.5078125</v>
      </c>
      <c r="H91">
        <v>1341.3026123</v>
      </c>
      <c r="I91">
        <v>1318.9764404</v>
      </c>
      <c r="J91">
        <v>1313.5378418</v>
      </c>
      <c r="K91">
        <v>1650</v>
      </c>
      <c r="L91">
        <v>0</v>
      </c>
      <c r="M91">
        <v>0</v>
      </c>
      <c r="N91">
        <v>1650</v>
      </c>
    </row>
    <row r="92" spans="1:14" x14ac:dyDescent="0.25">
      <c r="A92">
        <v>2.542945</v>
      </c>
      <c r="B92" s="1">
        <f>DATE(2010,5,3) + TIME(13,1,50)</f>
        <v>40301.542939814812</v>
      </c>
      <c r="C92">
        <v>80</v>
      </c>
      <c r="D92">
        <v>76.281608582000004</v>
      </c>
      <c r="E92">
        <v>40</v>
      </c>
      <c r="F92">
        <v>14.999237061000001</v>
      </c>
      <c r="G92">
        <v>1344.5269774999999</v>
      </c>
      <c r="H92">
        <v>1341.3167725000001</v>
      </c>
      <c r="I92">
        <v>1318.9768065999999</v>
      </c>
      <c r="J92">
        <v>1313.5379639</v>
      </c>
      <c r="K92">
        <v>1650</v>
      </c>
      <c r="L92">
        <v>0</v>
      </c>
      <c r="M92">
        <v>0</v>
      </c>
      <c r="N92">
        <v>1650</v>
      </c>
    </row>
    <row r="93" spans="1:14" x14ac:dyDescent="0.25">
      <c r="A93">
        <v>2.6036679999999999</v>
      </c>
      <c r="B93" s="1">
        <f>DATE(2010,5,3) + TIME(14,29,16)</f>
        <v>40301.60365740741</v>
      </c>
      <c r="C93">
        <v>80</v>
      </c>
      <c r="D93">
        <v>76.578033446999996</v>
      </c>
      <c r="E93">
        <v>40</v>
      </c>
      <c r="F93">
        <v>14.999240875</v>
      </c>
      <c r="G93">
        <v>1344.5449219</v>
      </c>
      <c r="H93">
        <v>1341.3295897999999</v>
      </c>
      <c r="I93">
        <v>1318.9771728999999</v>
      </c>
      <c r="J93">
        <v>1313.5382079999999</v>
      </c>
      <c r="K93">
        <v>1650</v>
      </c>
      <c r="L93">
        <v>0</v>
      </c>
      <c r="M93">
        <v>0</v>
      </c>
      <c r="N93">
        <v>1650</v>
      </c>
    </row>
    <row r="94" spans="1:14" x14ac:dyDescent="0.25">
      <c r="A94">
        <v>2.6654879999999999</v>
      </c>
      <c r="B94" s="1">
        <f>DATE(2010,5,3) + TIME(15,58,18)</f>
        <v>40301.665486111109</v>
      </c>
      <c r="C94">
        <v>80</v>
      </c>
      <c r="D94">
        <v>76.855773925999998</v>
      </c>
      <c r="E94">
        <v>40</v>
      </c>
      <c r="F94">
        <v>14.999244689999999</v>
      </c>
      <c r="G94">
        <v>1344.5617675999999</v>
      </c>
      <c r="H94">
        <v>1341.3411865</v>
      </c>
      <c r="I94">
        <v>1318.9776611</v>
      </c>
      <c r="J94">
        <v>1313.5383300999999</v>
      </c>
      <c r="K94">
        <v>1650</v>
      </c>
      <c r="L94">
        <v>0</v>
      </c>
      <c r="M94">
        <v>0</v>
      </c>
      <c r="N94">
        <v>1650</v>
      </c>
    </row>
    <row r="95" spans="1:14" x14ac:dyDescent="0.25">
      <c r="A95">
        <v>2.7285180000000002</v>
      </c>
      <c r="B95" s="1">
        <f>DATE(2010,5,3) + TIME(17,29,3)</f>
        <v>40301.728506944448</v>
      </c>
      <c r="C95">
        <v>80</v>
      </c>
      <c r="D95">
        <v>77.115814209000007</v>
      </c>
      <c r="E95">
        <v>40</v>
      </c>
      <c r="F95">
        <v>14.999247551</v>
      </c>
      <c r="G95">
        <v>1344.5772704999999</v>
      </c>
      <c r="H95">
        <v>1341.3514404</v>
      </c>
      <c r="I95">
        <v>1318.9780272999999</v>
      </c>
      <c r="J95">
        <v>1313.5385742000001</v>
      </c>
      <c r="K95">
        <v>1650</v>
      </c>
      <c r="L95">
        <v>0</v>
      </c>
      <c r="M95">
        <v>0</v>
      </c>
      <c r="N95">
        <v>1650</v>
      </c>
    </row>
    <row r="96" spans="1:14" x14ac:dyDescent="0.25">
      <c r="A96">
        <v>2.7928950000000001</v>
      </c>
      <c r="B96" s="1">
        <f>DATE(2010,5,3) + TIME(19,1,46)</f>
        <v>40301.792893518519</v>
      </c>
      <c r="C96">
        <v>80</v>
      </c>
      <c r="D96">
        <v>77.359123229999994</v>
      </c>
      <c r="E96">
        <v>40</v>
      </c>
      <c r="F96">
        <v>14.999251365999999</v>
      </c>
      <c r="G96">
        <v>1344.5916748</v>
      </c>
      <c r="H96">
        <v>1341.3605957</v>
      </c>
      <c r="I96">
        <v>1318.9785156</v>
      </c>
      <c r="J96">
        <v>1313.5386963000001</v>
      </c>
      <c r="K96">
        <v>1650</v>
      </c>
      <c r="L96">
        <v>0</v>
      </c>
      <c r="M96">
        <v>0</v>
      </c>
      <c r="N96">
        <v>1650</v>
      </c>
    </row>
    <row r="97" spans="1:14" x14ac:dyDescent="0.25">
      <c r="A97">
        <v>2.858743</v>
      </c>
      <c r="B97" s="1">
        <f>DATE(2010,5,3) + TIME(20,36,35)</f>
        <v>40301.858738425923</v>
      </c>
      <c r="C97">
        <v>80</v>
      </c>
      <c r="D97">
        <v>77.586517334000007</v>
      </c>
      <c r="E97">
        <v>40</v>
      </c>
      <c r="F97">
        <v>14.99925518</v>
      </c>
      <c r="G97">
        <v>1344.6049805</v>
      </c>
      <c r="H97">
        <v>1341.3685303</v>
      </c>
      <c r="I97">
        <v>1318.9788818</v>
      </c>
      <c r="J97">
        <v>1313.5389404</v>
      </c>
      <c r="K97">
        <v>1650</v>
      </c>
      <c r="L97">
        <v>0</v>
      </c>
      <c r="M97">
        <v>0</v>
      </c>
      <c r="N97">
        <v>1650</v>
      </c>
    </row>
    <row r="98" spans="1:14" x14ac:dyDescent="0.25">
      <c r="A98">
        <v>2.9261919999999999</v>
      </c>
      <c r="B98" s="1">
        <f>DATE(2010,5,3) + TIME(22,13,42)</f>
        <v>40301.926180555558</v>
      </c>
      <c r="C98">
        <v>80</v>
      </c>
      <c r="D98">
        <v>77.798767089999998</v>
      </c>
      <c r="E98">
        <v>40</v>
      </c>
      <c r="F98">
        <v>14.999258040999999</v>
      </c>
      <c r="G98">
        <v>1344.6170654</v>
      </c>
      <c r="H98">
        <v>1341.3752440999999</v>
      </c>
      <c r="I98">
        <v>1318.9793701000001</v>
      </c>
      <c r="J98">
        <v>1313.5390625</v>
      </c>
      <c r="K98">
        <v>1650</v>
      </c>
      <c r="L98">
        <v>0</v>
      </c>
      <c r="M98">
        <v>0</v>
      </c>
      <c r="N98">
        <v>1650</v>
      </c>
    </row>
    <row r="99" spans="1:14" x14ac:dyDescent="0.25">
      <c r="A99">
        <v>2.9953910000000001</v>
      </c>
      <c r="B99" s="1">
        <f>DATE(2010,5,3) + TIME(23,53,21)</f>
        <v>40301.995381944442</v>
      </c>
      <c r="C99">
        <v>80</v>
      </c>
      <c r="D99">
        <v>77.996627808</v>
      </c>
      <c r="E99">
        <v>40</v>
      </c>
      <c r="F99">
        <v>14.999261856</v>
      </c>
      <c r="G99">
        <v>1344.6281738</v>
      </c>
      <c r="H99">
        <v>1341.3809814000001</v>
      </c>
      <c r="I99">
        <v>1318.9797363</v>
      </c>
      <c r="J99">
        <v>1313.5393065999999</v>
      </c>
      <c r="K99">
        <v>1650</v>
      </c>
      <c r="L99">
        <v>0</v>
      </c>
      <c r="M99">
        <v>0</v>
      </c>
      <c r="N99">
        <v>1650</v>
      </c>
    </row>
    <row r="100" spans="1:14" x14ac:dyDescent="0.25">
      <c r="A100">
        <v>3.0665079999999998</v>
      </c>
      <c r="B100" s="1">
        <f>DATE(2010,5,4) + TIME(1,35,46)</f>
        <v>40302.066504629627</v>
      </c>
      <c r="C100">
        <v>80</v>
      </c>
      <c r="D100">
        <v>78.180816649999997</v>
      </c>
      <c r="E100">
        <v>40</v>
      </c>
      <c r="F100">
        <v>14.999265671</v>
      </c>
      <c r="G100">
        <v>1344.6380615</v>
      </c>
      <c r="H100">
        <v>1341.385376</v>
      </c>
      <c r="I100">
        <v>1318.9802245999999</v>
      </c>
      <c r="J100">
        <v>1313.5395507999999</v>
      </c>
      <c r="K100">
        <v>1650</v>
      </c>
      <c r="L100">
        <v>0</v>
      </c>
      <c r="M100">
        <v>0</v>
      </c>
      <c r="N100">
        <v>1650</v>
      </c>
    </row>
    <row r="101" spans="1:14" x14ac:dyDescent="0.25">
      <c r="A101">
        <v>3.1397270000000002</v>
      </c>
      <c r="B101" s="1">
        <f>DATE(2010,5,4) + TIME(3,21,12)</f>
        <v>40302.139722222222</v>
      </c>
      <c r="C101">
        <v>80</v>
      </c>
      <c r="D101">
        <v>78.352012634000005</v>
      </c>
      <c r="E101">
        <v>40</v>
      </c>
      <c r="F101">
        <v>14.999268532</v>
      </c>
      <c r="G101">
        <v>1344.6467285000001</v>
      </c>
      <c r="H101">
        <v>1341.3887939000001</v>
      </c>
      <c r="I101">
        <v>1318.9805908000001</v>
      </c>
      <c r="J101">
        <v>1313.5396728999999</v>
      </c>
      <c r="K101">
        <v>1650</v>
      </c>
      <c r="L101">
        <v>0</v>
      </c>
      <c r="M101">
        <v>0</v>
      </c>
      <c r="N101">
        <v>1650</v>
      </c>
    </row>
    <row r="102" spans="1:14" x14ac:dyDescent="0.25">
      <c r="A102">
        <v>3.2152609999999999</v>
      </c>
      <c r="B102" s="1">
        <f>DATE(2010,5,4) + TIME(5,9,58)</f>
        <v>40302.215254629627</v>
      </c>
      <c r="C102">
        <v>80</v>
      </c>
      <c r="D102">
        <v>78.510871886999993</v>
      </c>
      <c r="E102">
        <v>40</v>
      </c>
      <c r="F102">
        <v>14.999272346</v>
      </c>
      <c r="G102">
        <v>1344.6544189000001</v>
      </c>
      <c r="H102">
        <v>1341.3909911999999</v>
      </c>
      <c r="I102">
        <v>1318.9810791</v>
      </c>
      <c r="J102">
        <v>1313.5399170000001</v>
      </c>
      <c r="K102">
        <v>1650</v>
      </c>
      <c r="L102">
        <v>0</v>
      </c>
      <c r="M102">
        <v>0</v>
      </c>
      <c r="N102">
        <v>1650</v>
      </c>
    </row>
    <row r="103" spans="1:14" x14ac:dyDescent="0.25">
      <c r="A103">
        <v>3.2933370000000002</v>
      </c>
      <c r="B103" s="1">
        <f>DATE(2010,5,4) + TIME(7,2,24)</f>
        <v>40302.293333333335</v>
      </c>
      <c r="C103">
        <v>80</v>
      </c>
      <c r="D103">
        <v>78.658020019999995</v>
      </c>
      <c r="E103">
        <v>40</v>
      </c>
      <c r="F103">
        <v>14.999276160999999</v>
      </c>
      <c r="G103">
        <v>1344.6608887</v>
      </c>
      <c r="H103">
        <v>1341.3922118999999</v>
      </c>
      <c r="I103">
        <v>1318.9814452999999</v>
      </c>
      <c r="J103">
        <v>1313.5401611</v>
      </c>
      <c r="K103">
        <v>1650</v>
      </c>
      <c r="L103">
        <v>0</v>
      </c>
      <c r="M103">
        <v>0</v>
      </c>
      <c r="N103">
        <v>1650</v>
      </c>
    </row>
    <row r="104" spans="1:14" x14ac:dyDescent="0.25">
      <c r="A104">
        <v>3.373901</v>
      </c>
      <c r="B104" s="1">
        <f>DATE(2010,5,4) + TIME(8,58,25)</f>
        <v>40302.373900462961</v>
      </c>
      <c r="C104">
        <v>80</v>
      </c>
      <c r="D104">
        <v>78.793548584000007</v>
      </c>
      <c r="E104">
        <v>40</v>
      </c>
      <c r="F104">
        <v>14.999279022</v>
      </c>
      <c r="G104">
        <v>1344.6663818</v>
      </c>
      <c r="H104">
        <v>1341.3922118999999</v>
      </c>
      <c r="I104">
        <v>1318.9819336</v>
      </c>
      <c r="J104">
        <v>1313.5404053</v>
      </c>
      <c r="K104">
        <v>1650</v>
      </c>
      <c r="L104">
        <v>0</v>
      </c>
      <c r="M104">
        <v>0</v>
      </c>
      <c r="N104">
        <v>1650</v>
      </c>
    </row>
    <row r="105" spans="1:14" x14ac:dyDescent="0.25">
      <c r="A105">
        <v>3.4569179999999999</v>
      </c>
      <c r="B105" s="1">
        <f>DATE(2010,5,4) + TIME(10,57,57)</f>
        <v>40302.456909722219</v>
      </c>
      <c r="C105">
        <v>80</v>
      </c>
      <c r="D105">
        <v>78.917755127000007</v>
      </c>
      <c r="E105">
        <v>40</v>
      </c>
      <c r="F105">
        <v>14.999282837000001</v>
      </c>
      <c r="G105">
        <v>1344.6706543</v>
      </c>
      <c r="H105">
        <v>1341.3912353999999</v>
      </c>
      <c r="I105">
        <v>1318.9822998</v>
      </c>
      <c r="J105">
        <v>1313.5405272999999</v>
      </c>
      <c r="K105">
        <v>1650</v>
      </c>
      <c r="L105">
        <v>0</v>
      </c>
      <c r="M105">
        <v>0</v>
      </c>
      <c r="N105">
        <v>1650</v>
      </c>
    </row>
    <row r="106" spans="1:14" x14ac:dyDescent="0.25">
      <c r="A106">
        <v>3.5426310000000001</v>
      </c>
      <c r="B106" s="1">
        <f>DATE(2010,5,4) + TIME(13,1,23)</f>
        <v>40302.542627314811</v>
      </c>
      <c r="C106">
        <v>80</v>
      </c>
      <c r="D106">
        <v>79.031356811999999</v>
      </c>
      <c r="E106">
        <v>40</v>
      </c>
      <c r="F106">
        <v>14.999286652</v>
      </c>
      <c r="G106">
        <v>1344.6737060999999</v>
      </c>
      <c r="H106">
        <v>1341.3890381000001</v>
      </c>
      <c r="I106">
        <v>1318.9827881000001</v>
      </c>
      <c r="J106">
        <v>1313.5407714999999</v>
      </c>
      <c r="K106">
        <v>1650</v>
      </c>
      <c r="L106">
        <v>0</v>
      </c>
      <c r="M106">
        <v>0</v>
      </c>
      <c r="N106">
        <v>1650</v>
      </c>
    </row>
    <row r="107" spans="1:14" x14ac:dyDescent="0.25">
      <c r="A107">
        <v>3.6311079999999998</v>
      </c>
      <c r="B107" s="1">
        <f>DATE(2010,5,4) + TIME(15,8,47)</f>
        <v>40302.631099537037</v>
      </c>
      <c r="C107">
        <v>80</v>
      </c>
      <c r="D107">
        <v>79.134803771999998</v>
      </c>
      <c r="E107">
        <v>40</v>
      </c>
      <c r="F107">
        <v>14.999290466</v>
      </c>
      <c r="G107">
        <v>1344.6756591999999</v>
      </c>
      <c r="H107">
        <v>1341.3857422000001</v>
      </c>
      <c r="I107">
        <v>1318.9831543</v>
      </c>
      <c r="J107">
        <v>1313.5410156</v>
      </c>
      <c r="K107">
        <v>1650</v>
      </c>
      <c r="L107">
        <v>0</v>
      </c>
      <c r="M107">
        <v>0</v>
      </c>
      <c r="N107">
        <v>1650</v>
      </c>
    </row>
    <row r="108" spans="1:14" x14ac:dyDescent="0.25">
      <c r="A108">
        <v>3.7225419999999998</v>
      </c>
      <c r="B108" s="1">
        <f>DATE(2010,5,4) + TIME(17,20,27)</f>
        <v>40302.722534722219</v>
      </c>
      <c r="C108">
        <v>80</v>
      </c>
      <c r="D108">
        <v>79.228729247999993</v>
      </c>
      <c r="E108">
        <v>40</v>
      </c>
      <c r="F108">
        <v>14.999293327</v>
      </c>
      <c r="G108">
        <v>1344.6765137</v>
      </c>
      <c r="H108">
        <v>1341.3814697</v>
      </c>
      <c r="I108">
        <v>1318.9836425999999</v>
      </c>
      <c r="J108">
        <v>1313.5412598</v>
      </c>
      <c r="K108">
        <v>1650</v>
      </c>
      <c r="L108">
        <v>0</v>
      </c>
      <c r="M108">
        <v>0</v>
      </c>
      <c r="N108">
        <v>1650</v>
      </c>
    </row>
    <row r="109" spans="1:14" x14ac:dyDescent="0.25">
      <c r="A109">
        <v>3.817221</v>
      </c>
      <c r="B109" s="1">
        <f>DATE(2010,5,4) + TIME(19,36,47)</f>
        <v>40302.817210648151</v>
      </c>
      <c r="C109">
        <v>80</v>
      </c>
      <c r="D109">
        <v>79.313766478999995</v>
      </c>
      <c r="E109">
        <v>40</v>
      </c>
      <c r="F109">
        <v>14.999297142</v>
      </c>
      <c r="G109">
        <v>1344.6761475000001</v>
      </c>
      <c r="H109">
        <v>1341.3759766000001</v>
      </c>
      <c r="I109">
        <v>1318.9841309000001</v>
      </c>
      <c r="J109">
        <v>1313.5415039</v>
      </c>
      <c r="K109">
        <v>1650</v>
      </c>
      <c r="L109">
        <v>0</v>
      </c>
      <c r="M109">
        <v>0</v>
      </c>
      <c r="N109">
        <v>1650</v>
      </c>
    </row>
    <row r="110" spans="1:14" x14ac:dyDescent="0.25">
      <c r="A110">
        <v>3.9152650000000002</v>
      </c>
      <c r="B110" s="1">
        <f>DATE(2010,5,4) + TIME(21,57,58)</f>
        <v>40302.915254629632</v>
      </c>
      <c r="C110">
        <v>80</v>
      </c>
      <c r="D110">
        <v>79.390426636000001</v>
      </c>
      <c r="E110">
        <v>40</v>
      </c>
      <c r="F110">
        <v>14.999300957000001</v>
      </c>
      <c r="G110">
        <v>1344.6745605000001</v>
      </c>
      <c r="H110">
        <v>1341.3695068</v>
      </c>
      <c r="I110">
        <v>1318.9846190999999</v>
      </c>
      <c r="J110">
        <v>1313.5417480000001</v>
      </c>
      <c r="K110">
        <v>1650</v>
      </c>
      <c r="L110">
        <v>0</v>
      </c>
      <c r="M110">
        <v>0</v>
      </c>
      <c r="N110">
        <v>1650</v>
      </c>
    </row>
    <row r="111" spans="1:14" x14ac:dyDescent="0.25">
      <c r="A111">
        <v>3.9657809999999998</v>
      </c>
      <c r="B111" s="1">
        <f>DATE(2010,5,4) + TIME(23,10,43)</f>
        <v>40302.965775462966</v>
      </c>
      <c r="C111">
        <v>80</v>
      </c>
      <c r="D111">
        <v>79.427154540999993</v>
      </c>
      <c r="E111">
        <v>40</v>
      </c>
      <c r="F111">
        <v>14.999302864000001</v>
      </c>
      <c r="G111">
        <v>1344.6740723</v>
      </c>
      <c r="H111">
        <v>1341.3619385</v>
      </c>
      <c r="I111">
        <v>1318.9849853999999</v>
      </c>
      <c r="J111">
        <v>1313.5419922000001</v>
      </c>
      <c r="K111">
        <v>1650</v>
      </c>
      <c r="L111">
        <v>0</v>
      </c>
      <c r="M111">
        <v>0</v>
      </c>
      <c r="N111">
        <v>1650</v>
      </c>
    </row>
    <row r="112" spans="1:14" x14ac:dyDescent="0.25">
      <c r="A112">
        <v>4.0162969999999998</v>
      </c>
      <c r="B112" s="1">
        <f>DATE(2010,5,5) + TIME(0,23,28)</f>
        <v>40303.016296296293</v>
      </c>
      <c r="C112">
        <v>80</v>
      </c>
      <c r="D112">
        <v>79.461257935000006</v>
      </c>
      <c r="E112">
        <v>40</v>
      </c>
      <c r="F112">
        <v>14.999304771</v>
      </c>
      <c r="G112">
        <v>1344.6723632999999</v>
      </c>
      <c r="H112">
        <v>1341.3579102000001</v>
      </c>
      <c r="I112">
        <v>1318.9852295000001</v>
      </c>
      <c r="J112">
        <v>1313.5421143000001</v>
      </c>
      <c r="K112">
        <v>1650</v>
      </c>
      <c r="L112">
        <v>0</v>
      </c>
      <c r="M112">
        <v>0</v>
      </c>
      <c r="N112">
        <v>1650</v>
      </c>
    </row>
    <row r="113" spans="1:14" x14ac:dyDescent="0.25">
      <c r="A113">
        <v>4.0668139999999999</v>
      </c>
      <c r="B113" s="1">
        <f>DATE(2010,5,5) + TIME(1,36,12)</f>
        <v>40303.066805555558</v>
      </c>
      <c r="C113">
        <v>80</v>
      </c>
      <c r="D113">
        <v>79.492927550999994</v>
      </c>
      <c r="E113">
        <v>40</v>
      </c>
      <c r="F113">
        <v>14.999306679</v>
      </c>
      <c r="G113">
        <v>1344.6705322</v>
      </c>
      <c r="H113">
        <v>1341.3537598</v>
      </c>
      <c r="I113">
        <v>1318.9854736</v>
      </c>
      <c r="J113">
        <v>1313.5422363</v>
      </c>
      <c r="K113">
        <v>1650</v>
      </c>
      <c r="L113">
        <v>0</v>
      </c>
      <c r="M113">
        <v>0</v>
      </c>
      <c r="N113">
        <v>1650</v>
      </c>
    </row>
    <row r="114" spans="1:14" x14ac:dyDescent="0.25">
      <c r="A114">
        <v>4.1173299999999999</v>
      </c>
      <c r="B114" s="1">
        <f>DATE(2010,5,5) + TIME(2,48,57)</f>
        <v>40303.117326388892</v>
      </c>
      <c r="C114">
        <v>80</v>
      </c>
      <c r="D114">
        <v>79.522323607999994</v>
      </c>
      <c r="E114">
        <v>40</v>
      </c>
      <c r="F114">
        <v>14.999308586</v>
      </c>
      <c r="G114">
        <v>1344.6683350000001</v>
      </c>
      <c r="H114">
        <v>1341.3493652</v>
      </c>
      <c r="I114">
        <v>1318.9857178</v>
      </c>
      <c r="J114">
        <v>1313.5424805</v>
      </c>
      <c r="K114">
        <v>1650</v>
      </c>
      <c r="L114">
        <v>0</v>
      </c>
      <c r="M114">
        <v>0</v>
      </c>
      <c r="N114">
        <v>1650</v>
      </c>
    </row>
    <row r="115" spans="1:14" x14ac:dyDescent="0.25">
      <c r="A115">
        <v>4.1678459999999999</v>
      </c>
      <c r="B115" s="1">
        <f>DATE(2010,5,5) + TIME(4,1,41)</f>
        <v>40303.16783564815</v>
      </c>
      <c r="C115">
        <v>80</v>
      </c>
      <c r="D115">
        <v>79.549606323000006</v>
      </c>
      <c r="E115">
        <v>40</v>
      </c>
      <c r="F115">
        <v>14.99930954</v>
      </c>
      <c r="G115">
        <v>1344.6658935999999</v>
      </c>
      <c r="H115">
        <v>1341.3448486</v>
      </c>
      <c r="I115">
        <v>1318.9859618999999</v>
      </c>
      <c r="J115">
        <v>1313.5426024999999</v>
      </c>
      <c r="K115">
        <v>1650</v>
      </c>
      <c r="L115">
        <v>0</v>
      </c>
      <c r="M115">
        <v>0</v>
      </c>
      <c r="N115">
        <v>1650</v>
      </c>
    </row>
    <row r="116" spans="1:14" x14ac:dyDescent="0.25">
      <c r="A116">
        <v>4.2183619999999999</v>
      </c>
      <c r="B116" s="1">
        <f>DATE(2010,5,5) + TIME(5,14,26)</f>
        <v>40303.218356481484</v>
      </c>
      <c r="C116">
        <v>80</v>
      </c>
      <c r="D116">
        <v>79.574943542</v>
      </c>
      <c r="E116">
        <v>40</v>
      </c>
      <c r="F116">
        <v>14.999311447</v>
      </c>
      <c r="G116">
        <v>1344.6633300999999</v>
      </c>
      <c r="H116">
        <v>1341.3400879000001</v>
      </c>
      <c r="I116">
        <v>1318.9862060999999</v>
      </c>
      <c r="J116">
        <v>1313.5427245999999</v>
      </c>
      <c r="K116">
        <v>1650</v>
      </c>
      <c r="L116">
        <v>0</v>
      </c>
      <c r="M116">
        <v>0</v>
      </c>
      <c r="N116">
        <v>1650</v>
      </c>
    </row>
    <row r="117" spans="1:14" x14ac:dyDescent="0.25">
      <c r="A117">
        <v>4.268878</v>
      </c>
      <c r="B117" s="1">
        <f>DATE(2010,5,5) + TIME(6,27,11)</f>
        <v>40303.268877314818</v>
      </c>
      <c r="C117">
        <v>80</v>
      </c>
      <c r="D117">
        <v>79.598464965999995</v>
      </c>
      <c r="E117">
        <v>40</v>
      </c>
      <c r="F117">
        <v>14.999313354</v>
      </c>
      <c r="G117">
        <v>1344.6605225000001</v>
      </c>
      <c r="H117">
        <v>1341.3353271000001</v>
      </c>
      <c r="I117">
        <v>1318.9863281</v>
      </c>
      <c r="J117">
        <v>1313.5428466999999</v>
      </c>
      <c r="K117">
        <v>1650</v>
      </c>
      <c r="L117">
        <v>0</v>
      </c>
      <c r="M117">
        <v>0</v>
      </c>
      <c r="N117">
        <v>1650</v>
      </c>
    </row>
    <row r="118" spans="1:14" x14ac:dyDescent="0.25">
      <c r="A118">
        <v>4.319394</v>
      </c>
      <c r="B118" s="1">
        <f>DATE(2010,5,5) + TIME(7,39,55)</f>
        <v>40303.319386574076</v>
      </c>
      <c r="C118">
        <v>80</v>
      </c>
      <c r="D118">
        <v>79.620300293</v>
      </c>
      <c r="E118">
        <v>40</v>
      </c>
      <c r="F118">
        <v>14.999315262</v>
      </c>
      <c r="G118">
        <v>1344.6574707</v>
      </c>
      <c r="H118">
        <v>1341.3303223</v>
      </c>
      <c r="I118">
        <v>1318.9865723</v>
      </c>
      <c r="J118">
        <v>1313.5429687999999</v>
      </c>
      <c r="K118">
        <v>1650</v>
      </c>
      <c r="L118">
        <v>0</v>
      </c>
      <c r="M118">
        <v>0</v>
      </c>
      <c r="N118">
        <v>1650</v>
      </c>
    </row>
    <row r="119" spans="1:14" x14ac:dyDescent="0.25">
      <c r="A119">
        <v>4.36991</v>
      </c>
      <c r="B119" s="1">
        <f>DATE(2010,5,5) + TIME(8,52,40)</f>
        <v>40303.36990740741</v>
      </c>
      <c r="C119">
        <v>80</v>
      </c>
      <c r="D119">
        <v>79.640579224000007</v>
      </c>
      <c r="E119">
        <v>40</v>
      </c>
      <c r="F119">
        <v>14.999317168999999</v>
      </c>
      <c r="G119">
        <v>1344.6542969</v>
      </c>
      <c r="H119">
        <v>1341.3253173999999</v>
      </c>
      <c r="I119">
        <v>1318.9868164</v>
      </c>
      <c r="J119">
        <v>1313.5430908000001</v>
      </c>
      <c r="K119">
        <v>1650</v>
      </c>
      <c r="L119">
        <v>0</v>
      </c>
      <c r="M119">
        <v>0</v>
      </c>
      <c r="N119">
        <v>1650</v>
      </c>
    </row>
    <row r="120" spans="1:14" x14ac:dyDescent="0.25">
      <c r="A120">
        <v>4.420426</v>
      </c>
      <c r="B120" s="1">
        <f>DATE(2010,5,5) + TIME(10,5,24)</f>
        <v>40303.420416666668</v>
      </c>
      <c r="C120">
        <v>80</v>
      </c>
      <c r="D120">
        <v>79.659400939999998</v>
      </c>
      <c r="E120">
        <v>40</v>
      </c>
      <c r="F120">
        <v>14.999318123</v>
      </c>
      <c r="G120">
        <v>1344.6508789</v>
      </c>
      <c r="H120">
        <v>1341.3200684000001</v>
      </c>
      <c r="I120">
        <v>1318.9870605000001</v>
      </c>
      <c r="J120">
        <v>1313.5432129000001</v>
      </c>
      <c r="K120">
        <v>1650</v>
      </c>
      <c r="L120">
        <v>0</v>
      </c>
      <c r="M120">
        <v>0</v>
      </c>
      <c r="N120">
        <v>1650</v>
      </c>
    </row>
    <row r="121" spans="1:14" x14ac:dyDescent="0.25">
      <c r="A121">
        <v>4.521458</v>
      </c>
      <c r="B121" s="1">
        <f>DATE(2010,5,5) + TIME(12,30,53)</f>
        <v>40303.52144675926</v>
      </c>
      <c r="C121">
        <v>80</v>
      </c>
      <c r="D121">
        <v>79.692001343000001</v>
      </c>
      <c r="E121">
        <v>40</v>
      </c>
      <c r="F121">
        <v>14.999321938</v>
      </c>
      <c r="G121">
        <v>1344.6461182</v>
      </c>
      <c r="H121">
        <v>1341.3149414</v>
      </c>
      <c r="I121">
        <v>1318.9873047000001</v>
      </c>
      <c r="J121">
        <v>1313.5433350000001</v>
      </c>
      <c r="K121">
        <v>1650</v>
      </c>
      <c r="L121">
        <v>0</v>
      </c>
      <c r="M121">
        <v>0</v>
      </c>
      <c r="N121">
        <v>1650</v>
      </c>
    </row>
    <row r="122" spans="1:14" x14ac:dyDescent="0.25">
      <c r="A122">
        <v>4.6226710000000004</v>
      </c>
      <c r="B122" s="1">
        <f>DATE(2010,5,5) + TIME(14,56,38)</f>
        <v>40303.622662037036</v>
      </c>
      <c r="C122">
        <v>80</v>
      </c>
      <c r="D122">
        <v>79.720314025999997</v>
      </c>
      <c r="E122">
        <v>40</v>
      </c>
      <c r="F122">
        <v>14.999324799</v>
      </c>
      <c r="G122">
        <v>1344.6384277</v>
      </c>
      <c r="H122">
        <v>1341.3039550999999</v>
      </c>
      <c r="I122">
        <v>1318.9876709</v>
      </c>
      <c r="J122">
        <v>1313.5437012</v>
      </c>
      <c r="K122">
        <v>1650</v>
      </c>
      <c r="L122">
        <v>0</v>
      </c>
      <c r="M122">
        <v>0</v>
      </c>
      <c r="N122">
        <v>1650</v>
      </c>
    </row>
    <row r="123" spans="1:14" x14ac:dyDescent="0.25">
      <c r="A123">
        <v>4.7244960000000003</v>
      </c>
      <c r="B123" s="1">
        <f>DATE(2010,5,5) + TIME(17,23,16)</f>
        <v>40303.724490740744</v>
      </c>
      <c r="C123">
        <v>80</v>
      </c>
      <c r="D123">
        <v>79.744995117000002</v>
      </c>
      <c r="E123">
        <v>40</v>
      </c>
      <c r="F123">
        <v>14.999327660000001</v>
      </c>
      <c r="G123">
        <v>1344.630249</v>
      </c>
      <c r="H123">
        <v>1341.2927245999999</v>
      </c>
      <c r="I123">
        <v>1318.9881591999999</v>
      </c>
      <c r="J123">
        <v>1313.5439452999999</v>
      </c>
      <c r="K123">
        <v>1650</v>
      </c>
      <c r="L123">
        <v>0</v>
      </c>
      <c r="M123">
        <v>0</v>
      </c>
      <c r="N123">
        <v>1650</v>
      </c>
    </row>
    <row r="124" spans="1:14" x14ac:dyDescent="0.25">
      <c r="A124">
        <v>4.8270970000000002</v>
      </c>
      <c r="B124" s="1">
        <f>DATE(2010,5,5) + TIME(19,51,1)</f>
        <v>40303.827094907407</v>
      </c>
      <c r="C124">
        <v>80</v>
      </c>
      <c r="D124">
        <v>79.766540527000004</v>
      </c>
      <c r="E124">
        <v>40</v>
      </c>
      <c r="F124">
        <v>14.999330520999999</v>
      </c>
      <c r="G124">
        <v>1344.621582</v>
      </c>
      <c r="H124">
        <v>1341.2811279</v>
      </c>
      <c r="I124">
        <v>1318.9885254000001</v>
      </c>
      <c r="J124">
        <v>1313.5441894999999</v>
      </c>
      <c r="K124">
        <v>1650</v>
      </c>
      <c r="L124">
        <v>0</v>
      </c>
      <c r="M124">
        <v>0</v>
      </c>
      <c r="N124">
        <v>1650</v>
      </c>
    </row>
    <row r="125" spans="1:14" x14ac:dyDescent="0.25">
      <c r="A125">
        <v>4.9306289999999997</v>
      </c>
      <c r="B125" s="1">
        <f>DATE(2010,5,5) + TIME(22,20,6)</f>
        <v>40303.930625000001</v>
      </c>
      <c r="C125">
        <v>80</v>
      </c>
      <c r="D125">
        <v>79.785354613999999</v>
      </c>
      <c r="E125">
        <v>40</v>
      </c>
      <c r="F125">
        <v>14.999333382</v>
      </c>
      <c r="G125">
        <v>1344.6124268000001</v>
      </c>
      <c r="H125">
        <v>1341.2691649999999</v>
      </c>
      <c r="I125">
        <v>1318.9890137</v>
      </c>
      <c r="J125">
        <v>1313.5444336</v>
      </c>
      <c r="K125">
        <v>1650</v>
      </c>
      <c r="L125">
        <v>0</v>
      </c>
      <c r="M125">
        <v>0</v>
      </c>
      <c r="N125">
        <v>1650</v>
      </c>
    </row>
    <row r="126" spans="1:14" x14ac:dyDescent="0.25">
      <c r="A126">
        <v>5.0352480000000002</v>
      </c>
      <c r="B126" s="1">
        <f>DATE(2010,5,6) + TIME(0,50,45)</f>
        <v>40304.035243055558</v>
      </c>
      <c r="C126">
        <v>80</v>
      </c>
      <c r="D126">
        <v>79.801795959000003</v>
      </c>
      <c r="E126">
        <v>40</v>
      </c>
      <c r="F126">
        <v>14.999336243</v>
      </c>
      <c r="G126">
        <v>1344.6027832</v>
      </c>
      <c r="H126">
        <v>1341.2570800999999</v>
      </c>
      <c r="I126">
        <v>1318.9893798999999</v>
      </c>
      <c r="J126">
        <v>1313.5446777</v>
      </c>
      <c r="K126">
        <v>1650</v>
      </c>
      <c r="L126">
        <v>0</v>
      </c>
      <c r="M126">
        <v>0</v>
      </c>
      <c r="N126">
        <v>1650</v>
      </c>
    </row>
    <row r="127" spans="1:14" x14ac:dyDescent="0.25">
      <c r="A127">
        <v>5.1411150000000001</v>
      </c>
      <c r="B127" s="1">
        <f>DATE(2010,5,6) + TIME(3,23,12)</f>
        <v>40304.141111111108</v>
      </c>
      <c r="C127">
        <v>80</v>
      </c>
      <c r="D127">
        <v>79.816169739000003</v>
      </c>
      <c r="E127">
        <v>40</v>
      </c>
      <c r="F127">
        <v>14.999339104000001</v>
      </c>
      <c r="G127">
        <v>1344.5926514</v>
      </c>
      <c r="H127">
        <v>1341.244751</v>
      </c>
      <c r="I127">
        <v>1318.9897461</v>
      </c>
      <c r="J127">
        <v>1313.5449219</v>
      </c>
      <c r="K127">
        <v>1650</v>
      </c>
      <c r="L127">
        <v>0</v>
      </c>
      <c r="M127">
        <v>0</v>
      </c>
      <c r="N127">
        <v>1650</v>
      </c>
    </row>
    <row r="128" spans="1:14" x14ac:dyDescent="0.25">
      <c r="A128">
        <v>5.2483919999999999</v>
      </c>
      <c r="B128" s="1">
        <f>DATE(2010,5,6) + TIME(5,57,41)</f>
        <v>40304.248391203706</v>
      </c>
      <c r="C128">
        <v>80</v>
      </c>
      <c r="D128">
        <v>79.828735351999995</v>
      </c>
      <c r="E128">
        <v>40</v>
      </c>
      <c r="F128">
        <v>14.999342918</v>
      </c>
      <c r="G128">
        <v>1344.5822754000001</v>
      </c>
      <c r="H128">
        <v>1341.2321777</v>
      </c>
      <c r="I128">
        <v>1318.9902344</v>
      </c>
      <c r="J128">
        <v>1313.5452881000001</v>
      </c>
      <c r="K128">
        <v>1650</v>
      </c>
      <c r="L128">
        <v>0</v>
      </c>
      <c r="M128">
        <v>0</v>
      </c>
      <c r="N128">
        <v>1650</v>
      </c>
    </row>
    <row r="129" spans="1:14" x14ac:dyDescent="0.25">
      <c r="A129">
        <v>5.3572490000000004</v>
      </c>
      <c r="B129" s="1">
        <f>DATE(2010,5,6) + TIME(8,34,26)</f>
        <v>40304.357245370367</v>
      </c>
      <c r="C129">
        <v>80</v>
      </c>
      <c r="D129">
        <v>79.839721679999997</v>
      </c>
      <c r="E129">
        <v>40</v>
      </c>
      <c r="F129">
        <v>14.999345779</v>
      </c>
      <c r="G129">
        <v>1344.5714111</v>
      </c>
      <c r="H129">
        <v>1341.2192382999999</v>
      </c>
      <c r="I129">
        <v>1318.9906006000001</v>
      </c>
      <c r="J129">
        <v>1313.5455322</v>
      </c>
      <c r="K129">
        <v>1650</v>
      </c>
      <c r="L129">
        <v>0</v>
      </c>
      <c r="M129">
        <v>0</v>
      </c>
      <c r="N129">
        <v>1650</v>
      </c>
    </row>
    <row r="130" spans="1:14" x14ac:dyDescent="0.25">
      <c r="A130">
        <v>5.4678639999999996</v>
      </c>
      <c r="B130" s="1">
        <f>DATE(2010,5,6) + TIME(11,13,43)</f>
        <v>40304.467858796299</v>
      </c>
      <c r="C130">
        <v>80</v>
      </c>
      <c r="D130">
        <v>79.849342346</v>
      </c>
      <c r="E130">
        <v>40</v>
      </c>
      <c r="F130">
        <v>14.999348639999999</v>
      </c>
      <c r="G130">
        <v>1344.5603027</v>
      </c>
      <c r="H130">
        <v>1341.2062988</v>
      </c>
      <c r="I130">
        <v>1318.9910889</v>
      </c>
      <c r="J130">
        <v>1313.5457764</v>
      </c>
      <c r="K130">
        <v>1650</v>
      </c>
      <c r="L130">
        <v>0</v>
      </c>
      <c r="M130">
        <v>0</v>
      </c>
      <c r="N130">
        <v>1650</v>
      </c>
    </row>
    <row r="131" spans="1:14" x14ac:dyDescent="0.25">
      <c r="A131">
        <v>5.5804239999999998</v>
      </c>
      <c r="B131" s="1">
        <f>DATE(2010,5,6) + TIME(13,55,48)</f>
        <v>40304.580416666664</v>
      </c>
      <c r="C131">
        <v>80</v>
      </c>
      <c r="D131">
        <v>79.857749939000001</v>
      </c>
      <c r="E131">
        <v>40</v>
      </c>
      <c r="F131">
        <v>14.999350548000001</v>
      </c>
      <c r="G131">
        <v>1344.5487060999999</v>
      </c>
      <c r="H131">
        <v>1341.1929932</v>
      </c>
      <c r="I131">
        <v>1318.9914550999999</v>
      </c>
      <c r="J131">
        <v>1313.5460204999999</v>
      </c>
      <c r="K131">
        <v>1650</v>
      </c>
      <c r="L131">
        <v>0</v>
      </c>
      <c r="M131">
        <v>0</v>
      </c>
      <c r="N131">
        <v>1650</v>
      </c>
    </row>
    <row r="132" spans="1:14" x14ac:dyDescent="0.25">
      <c r="A132">
        <v>5.6951450000000001</v>
      </c>
      <c r="B132" s="1">
        <f>DATE(2010,5,6) + TIME(16,41,0)</f>
        <v>40304.695138888892</v>
      </c>
      <c r="C132">
        <v>80</v>
      </c>
      <c r="D132">
        <v>79.865112304999997</v>
      </c>
      <c r="E132">
        <v>40</v>
      </c>
      <c r="F132">
        <v>14.999353408999999</v>
      </c>
      <c r="G132">
        <v>1344.5367432</v>
      </c>
      <c r="H132">
        <v>1341.1795654</v>
      </c>
      <c r="I132">
        <v>1318.9919434000001</v>
      </c>
      <c r="J132">
        <v>1313.5463867000001</v>
      </c>
      <c r="K132">
        <v>1650</v>
      </c>
      <c r="L132">
        <v>0</v>
      </c>
      <c r="M132">
        <v>0</v>
      </c>
      <c r="N132">
        <v>1650</v>
      </c>
    </row>
    <row r="133" spans="1:14" x14ac:dyDescent="0.25">
      <c r="A133">
        <v>5.8122600000000002</v>
      </c>
      <c r="B133" s="1">
        <f>DATE(2010,5,6) + TIME(19,29,39)</f>
        <v>40304.812256944446</v>
      </c>
      <c r="C133">
        <v>80</v>
      </c>
      <c r="D133">
        <v>79.871551514000004</v>
      </c>
      <c r="E133">
        <v>40</v>
      </c>
      <c r="F133">
        <v>14.99935627</v>
      </c>
      <c r="G133">
        <v>1344.5245361</v>
      </c>
      <c r="H133">
        <v>1341.1657714999999</v>
      </c>
      <c r="I133">
        <v>1318.9923096</v>
      </c>
      <c r="J133">
        <v>1313.5466309000001</v>
      </c>
      <c r="K133">
        <v>1650</v>
      </c>
      <c r="L133">
        <v>0</v>
      </c>
      <c r="M133">
        <v>0</v>
      </c>
      <c r="N133">
        <v>1650</v>
      </c>
    </row>
    <row r="134" spans="1:14" x14ac:dyDescent="0.25">
      <c r="A134">
        <v>5.9319660000000001</v>
      </c>
      <c r="B134" s="1">
        <f>DATE(2010,5,6) + TIME(22,22,1)</f>
        <v>40304.931956018518</v>
      </c>
      <c r="C134">
        <v>80</v>
      </c>
      <c r="D134">
        <v>79.877189635999997</v>
      </c>
      <c r="E134">
        <v>40</v>
      </c>
      <c r="F134">
        <v>14.999359131</v>
      </c>
      <c r="G134">
        <v>1344.5118408000001</v>
      </c>
      <c r="H134">
        <v>1341.1518555</v>
      </c>
      <c r="I134">
        <v>1318.9927978999999</v>
      </c>
      <c r="J134">
        <v>1313.546875</v>
      </c>
      <c r="K134">
        <v>1650</v>
      </c>
      <c r="L134">
        <v>0</v>
      </c>
      <c r="M134">
        <v>0</v>
      </c>
      <c r="N134">
        <v>1650</v>
      </c>
    </row>
    <row r="135" spans="1:14" x14ac:dyDescent="0.25">
      <c r="A135">
        <v>6.0545140000000002</v>
      </c>
      <c r="B135" s="1">
        <f>DATE(2010,5,7) + TIME(1,18,29)</f>
        <v>40305.054502314815</v>
      </c>
      <c r="C135">
        <v>80</v>
      </c>
      <c r="D135">
        <v>79.882118224999999</v>
      </c>
      <c r="E135">
        <v>40</v>
      </c>
      <c r="F135">
        <v>14.999361992000001</v>
      </c>
      <c r="G135">
        <v>1344.4989014</v>
      </c>
      <c r="H135">
        <v>1341.1376952999999</v>
      </c>
      <c r="I135">
        <v>1318.9931641000001</v>
      </c>
      <c r="J135">
        <v>1313.5472411999999</v>
      </c>
      <c r="K135">
        <v>1650</v>
      </c>
      <c r="L135">
        <v>0</v>
      </c>
      <c r="M135">
        <v>0</v>
      </c>
      <c r="N135">
        <v>1650</v>
      </c>
    </row>
    <row r="136" spans="1:14" x14ac:dyDescent="0.25">
      <c r="A136">
        <v>6.1801729999999999</v>
      </c>
      <c r="B136" s="1">
        <f>DATE(2010,5,7) + TIME(4,19,26)</f>
        <v>40305.180162037039</v>
      </c>
      <c r="C136">
        <v>80</v>
      </c>
      <c r="D136">
        <v>79.886436462000006</v>
      </c>
      <c r="E136">
        <v>40</v>
      </c>
      <c r="F136">
        <v>14.999364852999999</v>
      </c>
      <c r="G136">
        <v>1344.4855957</v>
      </c>
      <c r="H136">
        <v>1341.1232910000001</v>
      </c>
      <c r="I136">
        <v>1318.9936522999999</v>
      </c>
      <c r="J136">
        <v>1313.5474853999999</v>
      </c>
      <c r="K136">
        <v>1650</v>
      </c>
      <c r="L136">
        <v>0</v>
      </c>
      <c r="M136">
        <v>0</v>
      </c>
      <c r="N136">
        <v>1650</v>
      </c>
    </row>
    <row r="137" spans="1:14" x14ac:dyDescent="0.25">
      <c r="A137">
        <v>6.3092430000000004</v>
      </c>
      <c r="B137" s="1">
        <f>DATE(2010,5,7) + TIME(7,25,18)</f>
        <v>40305.309236111112</v>
      </c>
      <c r="C137">
        <v>80</v>
      </c>
      <c r="D137">
        <v>79.890205382999994</v>
      </c>
      <c r="E137">
        <v>40</v>
      </c>
      <c r="F137">
        <v>14.999367714</v>
      </c>
      <c r="G137">
        <v>1344.4718018000001</v>
      </c>
      <c r="H137">
        <v>1341.1086425999999</v>
      </c>
      <c r="I137">
        <v>1318.9941406</v>
      </c>
      <c r="J137">
        <v>1313.5478516000001</v>
      </c>
      <c r="K137">
        <v>1650</v>
      </c>
      <c r="L137">
        <v>0</v>
      </c>
      <c r="M137">
        <v>0</v>
      </c>
      <c r="N137">
        <v>1650</v>
      </c>
    </row>
    <row r="138" spans="1:14" x14ac:dyDescent="0.25">
      <c r="A138">
        <v>6.4420510000000002</v>
      </c>
      <c r="B138" s="1">
        <f>DATE(2010,5,7) + TIME(10,36,33)</f>
        <v>40305.442048611112</v>
      </c>
      <c r="C138">
        <v>80</v>
      </c>
      <c r="D138">
        <v>79.893508910999998</v>
      </c>
      <c r="E138">
        <v>40</v>
      </c>
      <c r="F138">
        <v>14.999371528999999</v>
      </c>
      <c r="G138">
        <v>1344.4577637</v>
      </c>
      <c r="H138">
        <v>1341.09375</v>
      </c>
      <c r="I138">
        <v>1318.9945068</v>
      </c>
      <c r="J138">
        <v>1313.5482178</v>
      </c>
      <c r="K138">
        <v>1650</v>
      </c>
      <c r="L138">
        <v>0</v>
      </c>
      <c r="M138">
        <v>0</v>
      </c>
      <c r="N138">
        <v>1650</v>
      </c>
    </row>
    <row r="139" spans="1:14" x14ac:dyDescent="0.25">
      <c r="A139">
        <v>6.5787040000000001</v>
      </c>
      <c r="B139" s="1">
        <f>DATE(2010,5,7) + TIME(13,53,20)</f>
        <v>40305.578703703701</v>
      </c>
      <c r="C139">
        <v>80</v>
      </c>
      <c r="D139">
        <v>79.896392821999996</v>
      </c>
      <c r="E139">
        <v>40</v>
      </c>
      <c r="F139">
        <v>14.99937439</v>
      </c>
      <c r="G139">
        <v>1344.4433594</v>
      </c>
      <c r="H139">
        <v>1341.0786132999999</v>
      </c>
      <c r="I139">
        <v>1318.9949951000001</v>
      </c>
      <c r="J139">
        <v>1313.5484618999999</v>
      </c>
      <c r="K139">
        <v>1650</v>
      </c>
      <c r="L139">
        <v>0</v>
      </c>
      <c r="M139">
        <v>0</v>
      </c>
      <c r="N139">
        <v>1650</v>
      </c>
    </row>
    <row r="140" spans="1:14" x14ac:dyDescent="0.25">
      <c r="A140">
        <v>6.7184080000000002</v>
      </c>
      <c r="B140" s="1">
        <f>DATE(2010,5,7) + TIME(17,14,30)</f>
        <v>40305.718402777777</v>
      </c>
      <c r="C140">
        <v>80</v>
      </c>
      <c r="D140">
        <v>79.898895264000004</v>
      </c>
      <c r="E140">
        <v>40</v>
      </c>
      <c r="F140">
        <v>14.999377251</v>
      </c>
      <c r="G140">
        <v>1344.4284668</v>
      </c>
      <c r="H140">
        <v>1341.0631103999999</v>
      </c>
      <c r="I140">
        <v>1318.9954834</v>
      </c>
      <c r="J140">
        <v>1313.5488281</v>
      </c>
      <c r="K140">
        <v>1650</v>
      </c>
      <c r="L140">
        <v>0</v>
      </c>
      <c r="M140">
        <v>0</v>
      </c>
      <c r="N140">
        <v>1650</v>
      </c>
    </row>
    <row r="141" spans="1:14" x14ac:dyDescent="0.25">
      <c r="A141">
        <v>6.8612679999999999</v>
      </c>
      <c r="B141" s="1">
        <f>DATE(2010,5,7) + TIME(20,40,13)</f>
        <v>40305.861261574071</v>
      </c>
      <c r="C141">
        <v>80</v>
      </c>
      <c r="D141">
        <v>79.901069641000007</v>
      </c>
      <c r="E141">
        <v>40</v>
      </c>
      <c r="F141">
        <v>14.999380112000001</v>
      </c>
      <c r="G141">
        <v>1344.4133300999999</v>
      </c>
      <c r="H141">
        <v>1341.0474853999999</v>
      </c>
      <c r="I141">
        <v>1318.9959716999999</v>
      </c>
      <c r="J141">
        <v>1313.5491943</v>
      </c>
      <c r="K141">
        <v>1650</v>
      </c>
      <c r="L141">
        <v>0</v>
      </c>
      <c r="M141">
        <v>0</v>
      </c>
      <c r="N141">
        <v>1650</v>
      </c>
    </row>
    <row r="142" spans="1:14" x14ac:dyDescent="0.25">
      <c r="A142">
        <v>7.007587</v>
      </c>
      <c r="B142" s="1">
        <f>DATE(2010,5,8) + TIME(0,10,55)</f>
        <v>40306.007581018515</v>
      </c>
      <c r="C142">
        <v>80</v>
      </c>
      <c r="D142">
        <v>79.902961731000005</v>
      </c>
      <c r="E142">
        <v>40</v>
      </c>
      <c r="F142">
        <v>14.999382972999999</v>
      </c>
      <c r="G142">
        <v>1344.3979492000001</v>
      </c>
      <c r="H142">
        <v>1341.0316161999999</v>
      </c>
      <c r="I142">
        <v>1318.9964600000001</v>
      </c>
      <c r="J142">
        <v>1313.5495605000001</v>
      </c>
      <c r="K142">
        <v>1650</v>
      </c>
      <c r="L142">
        <v>0</v>
      </c>
      <c r="M142">
        <v>0</v>
      </c>
      <c r="N142">
        <v>1650</v>
      </c>
    </row>
    <row r="143" spans="1:14" x14ac:dyDescent="0.25">
      <c r="A143">
        <v>7.1576880000000003</v>
      </c>
      <c r="B143" s="1">
        <f>DATE(2010,5,8) + TIME(3,47,4)</f>
        <v>40306.157685185186</v>
      </c>
      <c r="C143">
        <v>80</v>
      </c>
      <c r="D143">
        <v>79.904609679999993</v>
      </c>
      <c r="E143">
        <v>40</v>
      </c>
      <c r="F143">
        <v>14.999385834</v>
      </c>
      <c r="G143">
        <v>1344.3822021000001</v>
      </c>
      <c r="H143">
        <v>1341.015625</v>
      </c>
      <c r="I143">
        <v>1318.9969481999999</v>
      </c>
      <c r="J143">
        <v>1313.5498047000001</v>
      </c>
      <c r="K143">
        <v>1650</v>
      </c>
      <c r="L143">
        <v>0</v>
      </c>
      <c r="M143">
        <v>0</v>
      </c>
      <c r="N143">
        <v>1650</v>
      </c>
    </row>
    <row r="144" spans="1:14" x14ac:dyDescent="0.25">
      <c r="A144">
        <v>7.2330969999999999</v>
      </c>
      <c r="B144" s="1">
        <f>DATE(2010,5,8) + TIME(5,35,39)</f>
        <v>40306.233090277776</v>
      </c>
      <c r="C144">
        <v>80</v>
      </c>
      <c r="D144">
        <v>79.905372619999994</v>
      </c>
      <c r="E144">
        <v>40</v>
      </c>
      <c r="F144">
        <v>14.999387741</v>
      </c>
      <c r="G144">
        <v>1344.3660889</v>
      </c>
      <c r="H144">
        <v>1340.9990233999999</v>
      </c>
      <c r="I144">
        <v>1318.9974365</v>
      </c>
      <c r="J144">
        <v>1313.5501709</v>
      </c>
      <c r="K144">
        <v>1650</v>
      </c>
      <c r="L144">
        <v>0</v>
      </c>
      <c r="M144">
        <v>0</v>
      </c>
      <c r="N144">
        <v>1650</v>
      </c>
    </row>
    <row r="145" spans="1:14" x14ac:dyDescent="0.25">
      <c r="A145">
        <v>7.3085060000000004</v>
      </c>
      <c r="B145" s="1">
        <f>DATE(2010,5,8) + TIME(7,24,14)</f>
        <v>40306.308495370373</v>
      </c>
      <c r="C145">
        <v>80</v>
      </c>
      <c r="D145">
        <v>79.906066894999995</v>
      </c>
      <c r="E145">
        <v>40</v>
      </c>
      <c r="F145">
        <v>14.999388695</v>
      </c>
      <c r="G145">
        <v>1344.3581543</v>
      </c>
      <c r="H145">
        <v>1340.9909668</v>
      </c>
      <c r="I145">
        <v>1318.9976807</v>
      </c>
      <c r="J145">
        <v>1313.550293</v>
      </c>
      <c r="K145">
        <v>1650</v>
      </c>
      <c r="L145">
        <v>0</v>
      </c>
      <c r="M145">
        <v>0</v>
      </c>
      <c r="N145">
        <v>1650</v>
      </c>
    </row>
    <row r="146" spans="1:14" x14ac:dyDescent="0.25">
      <c r="A146">
        <v>7.383915</v>
      </c>
      <c r="B146" s="1">
        <f>DATE(2010,5,8) + TIME(9,12,50)</f>
        <v>40306.383912037039</v>
      </c>
      <c r="C146">
        <v>80</v>
      </c>
      <c r="D146">
        <v>79.906715392999999</v>
      </c>
      <c r="E146">
        <v>40</v>
      </c>
      <c r="F146">
        <v>14.999390602</v>
      </c>
      <c r="G146">
        <v>1344.3502197</v>
      </c>
      <c r="H146">
        <v>1340.9830322</v>
      </c>
      <c r="I146">
        <v>1318.9979248</v>
      </c>
      <c r="J146">
        <v>1313.5505370999999</v>
      </c>
      <c r="K146">
        <v>1650</v>
      </c>
      <c r="L146">
        <v>0</v>
      </c>
      <c r="M146">
        <v>0</v>
      </c>
      <c r="N146">
        <v>1650</v>
      </c>
    </row>
    <row r="147" spans="1:14" x14ac:dyDescent="0.25">
      <c r="A147">
        <v>7.4593239999999996</v>
      </c>
      <c r="B147" s="1">
        <f>DATE(2010,5,8) + TIME(11,1,25)</f>
        <v>40306.459317129629</v>
      </c>
      <c r="C147">
        <v>80</v>
      </c>
      <c r="D147">
        <v>79.907310486</v>
      </c>
      <c r="E147">
        <v>40</v>
      </c>
      <c r="F147">
        <v>14.999391556000001</v>
      </c>
      <c r="G147">
        <v>1344.3422852000001</v>
      </c>
      <c r="H147">
        <v>1340.9750977000001</v>
      </c>
      <c r="I147">
        <v>1318.9981689000001</v>
      </c>
      <c r="J147">
        <v>1313.5506591999999</v>
      </c>
      <c r="K147">
        <v>1650</v>
      </c>
      <c r="L147">
        <v>0</v>
      </c>
      <c r="M147">
        <v>0</v>
      </c>
      <c r="N147">
        <v>1650</v>
      </c>
    </row>
    <row r="148" spans="1:14" x14ac:dyDescent="0.25">
      <c r="A148">
        <v>7.5347330000000001</v>
      </c>
      <c r="B148" s="1">
        <f>DATE(2010,5,8) + TIME(12,50,0)</f>
        <v>40306.534722222219</v>
      </c>
      <c r="C148">
        <v>80</v>
      </c>
      <c r="D148">
        <v>79.907852172999995</v>
      </c>
      <c r="E148">
        <v>40</v>
      </c>
      <c r="F148">
        <v>14.999393463000001</v>
      </c>
      <c r="G148">
        <v>1344.3343506000001</v>
      </c>
      <c r="H148">
        <v>1340.9671631000001</v>
      </c>
      <c r="I148">
        <v>1318.9984131000001</v>
      </c>
      <c r="J148">
        <v>1313.5509033000001</v>
      </c>
      <c r="K148">
        <v>1650</v>
      </c>
      <c r="L148">
        <v>0</v>
      </c>
      <c r="M148">
        <v>0</v>
      </c>
      <c r="N148">
        <v>1650</v>
      </c>
    </row>
    <row r="149" spans="1:14" x14ac:dyDescent="0.25">
      <c r="A149">
        <v>7.6855520000000004</v>
      </c>
      <c r="B149" s="1">
        <f>DATE(2010,5,8) + TIME(16,27,11)</f>
        <v>40306.685543981483</v>
      </c>
      <c r="C149">
        <v>80</v>
      </c>
      <c r="D149">
        <v>79.908798218000001</v>
      </c>
      <c r="E149">
        <v>40</v>
      </c>
      <c r="F149">
        <v>14.999396323999999</v>
      </c>
      <c r="G149">
        <v>1344.3266602000001</v>
      </c>
      <c r="H149">
        <v>1340.9598389</v>
      </c>
      <c r="I149">
        <v>1318.9987793</v>
      </c>
      <c r="J149">
        <v>1313.5511475000001</v>
      </c>
      <c r="K149">
        <v>1650</v>
      </c>
      <c r="L149">
        <v>0</v>
      </c>
      <c r="M149">
        <v>0</v>
      </c>
      <c r="N149">
        <v>1650</v>
      </c>
    </row>
    <row r="150" spans="1:14" x14ac:dyDescent="0.25">
      <c r="A150">
        <v>7.8364570000000002</v>
      </c>
      <c r="B150" s="1">
        <f>DATE(2010,5,8) + TIME(20,4,29)</f>
        <v>40306.836446759262</v>
      </c>
      <c r="C150">
        <v>80</v>
      </c>
      <c r="D150">
        <v>79.909622192</v>
      </c>
      <c r="E150">
        <v>40</v>
      </c>
      <c r="F150">
        <v>14.999399185</v>
      </c>
      <c r="G150">
        <v>1344.3110352000001</v>
      </c>
      <c r="H150">
        <v>1340.9443358999999</v>
      </c>
      <c r="I150">
        <v>1318.9992675999999</v>
      </c>
      <c r="J150">
        <v>1313.5515137</v>
      </c>
      <c r="K150">
        <v>1650</v>
      </c>
      <c r="L150">
        <v>0</v>
      </c>
      <c r="M150">
        <v>0</v>
      </c>
      <c r="N150">
        <v>1650</v>
      </c>
    </row>
    <row r="151" spans="1:14" x14ac:dyDescent="0.25">
      <c r="A151">
        <v>7.9879870000000004</v>
      </c>
      <c r="B151" s="1">
        <f>DATE(2010,5,8) + TIME(23,42,42)</f>
        <v>40306.987986111111</v>
      </c>
      <c r="C151">
        <v>80</v>
      </c>
      <c r="D151">
        <v>79.910331725999995</v>
      </c>
      <c r="E151">
        <v>40</v>
      </c>
      <c r="F151">
        <v>14.999402046</v>
      </c>
      <c r="G151">
        <v>1344.2955322</v>
      </c>
      <c r="H151">
        <v>1340.9291992000001</v>
      </c>
      <c r="I151">
        <v>1318.9997559000001</v>
      </c>
      <c r="J151">
        <v>1313.5518798999999</v>
      </c>
      <c r="K151">
        <v>1650</v>
      </c>
      <c r="L151">
        <v>0</v>
      </c>
      <c r="M151">
        <v>0</v>
      </c>
      <c r="N151">
        <v>1650</v>
      </c>
    </row>
    <row r="152" spans="1:14" x14ac:dyDescent="0.25">
      <c r="A152">
        <v>8.1403979999999994</v>
      </c>
      <c r="B152" s="1">
        <f>DATE(2010,5,9) + TIME(3,22,10)</f>
        <v>40307.140393518515</v>
      </c>
      <c r="C152">
        <v>80</v>
      </c>
      <c r="D152">
        <v>79.910957335999996</v>
      </c>
      <c r="E152">
        <v>40</v>
      </c>
      <c r="F152">
        <v>14.999404907000001</v>
      </c>
      <c r="G152">
        <v>1344.2801514</v>
      </c>
      <c r="H152">
        <v>1340.9141846</v>
      </c>
      <c r="I152">
        <v>1319.0002440999999</v>
      </c>
      <c r="J152">
        <v>1313.5522461</v>
      </c>
      <c r="K152">
        <v>1650</v>
      </c>
      <c r="L152">
        <v>0</v>
      </c>
      <c r="M152">
        <v>0</v>
      </c>
      <c r="N152">
        <v>1650</v>
      </c>
    </row>
    <row r="153" spans="1:14" x14ac:dyDescent="0.25">
      <c r="A153">
        <v>8.2939290000000003</v>
      </c>
      <c r="B153" s="1">
        <f>DATE(2010,5,9) + TIME(7,3,15)</f>
        <v>40307.293923611112</v>
      </c>
      <c r="C153">
        <v>80</v>
      </c>
      <c r="D153">
        <v>79.911514281999999</v>
      </c>
      <c r="E153">
        <v>40</v>
      </c>
      <c r="F153">
        <v>14.999406815</v>
      </c>
      <c r="G153">
        <v>1344.2647704999999</v>
      </c>
      <c r="H153">
        <v>1340.8992920000001</v>
      </c>
      <c r="I153">
        <v>1319.0007324000001</v>
      </c>
      <c r="J153">
        <v>1313.5524902</v>
      </c>
      <c r="K153">
        <v>1650</v>
      </c>
      <c r="L153">
        <v>0</v>
      </c>
      <c r="M153">
        <v>0</v>
      </c>
      <c r="N153">
        <v>1650</v>
      </c>
    </row>
    <row r="154" spans="1:14" x14ac:dyDescent="0.25">
      <c r="A154">
        <v>8.4488230000000009</v>
      </c>
      <c r="B154" s="1">
        <f>DATE(2010,5,9) + TIME(10,46,18)</f>
        <v>40307.448819444442</v>
      </c>
      <c r="C154">
        <v>80</v>
      </c>
      <c r="D154">
        <v>79.912002563000001</v>
      </c>
      <c r="E154">
        <v>40</v>
      </c>
      <c r="F154">
        <v>14.999409676000001</v>
      </c>
      <c r="G154">
        <v>1344.2495117000001</v>
      </c>
      <c r="H154">
        <v>1340.8845214999999</v>
      </c>
      <c r="I154">
        <v>1319.0012207</v>
      </c>
      <c r="J154">
        <v>1313.5528564000001</v>
      </c>
      <c r="K154">
        <v>1650</v>
      </c>
      <c r="L154">
        <v>0</v>
      </c>
      <c r="M154">
        <v>0</v>
      </c>
      <c r="N154">
        <v>1650</v>
      </c>
    </row>
    <row r="155" spans="1:14" x14ac:dyDescent="0.25">
      <c r="A155">
        <v>8.6053239999999995</v>
      </c>
      <c r="B155" s="1">
        <f>DATE(2010,5,9) + TIME(14,31,39)</f>
        <v>40307.605312500003</v>
      </c>
      <c r="C155">
        <v>80</v>
      </c>
      <c r="D155">
        <v>79.912437439000001</v>
      </c>
      <c r="E155">
        <v>40</v>
      </c>
      <c r="F155">
        <v>14.999412537</v>
      </c>
      <c r="G155">
        <v>1344.234375</v>
      </c>
      <c r="H155">
        <v>1340.8698730000001</v>
      </c>
      <c r="I155">
        <v>1319.0017089999999</v>
      </c>
      <c r="J155">
        <v>1313.5532227000001</v>
      </c>
      <c r="K155">
        <v>1650</v>
      </c>
      <c r="L155">
        <v>0</v>
      </c>
      <c r="M155">
        <v>0</v>
      </c>
      <c r="N155">
        <v>1650</v>
      </c>
    </row>
    <row r="156" spans="1:14" x14ac:dyDescent="0.25">
      <c r="A156">
        <v>8.7636800000000008</v>
      </c>
      <c r="B156" s="1">
        <f>DATE(2010,5,9) + TIME(18,19,41)</f>
        <v>40307.763668981483</v>
      </c>
      <c r="C156">
        <v>80</v>
      </c>
      <c r="D156">
        <v>79.912826538000004</v>
      </c>
      <c r="E156">
        <v>40</v>
      </c>
      <c r="F156">
        <v>14.999415398</v>
      </c>
      <c r="G156">
        <v>1344.2191161999999</v>
      </c>
      <c r="H156">
        <v>1340.8553466999999</v>
      </c>
      <c r="I156">
        <v>1319.0021973</v>
      </c>
      <c r="J156">
        <v>1313.5535889</v>
      </c>
      <c r="K156">
        <v>1650</v>
      </c>
      <c r="L156">
        <v>0</v>
      </c>
      <c r="M156">
        <v>0</v>
      </c>
      <c r="N156">
        <v>1650</v>
      </c>
    </row>
    <row r="157" spans="1:14" x14ac:dyDescent="0.25">
      <c r="A157">
        <v>8.9241519999999994</v>
      </c>
      <c r="B157" s="1">
        <f>DATE(2010,5,9) + TIME(22,10,46)</f>
        <v>40307.924143518518</v>
      </c>
      <c r="C157">
        <v>80</v>
      </c>
      <c r="D157">
        <v>79.913169861</v>
      </c>
      <c r="E157">
        <v>40</v>
      </c>
      <c r="F157">
        <v>14.999418259</v>
      </c>
      <c r="G157">
        <v>1344.2039795000001</v>
      </c>
      <c r="H157">
        <v>1340.8409423999999</v>
      </c>
      <c r="I157">
        <v>1319.0028076000001</v>
      </c>
      <c r="J157">
        <v>1313.5540771000001</v>
      </c>
      <c r="K157">
        <v>1650</v>
      </c>
      <c r="L157">
        <v>0</v>
      </c>
      <c r="M157">
        <v>0</v>
      </c>
      <c r="N157">
        <v>1650</v>
      </c>
    </row>
    <row r="158" spans="1:14" x14ac:dyDescent="0.25">
      <c r="A158">
        <v>9.0870099999999994</v>
      </c>
      <c r="B158" s="1">
        <f>DATE(2010,5,10) + TIME(2,5,17)</f>
        <v>40308.087002314816</v>
      </c>
      <c r="C158">
        <v>80</v>
      </c>
      <c r="D158">
        <v>79.913482665999993</v>
      </c>
      <c r="E158">
        <v>40</v>
      </c>
      <c r="F158">
        <v>14.999420166</v>
      </c>
      <c r="G158">
        <v>1344.1887207</v>
      </c>
      <c r="H158">
        <v>1340.8265381000001</v>
      </c>
      <c r="I158">
        <v>1319.0032959</v>
      </c>
      <c r="J158">
        <v>1313.5544434000001</v>
      </c>
      <c r="K158">
        <v>1650</v>
      </c>
      <c r="L158">
        <v>0</v>
      </c>
      <c r="M158">
        <v>0</v>
      </c>
      <c r="N158">
        <v>1650</v>
      </c>
    </row>
    <row r="159" spans="1:14" x14ac:dyDescent="0.25">
      <c r="A159">
        <v>9.2525370000000002</v>
      </c>
      <c r="B159" s="1">
        <f>DATE(2010,5,10) + TIME(6,3,39)</f>
        <v>40308.252534722225</v>
      </c>
      <c r="C159">
        <v>80</v>
      </c>
      <c r="D159">
        <v>79.913757324000002</v>
      </c>
      <c r="E159">
        <v>40</v>
      </c>
      <c r="F159">
        <v>14.999423027000001</v>
      </c>
      <c r="G159">
        <v>1344.1734618999999</v>
      </c>
      <c r="H159">
        <v>1340.8121338000001</v>
      </c>
      <c r="I159">
        <v>1319.0037841999999</v>
      </c>
      <c r="J159">
        <v>1313.5548096</v>
      </c>
      <c r="K159">
        <v>1650</v>
      </c>
      <c r="L159">
        <v>0</v>
      </c>
      <c r="M159">
        <v>0</v>
      </c>
      <c r="N159">
        <v>1650</v>
      </c>
    </row>
    <row r="160" spans="1:14" x14ac:dyDescent="0.25">
      <c r="A160">
        <v>9.421068</v>
      </c>
      <c r="B160" s="1">
        <f>DATE(2010,5,10) + TIME(10,6,20)</f>
        <v>40308.421064814815</v>
      </c>
      <c r="C160">
        <v>80</v>
      </c>
      <c r="D160">
        <v>79.914009093999994</v>
      </c>
      <c r="E160">
        <v>40</v>
      </c>
      <c r="F160">
        <v>14.999425887999999</v>
      </c>
      <c r="G160">
        <v>1344.1580810999999</v>
      </c>
      <c r="H160">
        <v>1340.7977295000001</v>
      </c>
      <c r="I160">
        <v>1319.0043945</v>
      </c>
      <c r="J160">
        <v>1313.5551757999999</v>
      </c>
      <c r="K160">
        <v>1650</v>
      </c>
      <c r="L160">
        <v>0</v>
      </c>
      <c r="M160">
        <v>0</v>
      </c>
      <c r="N160">
        <v>1650</v>
      </c>
    </row>
    <row r="161" spans="1:14" x14ac:dyDescent="0.25">
      <c r="A161">
        <v>9.5929350000000007</v>
      </c>
      <c r="B161" s="1">
        <f>DATE(2010,5,10) + TIME(14,13,49)</f>
        <v>40308.592928240738</v>
      </c>
      <c r="C161">
        <v>80</v>
      </c>
      <c r="D161">
        <v>79.914237975999995</v>
      </c>
      <c r="E161">
        <v>40</v>
      </c>
      <c r="F161">
        <v>14.999428749</v>
      </c>
      <c r="G161">
        <v>1344.1427002</v>
      </c>
      <c r="H161">
        <v>1340.7834473</v>
      </c>
      <c r="I161">
        <v>1319.0048827999999</v>
      </c>
      <c r="J161">
        <v>1313.5555420000001</v>
      </c>
      <c r="K161">
        <v>1650</v>
      </c>
      <c r="L161">
        <v>0</v>
      </c>
      <c r="M161">
        <v>0</v>
      </c>
      <c r="N161">
        <v>1650</v>
      </c>
    </row>
    <row r="162" spans="1:14" x14ac:dyDescent="0.25">
      <c r="A162">
        <v>9.7684449999999998</v>
      </c>
      <c r="B162" s="1">
        <f>DATE(2010,5,10) + TIME(18,26,33)</f>
        <v>40308.768437500003</v>
      </c>
      <c r="C162">
        <v>80</v>
      </c>
      <c r="D162">
        <v>79.914443969999994</v>
      </c>
      <c r="E162">
        <v>40</v>
      </c>
      <c r="F162">
        <v>14.999430655999999</v>
      </c>
      <c r="G162">
        <v>1344.1271973</v>
      </c>
      <c r="H162">
        <v>1340.769043</v>
      </c>
      <c r="I162">
        <v>1319.0054932</v>
      </c>
      <c r="J162">
        <v>1313.5560303</v>
      </c>
      <c r="K162">
        <v>1650</v>
      </c>
      <c r="L162">
        <v>0</v>
      </c>
      <c r="M162">
        <v>0</v>
      </c>
      <c r="N162">
        <v>1650</v>
      </c>
    </row>
    <row r="163" spans="1:14" x14ac:dyDescent="0.25">
      <c r="A163">
        <v>9.9479740000000003</v>
      </c>
      <c r="B163" s="1">
        <f>DATE(2010,5,10) + TIME(22,45,4)</f>
        <v>40308.947962962964</v>
      </c>
      <c r="C163">
        <v>80</v>
      </c>
      <c r="D163">
        <v>79.914627074999999</v>
      </c>
      <c r="E163">
        <v>40</v>
      </c>
      <c r="F163">
        <v>14.999433517</v>
      </c>
      <c r="G163">
        <v>1344.1115723</v>
      </c>
      <c r="H163">
        <v>1340.7546387</v>
      </c>
      <c r="I163">
        <v>1319.0059814000001</v>
      </c>
      <c r="J163">
        <v>1313.5563964999999</v>
      </c>
      <c r="K163">
        <v>1650</v>
      </c>
      <c r="L163">
        <v>0</v>
      </c>
      <c r="M163">
        <v>0</v>
      </c>
      <c r="N163">
        <v>1650</v>
      </c>
    </row>
    <row r="164" spans="1:14" x14ac:dyDescent="0.25">
      <c r="A164">
        <v>10.131932000000001</v>
      </c>
      <c r="B164" s="1">
        <f>DATE(2010,5,11) + TIME(3,9,58)</f>
        <v>40309.131921296299</v>
      </c>
      <c r="C164">
        <v>80</v>
      </c>
      <c r="D164">
        <v>79.914794921999999</v>
      </c>
      <c r="E164">
        <v>40</v>
      </c>
      <c r="F164">
        <v>14.999436378</v>
      </c>
      <c r="G164">
        <v>1344.0958252</v>
      </c>
      <c r="H164">
        <v>1340.7401123</v>
      </c>
      <c r="I164">
        <v>1319.0065918</v>
      </c>
      <c r="J164">
        <v>1313.5567627</v>
      </c>
      <c r="K164">
        <v>1650</v>
      </c>
      <c r="L164">
        <v>0</v>
      </c>
      <c r="M164">
        <v>0</v>
      </c>
      <c r="N164">
        <v>1650</v>
      </c>
    </row>
    <row r="165" spans="1:14" x14ac:dyDescent="0.25">
      <c r="A165">
        <v>10.320743999999999</v>
      </c>
      <c r="B165" s="1">
        <f>DATE(2010,5,11) + TIME(7,41,52)</f>
        <v>40309.320740740739</v>
      </c>
      <c r="C165">
        <v>80</v>
      </c>
      <c r="D165">
        <v>79.914947510000005</v>
      </c>
      <c r="E165">
        <v>40</v>
      </c>
      <c r="F165">
        <v>14.999439239999999</v>
      </c>
      <c r="G165">
        <v>1344.0798339999999</v>
      </c>
      <c r="H165">
        <v>1340.7254639</v>
      </c>
      <c r="I165">
        <v>1319.0072021000001</v>
      </c>
      <c r="J165">
        <v>1313.557251</v>
      </c>
      <c r="K165">
        <v>1650</v>
      </c>
      <c r="L165">
        <v>0</v>
      </c>
      <c r="M165">
        <v>0</v>
      </c>
      <c r="N165">
        <v>1650</v>
      </c>
    </row>
    <row r="166" spans="1:14" x14ac:dyDescent="0.25">
      <c r="A166">
        <v>10.513451999999999</v>
      </c>
      <c r="B166" s="1">
        <f>DATE(2010,5,11) + TIME(12,19,22)</f>
        <v>40309.513449074075</v>
      </c>
      <c r="C166">
        <v>80</v>
      </c>
      <c r="D166">
        <v>79.915084839000002</v>
      </c>
      <c r="E166">
        <v>40</v>
      </c>
      <c r="F166">
        <v>14.999442101</v>
      </c>
      <c r="G166">
        <v>1344.0637207</v>
      </c>
      <c r="H166">
        <v>1340.7108154</v>
      </c>
      <c r="I166">
        <v>1319.0078125</v>
      </c>
      <c r="J166">
        <v>1313.5577393000001</v>
      </c>
      <c r="K166">
        <v>1650</v>
      </c>
      <c r="L166">
        <v>0</v>
      </c>
      <c r="M166">
        <v>0</v>
      </c>
      <c r="N166">
        <v>1650</v>
      </c>
    </row>
    <row r="167" spans="1:14" x14ac:dyDescent="0.25">
      <c r="A167">
        <v>10.710483999999999</v>
      </c>
      <c r="B167" s="1">
        <f>DATE(2010,5,11) + TIME(17,3,5)</f>
        <v>40309.710474537038</v>
      </c>
      <c r="C167">
        <v>80</v>
      </c>
      <c r="D167">
        <v>79.915206909000005</v>
      </c>
      <c r="E167">
        <v>40</v>
      </c>
      <c r="F167">
        <v>14.999444962</v>
      </c>
      <c r="G167">
        <v>1344.0474853999999</v>
      </c>
      <c r="H167">
        <v>1340.6960449000001</v>
      </c>
      <c r="I167">
        <v>1319.0084228999999</v>
      </c>
      <c r="J167">
        <v>1313.5581055</v>
      </c>
      <c r="K167">
        <v>1650</v>
      </c>
      <c r="L167">
        <v>0</v>
      </c>
      <c r="M167">
        <v>0</v>
      </c>
      <c r="N167">
        <v>1650</v>
      </c>
    </row>
    <row r="168" spans="1:14" x14ac:dyDescent="0.25">
      <c r="A168">
        <v>10.810556999999999</v>
      </c>
      <c r="B168" s="1">
        <f>DATE(2010,5,11) + TIME(19,27,12)</f>
        <v>40309.810555555552</v>
      </c>
      <c r="C168">
        <v>80</v>
      </c>
      <c r="D168">
        <v>79.915260314999998</v>
      </c>
      <c r="E168">
        <v>40</v>
      </c>
      <c r="F168">
        <v>14.999445915000001</v>
      </c>
      <c r="G168">
        <v>1344.0308838000001</v>
      </c>
      <c r="H168">
        <v>1340.6807861</v>
      </c>
      <c r="I168">
        <v>1319.0090332</v>
      </c>
      <c r="J168">
        <v>1313.5585937999999</v>
      </c>
      <c r="K168">
        <v>1650</v>
      </c>
      <c r="L168">
        <v>0</v>
      </c>
      <c r="M168">
        <v>0</v>
      </c>
      <c r="N168">
        <v>1650</v>
      </c>
    </row>
    <row r="169" spans="1:14" x14ac:dyDescent="0.25">
      <c r="A169">
        <v>10.910629999999999</v>
      </c>
      <c r="B169" s="1">
        <f>DATE(2010,5,11) + TIME(21,51,18)</f>
        <v>40309.910624999997</v>
      </c>
      <c r="C169">
        <v>80</v>
      </c>
      <c r="D169">
        <v>79.915313721000004</v>
      </c>
      <c r="E169">
        <v>40</v>
      </c>
      <c r="F169">
        <v>14.999447823000001</v>
      </c>
      <c r="G169">
        <v>1344.0225829999999</v>
      </c>
      <c r="H169">
        <v>1340.6733397999999</v>
      </c>
      <c r="I169">
        <v>1319.0092772999999</v>
      </c>
      <c r="J169">
        <v>1313.5588379000001</v>
      </c>
      <c r="K169">
        <v>1650</v>
      </c>
      <c r="L169">
        <v>0</v>
      </c>
      <c r="M169">
        <v>0</v>
      </c>
      <c r="N169">
        <v>1650</v>
      </c>
    </row>
    <row r="170" spans="1:14" x14ac:dyDescent="0.25">
      <c r="A170">
        <v>11.010702999999999</v>
      </c>
      <c r="B170" s="1">
        <f>DATE(2010,5,12) + TIME(0,15,24)</f>
        <v>40310.010694444441</v>
      </c>
      <c r="C170">
        <v>80</v>
      </c>
      <c r="D170">
        <v>79.915359496999997</v>
      </c>
      <c r="E170">
        <v>40</v>
      </c>
      <c r="F170">
        <v>14.999448775999999</v>
      </c>
      <c r="G170">
        <v>1344.0144043</v>
      </c>
      <c r="H170">
        <v>1340.6660156</v>
      </c>
      <c r="I170">
        <v>1319.0096435999999</v>
      </c>
      <c r="J170">
        <v>1313.559082</v>
      </c>
      <c r="K170">
        <v>1650</v>
      </c>
      <c r="L170">
        <v>0</v>
      </c>
      <c r="M170">
        <v>0</v>
      </c>
      <c r="N170">
        <v>1650</v>
      </c>
    </row>
    <row r="171" spans="1:14" x14ac:dyDescent="0.25">
      <c r="A171">
        <v>11.110776</v>
      </c>
      <c r="B171" s="1">
        <f>DATE(2010,5,12) + TIME(2,39,31)</f>
        <v>40310.110775462963</v>
      </c>
      <c r="C171">
        <v>80</v>
      </c>
      <c r="D171">
        <v>79.915405273000005</v>
      </c>
      <c r="E171">
        <v>40</v>
      </c>
      <c r="F171">
        <v>14.999450683999999</v>
      </c>
      <c r="G171">
        <v>1344.0063477000001</v>
      </c>
      <c r="H171">
        <v>1340.6586914</v>
      </c>
      <c r="I171">
        <v>1319.0098877</v>
      </c>
      <c r="J171">
        <v>1313.5592041</v>
      </c>
      <c r="K171">
        <v>1650</v>
      </c>
      <c r="L171">
        <v>0</v>
      </c>
      <c r="M171">
        <v>0</v>
      </c>
      <c r="N171">
        <v>1650</v>
      </c>
    </row>
    <row r="172" spans="1:14" x14ac:dyDescent="0.25">
      <c r="A172">
        <v>11.210848</v>
      </c>
      <c r="B172" s="1">
        <f>DATE(2010,5,12) + TIME(5,3,37)</f>
        <v>40310.210844907408</v>
      </c>
      <c r="C172">
        <v>80</v>
      </c>
      <c r="D172">
        <v>79.915443420000003</v>
      </c>
      <c r="E172">
        <v>40</v>
      </c>
      <c r="F172">
        <v>14.999451637</v>
      </c>
      <c r="G172">
        <v>1343.9982910000001</v>
      </c>
      <c r="H172">
        <v>1340.6514893000001</v>
      </c>
      <c r="I172">
        <v>1319.0102539</v>
      </c>
      <c r="J172">
        <v>1313.5594481999999</v>
      </c>
      <c r="K172">
        <v>1650</v>
      </c>
      <c r="L172">
        <v>0</v>
      </c>
      <c r="M172">
        <v>0</v>
      </c>
      <c r="N172">
        <v>1650</v>
      </c>
    </row>
    <row r="173" spans="1:14" x14ac:dyDescent="0.25">
      <c r="A173">
        <v>11.310921</v>
      </c>
      <c r="B173" s="1">
        <f>DATE(2010,5,12) + TIME(7,27,43)</f>
        <v>40310.310914351852</v>
      </c>
      <c r="C173">
        <v>80</v>
      </c>
      <c r="D173">
        <v>79.915481567</v>
      </c>
      <c r="E173">
        <v>40</v>
      </c>
      <c r="F173">
        <v>14.999453545</v>
      </c>
      <c r="G173">
        <v>1343.9903564000001</v>
      </c>
      <c r="H173">
        <v>1340.6442870999999</v>
      </c>
      <c r="I173">
        <v>1319.0106201000001</v>
      </c>
      <c r="J173">
        <v>1313.5596923999999</v>
      </c>
      <c r="K173">
        <v>1650</v>
      </c>
      <c r="L173">
        <v>0</v>
      </c>
      <c r="M173">
        <v>0</v>
      </c>
      <c r="N173">
        <v>1650</v>
      </c>
    </row>
    <row r="174" spans="1:14" x14ac:dyDescent="0.25">
      <c r="A174">
        <v>11.410994000000001</v>
      </c>
      <c r="B174" s="1">
        <f>DATE(2010,5,12) + TIME(9,51,49)</f>
        <v>40310.410983796297</v>
      </c>
      <c r="C174">
        <v>80</v>
      </c>
      <c r="D174">
        <v>79.915519713999998</v>
      </c>
      <c r="E174">
        <v>40</v>
      </c>
      <c r="F174">
        <v>14.999454498</v>
      </c>
      <c r="G174">
        <v>1343.9824219</v>
      </c>
      <c r="H174">
        <v>1340.637207</v>
      </c>
      <c r="I174">
        <v>1319.0108643000001</v>
      </c>
      <c r="J174">
        <v>1313.5599365</v>
      </c>
      <c r="K174">
        <v>1650</v>
      </c>
      <c r="L174">
        <v>0</v>
      </c>
      <c r="M174">
        <v>0</v>
      </c>
      <c r="N174">
        <v>1650</v>
      </c>
    </row>
    <row r="175" spans="1:14" x14ac:dyDescent="0.25">
      <c r="A175">
        <v>11.511067000000001</v>
      </c>
      <c r="B175" s="1">
        <f>DATE(2010,5,12) + TIME(12,15,56)</f>
        <v>40310.511064814818</v>
      </c>
      <c r="C175">
        <v>80</v>
      </c>
      <c r="D175">
        <v>79.915550232000001</v>
      </c>
      <c r="E175">
        <v>40</v>
      </c>
      <c r="F175">
        <v>14.999456406</v>
      </c>
      <c r="G175">
        <v>1343.9744873</v>
      </c>
      <c r="H175">
        <v>1340.6301269999999</v>
      </c>
      <c r="I175">
        <v>1319.0112305</v>
      </c>
      <c r="J175">
        <v>1313.5601807</v>
      </c>
      <c r="K175">
        <v>1650</v>
      </c>
      <c r="L175">
        <v>0</v>
      </c>
      <c r="M175">
        <v>0</v>
      </c>
      <c r="N175">
        <v>1650</v>
      </c>
    </row>
    <row r="176" spans="1:14" x14ac:dyDescent="0.25">
      <c r="A176">
        <v>11.611139</v>
      </c>
      <c r="B176" s="1">
        <f>DATE(2010,5,12) + TIME(14,40,2)</f>
        <v>40310.611134259256</v>
      </c>
      <c r="C176">
        <v>80</v>
      </c>
      <c r="D176">
        <v>79.915580750000004</v>
      </c>
      <c r="E176">
        <v>40</v>
      </c>
      <c r="F176">
        <v>14.999457359000001</v>
      </c>
      <c r="G176">
        <v>1343.9666748</v>
      </c>
      <c r="H176">
        <v>1340.6231689000001</v>
      </c>
      <c r="I176">
        <v>1319.0114745999999</v>
      </c>
      <c r="J176">
        <v>1313.5604248</v>
      </c>
      <c r="K176">
        <v>1650</v>
      </c>
      <c r="L176">
        <v>0</v>
      </c>
      <c r="M176">
        <v>0</v>
      </c>
      <c r="N176">
        <v>1650</v>
      </c>
    </row>
    <row r="177" spans="1:14" x14ac:dyDescent="0.25">
      <c r="A177">
        <v>11.711212</v>
      </c>
      <c r="B177" s="1">
        <f>DATE(2010,5,12) + TIME(17,4,8)</f>
        <v>40310.7112037037</v>
      </c>
      <c r="C177">
        <v>80</v>
      </c>
      <c r="D177">
        <v>79.915611267000003</v>
      </c>
      <c r="E177">
        <v>40</v>
      </c>
      <c r="F177">
        <v>14.999459267000001</v>
      </c>
      <c r="G177">
        <v>1343.9589844</v>
      </c>
      <c r="H177">
        <v>1340.6162108999999</v>
      </c>
      <c r="I177">
        <v>1319.0118408000001</v>
      </c>
      <c r="J177">
        <v>1313.5606689000001</v>
      </c>
      <c r="K177">
        <v>1650</v>
      </c>
      <c r="L177">
        <v>0</v>
      </c>
      <c r="M177">
        <v>0</v>
      </c>
      <c r="N177">
        <v>1650</v>
      </c>
    </row>
    <row r="178" spans="1:14" x14ac:dyDescent="0.25">
      <c r="A178">
        <v>11.911358</v>
      </c>
      <c r="B178" s="1">
        <f>DATE(2010,5,12) + TIME(21,52,21)</f>
        <v>40310.911354166667</v>
      </c>
      <c r="C178">
        <v>80</v>
      </c>
      <c r="D178">
        <v>79.915672302000004</v>
      </c>
      <c r="E178">
        <v>40</v>
      </c>
      <c r="F178">
        <v>14.999461174</v>
      </c>
      <c r="G178">
        <v>1343.9515381000001</v>
      </c>
      <c r="H178">
        <v>1340.6097411999999</v>
      </c>
      <c r="I178">
        <v>1319.012207</v>
      </c>
      <c r="J178">
        <v>1313.5609131000001</v>
      </c>
      <c r="K178">
        <v>1650</v>
      </c>
      <c r="L178">
        <v>0</v>
      </c>
      <c r="M178">
        <v>0</v>
      </c>
      <c r="N178">
        <v>1650</v>
      </c>
    </row>
    <row r="179" spans="1:14" x14ac:dyDescent="0.25">
      <c r="A179">
        <v>12.112002</v>
      </c>
      <c r="B179" s="1">
        <f>DATE(2010,5,13) + TIME(2,41,16)</f>
        <v>40311.111990740741</v>
      </c>
      <c r="C179">
        <v>80</v>
      </c>
      <c r="D179">
        <v>79.915718079000001</v>
      </c>
      <c r="E179">
        <v>40</v>
      </c>
      <c r="F179">
        <v>14.999464035000001</v>
      </c>
      <c r="G179">
        <v>1343.9362793</v>
      </c>
      <c r="H179">
        <v>1340.5961914</v>
      </c>
      <c r="I179">
        <v>1319.0128173999999</v>
      </c>
      <c r="J179">
        <v>1313.5614014</v>
      </c>
      <c r="K179">
        <v>1650</v>
      </c>
      <c r="L179">
        <v>0</v>
      </c>
      <c r="M179">
        <v>0</v>
      </c>
      <c r="N179">
        <v>1650</v>
      </c>
    </row>
    <row r="180" spans="1:14" x14ac:dyDescent="0.25">
      <c r="A180">
        <v>12.314045999999999</v>
      </c>
      <c r="B180" s="1">
        <f>DATE(2010,5,13) + TIME(7,32,13)</f>
        <v>40311.314039351855</v>
      </c>
      <c r="C180">
        <v>80</v>
      </c>
      <c r="D180">
        <v>79.915756225999999</v>
      </c>
      <c r="E180">
        <v>40</v>
      </c>
      <c r="F180">
        <v>14.999465942</v>
      </c>
      <c r="G180">
        <v>1343.9211425999999</v>
      </c>
      <c r="H180">
        <v>1340.5828856999999</v>
      </c>
      <c r="I180">
        <v>1319.0134277</v>
      </c>
      <c r="J180">
        <v>1313.5618896000001</v>
      </c>
      <c r="K180">
        <v>1650</v>
      </c>
      <c r="L180">
        <v>0</v>
      </c>
      <c r="M180">
        <v>0</v>
      </c>
      <c r="N180">
        <v>1650</v>
      </c>
    </row>
    <row r="181" spans="1:14" x14ac:dyDescent="0.25">
      <c r="A181">
        <v>12.51782</v>
      </c>
      <c r="B181" s="1">
        <f>DATE(2010,5,13) + TIME(12,25,39)</f>
        <v>40311.517812500002</v>
      </c>
      <c r="C181">
        <v>80</v>
      </c>
      <c r="D181">
        <v>79.915794372999997</v>
      </c>
      <c r="E181">
        <v>40</v>
      </c>
      <c r="F181">
        <v>14.999468802999999</v>
      </c>
      <c r="G181">
        <v>1343.90625</v>
      </c>
      <c r="H181">
        <v>1340.5697021000001</v>
      </c>
      <c r="I181">
        <v>1319.0141602000001</v>
      </c>
      <c r="J181">
        <v>1313.5623779</v>
      </c>
      <c r="K181">
        <v>1650</v>
      </c>
      <c r="L181">
        <v>0</v>
      </c>
      <c r="M181">
        <v>0</v>
      </c>
      <c r="N181">
        <v>1650</v>
      </c>
    </row>
    <row r="182" spans="1:14" x14ac:dyDescent="0.25">
      <c r="A182">
        <v>12.723663</v>
      </c>
      <c r="B182" s="1">
        <f>DATE(2010,5,13) + TIME(17,22,4)</f>
        <v>40311.723657407405</v>
      </c>
      <c r="C182">
        <v>80</v>
      </c>
      <c r="D182">
        <v>79.915817261000001</v>
      </c>
      <c r="E182">
        <v>40</v>
      </c>
      <c r="F182">
        <v>14.999471664</v>
      </c>
      <c r="G182">
        <v>1343.8912353999999</v>
      </c>
      <c r="H182">
        <v>1340.5566406</v>
      </c>
      <c r="I182">
        <v>1319.0147704999999</v>
      </c>
      <c r="J182">
        <v>1313.5628661999999</v>
      </c>
      <c r="K182">
        <v>1650</v>
      </c>
      <c r="L182">
        <v>0</v>
      </c>
      <c r="M182">
        <v>0</v>
      </c>
      <c r="N182">
        <v>1650</v>
      </c>
    </row>
    <row r="183" spans="1:14" x14ac:dyDescent="0.25">
      <c r="A183">
        <v>12.931922</v>
      </c>
      <c r="B183" s="1">
        <f>DATE(2010,5,13) + TIME(22,21,58)</f>
        <v>40311.931921296295</v>
      </c>
      <c r="C183">
        <v>80</v>
      </c>
      <c r="D183">
        <v>79.915840149000005</v>
      </c>
      <c r="E183">
        <v>40</v>
      </c>
      <c r="F183">
        <v>14.999473571999999</v>
      </c>
      <c r="G183">
        <v>1343.8764647999999</v>
      </c>
      <c r="H183">
        <v>1340.5437012</v>
      </c>
      <c r="I183">
        <v>1319.0153809000001</v>
      </c>
      <c r="J183">
        <v>1313.5633545000001</v>
      </c>
      <c r="K183">
        <v>1650</v>
      </c>
      <c r="L183">
        <v>0</v>
      </c>
      <c r="M183">
        <v>0</v>
      </c>
      <c r="N183">
        <v>1650</v>
      </c>
    </row>
    <row r="184" spans="1:14" x14ac:dyDescent="0.25">
      <c r="A184">
        <v>13.142958999999999</v>
      </c>
      <c r="B184" s="1">
        <f>DATE(2010,5,14) + TIME(3,25,51)</f>
        <v>40312.142951388887</v>
      </c>
      <c r="C184">
        <v>80</v>
      </c>
      <c r="D184">
        <v>79.915863036999994</v>
      </c>
      <c r="E184">
        <v>40</v>
      </c>
      <c r="F184">
        <v>14.999476433</v>
      </c>
      <c r="G184">
        <v>1343.8615723</v>
      </c>
      <c r="H184">
        <v>1340.5307617000001</v>
      </c>
      <c r="I184">
        <v>1319.0161132999999</v>
      </c>
      <c r="J184">
        <v>1313.5638428</v>
      </c>
      <c r="K184">
        <v>1650</v>
      </c>
      <c r="L184">
        <v>0</v>
      </c>
      <c r="M184">
        <v>0</v>
      </c>
      <c r="N184">
        <v>1650</v>
      </c>
    </row>
    <row r="185" spans="1:14" x14ac:dyDescent="0.25">
      <c r="A185">
        <v>13.357149</v>
      </c>
      <c r="B185" s="1">
        <f>DATE(2010,5,14) + TIME(8,34,17)</f>
        <v>40312.357141203705</v>
      </c>
      <c r="C185">
        <v>80</v>
      </c>
      <c r="D185">
        <v>79.915878296000002</v>
      </c>
      <c r="E185">
        <v>40</v>
      </c>
      <c r="F185">
        <v>14.99947834</v>
      </c>
      <c r="G185">
        <v>1343.8468018000001</v>
      </c>
      <c r="H185">
        <v>1340.5179443</v>
      </c>
      <c r="I185">
        <v>1319.0167236</v>
      </c>
      <c r="J185">
        <v>1313.5643310999999</v>
      </c>
      <c r="K185">
        <v>1650</v>
      </c>
      <c r="L185">
        <v>0</v>
      </c>
      <c r="M185">
        <v>0</v>
      </c>
      <c r="N185">
        <v>1650</v>
      </c>
    </row>
    <row r="186" spans="1:14" x14ac:dyDescent="0.25">
      <c r="A186">
        <v>13.574895</v>
      </c>
      <c r="B186" s="1">
        <f>DATE(2010,5,14) + TIME(13,47,50)</f>
        <v>40312.574884259258</v>
      </c>
      <c r="C186">
        <v>80</v>
      </c>
      <c r="D186">
        <v>79.915885924999998</v>
      </c>
      <c r="E186">
        <v>40</v>
      </c>
      <c r="F186">
        <v>14.999481201</v>
      </c>
      <c r="G186">
        <v>1343.8319091999999</v>
      </c>
      <c r="H186">
        <v>1340.5051269999999</v>
      </c>
      <c r="I186">
        <v>1319.0174560999999</v>
      </c>
      <c r="J186">
        <v>1313.5648193</v>
      </c>
      <c r="K186">
        <v>1650</v>
      </c>
      <c r="L186">
        <v>0</v>
      </c>
      <c r="M186">
        <v>0</v>
      </c>
      <c r="N186">
        <v>1650</v>
      </c>
    </row>
    <row r="187" spans="1:14" x14ac:dyDescent="0.25">
      <c r="A187">
        <v>13.796711999999999</v>
      </c>
      <c r="B187" s="1">
        <f>DATE(2010,5,14) + TIME(19,7,15)</f>
        <v>40312.796701388892</v>
      </c>
      <c r="C187">
        <v>80</v>
      </c>
      <c r="D187">
        <v>79.915893554999997</v>
      </c>
      <c r="E187">
        <v>40</v>
      </c>
      <c r="F187">
        <v>14.999484062000001</v>
      </c>
      <c r="G187">
        <v>1343.8170166</v>
      </c>
      <c r="H187">
        <v>1340.4923096</v>
      </c>
      <c r="I187">
        <v>1319.0181885</v>
      </c>
      <c r="J187">
        <v>1313.5653076000001</v>
      </c>
      <c r="K187">
        <v>1650</v>
      </c>
      <c r="L187">
        <v>0</v>
      </c>
      <c r="M187">
        <v>0</v>
      </c>
      <c r="N187">
        <v>1650</v>
      </c>
    </row>
    <row r="188" spans="1:14" x14ac:dyDescent="0.25">
      <c r="A188">
        <v>14.022964</v>
      </c>
      <c r="B188" s="1">
        <f>DATE(2010,5,15) + TIME(0,33,4)</f>
        <v>40313.022962962961</v>
      </c>
      <c r="C188">
        <v>80</v>
      </c>
      <c r="D188">
        <v>79.915901184000006</v>
      </c>
      <c r="E188">
        <v>40</v>
      </c>
      <c r="F188">
        <v>14.99948597</v>
      </c>
      <c r="G188">
        <v>1343.802124</v>
      </c>
      <c r="H188">
        <v>1340.4793701000001</v>
      </c>
      <c r="I188">
        <v>1319.0187988</v>
      </c>
      <c r="J188">
        <v>1313.565918</v>
      </c>
      <c r="K188">
        <v>1650</v>
      </c>
      <c r="L188">
        <v>0</v>
      </c>
      <c r="M188">
        <v>0</v>
      </c>
      <c r="N188">
        <v>1650</v>
      </c>
    </row>
    <row r="189" spans="1:14" x14ac:dyDescent="0.25">
      <c r="A189">
        <v>14.254141000000001</v>
      </c>
      <c r="B189" s="1">
        <f>DATE(2010,5,15) + TIME(6,5,57)</f>
        <v>40313.254131944443</v>
      </c>
      <c r="C189">
        <v>80</v>
      </c>
      <c r="D189">
        <v>79.915901184000006</v>
      </c>
      <c r="E189">
        <v>40</v>
      </c>
      <c r="F189">
        <v>14.999488831000001</v>
      </c>
      <c r="G189">
        <v>1343.7869873</v>
      </c>
      <c r="H189">
        <v>1340.4665527</v>
      </c>
      <c r="I189">
        <v>1319.0195312000001</v>
      </c>
      <c r="J189">
        <v>1313.5664062000001</v>
      </c>
      <c r="K189">
        <v>1650</v>
      </c>
      <c r="L189">
        <v>0</v>
      </c>
      <c r="M189">
        <v>0</v>
      </c>
      <c r="N189">
        <v>1650</v>
      </c>
    </row>
    <row r="190" spans="1:14" x14ac:dyDescent="0.25">
      <c r="A190">
        <v>14.490777</v>
      </c>
      <c r="B190" s="1">
        <f>DATE(2010,5,15) + TIME(11,46,43)</f>
        <v>40313.49077546296</v>
      </c>
      <c r="C190">
        <v>80</v>
      </c>
      <c r="D190">
        <v>79.915893554999997</v>
      </c>
      <c r="E190">
        <v>40</v>
      </c>
      <c r="F190">
        <v>14.999491691999999</v>
      </c>
      <c r="G190">
        <v>1343.7718506000001</v>
      </c>
      <c r="H190">
        <v>1340.4536132999999</v>
      </c>
      <c r="I190">
        <v>1319.0202637</v>
      </c>
      <c r="J190">
        <v>1313.5670166</v>
      </c>
      <c r="K190">
        <v>1650</v>
      </c>
      <c r="L190">
        <v>0</v>
      </c>
      <c r="M190">
        <v>0</v>
      </c>
      <c r="N190">
        <v>1650</v>
      </c>
    </row>
    <row r="191" spans="1:14" x14ac:dyDescent="0.25">
      <c r="A191">
        <v>14.732332</v>
      </c>
      <c r="B191" s="1">
        <f>DATE(2010,5,15) + TIME(17,34,33)</f>
        <v>40313.73232638889</v>
      </c>
      <c r="C191">
        <v>80</v>
      </c>
      <c r="D191">
        <v>79.915893554999997</v>
      </c>
      <c r="E191">
        <v>40</v>
      </c>
      <c r="F191">
        <v>14.999493598999999</v>
      </c>
      <c r="G191">
        <v>1343.7565918</v>
      </c>
      <c r="H191">
        <v>1340.4405518000001</v>
      </c>
      <c r="I191">
        <v>1319.0209961</v>
      </c>
      <c r="J191">
        <v>1313.5675048999999</v>
      </c>
      <c r="K191">
        <v>1650</v>
      </c>
      <c r="L191">
        <v>0</v>
      </c>
      <c r="M191">
        <v>0</v>
      </c>
      <c r="N191">
        <v>1650</v>
      </c>
    </row>
    <row r="192" spans="1:14" x14ac:dyDescent="0.25">
      <c r="A192">
        <v>14.978256</v>
      </c>
      <c r="B192" s="1">
        <f>DATE(2010,5,15) + TIME(23,28,41)</f>
        <v>40313.978252314817</v>
      </c>
      <c r="C192">
        <v>80</v>
      </c>
      <c r="D192">
        <v>79.915885924999998</v>
      </c>
      <c r="E192">
        <v>40</v>
      </c>
      <c r="F192">
        <v>14.99949646</v>
      </c>
      <c r="G192">
        <v>1343.7410889</v>
      </c>
      <c r="H192">
        <v>1340.4274902</v>
      </c>
      <c r="I192">
        <v>1319.0218506000001</v>
      </c>
      <c r="J192">
        <v>1313.5681152</v>
      </c>
      <c r="K192">
        <v>1650</v>
      </c>
      <c r="L192">
        <v>0</v>
      </c>
      <c r="M192">
        <v>0</v>
      </c>
      <c r="N192">
        <v>1650</v>
      </c>
    </row>
    <row r="193" spans="1:14" x14ac:dyDescent="0.25">
      <c r="A193">
        <v>15.103372999999999</v>
      </c>
      <c r="B193" s="1">
        <f>DATE(2010,5,16) + TIME(2,28,51)</f>
        <v>40314.103368055556</v>
      </c>
      <c r="C193">
        <v>80</v>
      </c>
      <c r="D193">
        <v>79.915870666999993</v>
      </c>
      <c r="E193">
        <v>40</v>
      </c>
      <c r="F193">
        <v>14.999497414</v>
      </c>
      <c r="G193">
        <v>1343.7253418</v>
      </c>
      <c r="H193">
        <v>1340.4140625</v>
      </c>
      <c r="I193">
        <v>1319.0225829999999</v>
      </c>
      <c r="J193">
        <v>1313.5686035000001</v>
      </c>
      <c r="K193">
        <v>1650</v>
      </c>
      <c r="L193">
        <v>0</v>
      </c>
      <c r="M193">
        <v>0</v>
      </c>
      <c r="N193">
        <v>1650</v>
      </c>
    </row>
    <row r="194" spans="1:14" x14ac:dyDescent="0.25">
      <c r="A194">
        <v>15.228490000000001</v>
      </c>
      <c r="B194" s="1">
        <f>DATE(2010,5,16) + TIME(5,29,1)</f>
        <v>40314.228483796294</v>
      </c>
      <c r="C194">
        <v>80</v>
      </c>
      <c r="D194">
        <v>79.915863036999994</v>
      </c>
      <c r="E194">
        <v>40</v>
      </c>
      <c r="F194">
        <v>14.999499321</v>
      </c>
      <c r="G194">
        <v>1343.7175293</v>
      </c>
      <c r="H194">
        <v>1340.4074707</v>
      </c>
      <c r="I194">
        <v>1319.0229492000001</v>
      </c>
      <c r="J194">
        <v>1313.5689697</v>
      </c>
      <c r="K194">
        <v>1650</v>
      </c>
      <c r="L194">
        <v>0</v>
      </c>
      <c r="M194">
        <v>0</v>
      </c>
      <c r="N194">
        <v>1650</v>
      </c>
    </row>
    <row r="195" spans="1:14" x14ac:dyDescent="0.25">
      <c r="A195">
        <v>15.353607</v>
      </c>
      <c r="B195" s="1">
        <f>DATE(2010,5,16) + TIME(8,29,11)</f>
        <v>40314.35359953704</v>
      </c>
      <c r="C195">
        <v>80</v>
      </c>
      <c r="D195">
        <v>79.915847778</v>
      </c>
      <c r="E195">
        <v>40</v>
      </c>
      <c r="F195">
        <v>14.999500275000001</v>
      </c>
      <c r="G195">
        <v>1343.7098389</v>
      </c>
      <c r="H195">
        <v>1340.401001</v>
      </c>
      <c r="I195">
        <v>1319.0233154</v>
      </c>
      <c r="J195">
        <v>1313.5692139</v>
      </c>
      <c r="K195">
        <v>1650</v>
      </c>
      <c r="L195">
        <v>0</v>
      </c>
      <c r="M195">
        <v>0</v>
      </c>
      <c r="N195">
        <v>1650</v>
      </c>
    </row>
    <row r="196" spans="1:14" x14ac:dyDescent="0.25">
      <c r="A196">
        <v>15.478724</v>
      </c>
      <c r="B196" s="1">
        <f>DATE(2010,5,16) + TIME(11,29,21)</f>
        <v>40314.478715277779</v>
      </c>
      <c r="C196">
        <v>80</v>
      </c>
      <c r="D196">
        <v>79.915840149000005</v>
      </c>
      <c r="E196">
        <v>40</v>
      </c>
      <c r="F196">
        <v>14.999502182000001</v>
      </c>
      <c r="G196">
        <v>1343.7021483999999</v>
      </c>
      <c r="H196">
        <v>1340.3945312000001</v>
      </c>
      <c r="I196">
        <v>1319.0236815999999</v>
      </c>
      <c r="J196">
        <v>1313.5694579999999</v>
      </c>
      <c r="K196">
        <v>1650</v>
      </c>
      <c r="L196">
        <v>0</v>
      </c>
      <c r="M196">
        <v>0</v>
      </c>
      <c r="N196">
        <v>1650</v>
      </c>
    </row>
    <row r="197" spans="1:14" x14ac:dyDescent="0.25">
      <c r="A197">
        <v>15.60384</v>
      </c>
      <c r="B197" s="1">
        <f>DATE(2010,5,16) + TIME(14,29,31)</f>
        <v>40314.603831018518</v>
      </c>
      <c r="C197">
        <v>80</v>
      </c>
      <c r="D197">
        <v>79.915832519999995</v>
      </c>
      <c r="E197">
        <v>40</v>
      </c>
      <c r="F197">
        <v>14.999503136</v>
      </c>
      <c r="G197">
        <v>1343.6945800999999</v>
      </c>
      <c r="H197">
        <v>1340.3880615</v>
      </c>
      <c r="I197">
        <v>1319.0241699000001</v>
      </c>
      <c r="J197">
        <v>1313.5698242000001</v>
      </c>
      <c r="K197">
        <v>1650</v>
      </c>
      <c r="L197">
        <v>0</v>
      </c>
      <c r="M197">
        <v>0</v>
      </c>
      <c r="N197">
        <v>1650</v>
      </c>
    </row>
    <row r="198" spans="1:14" x14ac:dyDescent="0.25">
      <c r="A198">
        <v>15.728956999999999</v>
      </c>
      <c r="B198" s="1">
        <f>DATE(2010,5,16) + TIME(17,29,41)</f>
        <v>40314.728946759256</v>
      </c>
      <c r="C198">
        <v>80</v>
      </c>
      <c r="D198">
        <v>79.915824889999996</v>
      </c>
      <c r="E198">
        <v>40</v>
      </c>
      <c r="F198">
        <v>14.999505042999999</v>
      </c>
      <c r="G198">
        <v>1343.6870117000001</v>
      </c>
      <c r="H198">
        <v>1340.3817139</v>
      </c>
      <c r="I198">
        <v>1319.0245361</v>
      </c>
      <c r="J198">
        <v>1313.5700684000001</v>
      </c>
      <c r="K198">
        <v>1650</v>
      </c>
      <c r="L198">
        <v>0</v>
      </c>
      <c r="M198">
        <v>0</v>
      </c>
      <c r="N198">
        <v>1650</v>
      </c>
    </row>
    <row r="199" spans="1:14" x14ac:dyDescent="0.25">
      <c r="A199">
        <v>15.854074000000001</v>
      </c>
      <c r="B199" s="1">
        <f>DATE(2010,5,16) + TIME(20,29,52)</f>
        <v>40314.854074074072</v>
      </c>
      <c r="C199">
        <v>80</v>
      </c>
      <c r="D199">
        <v>79.915809631000002</v>
      </c>
      <c r="E199">
        <v>40</v>
      </c>
      <c r="F199">
        <v>14.999505997</v>
      </c>
      <c r="G199">
        <v>1343.6794434000001</v>
      </c>
      <c r="H199">
        <v>1340.3753661999999</v>
      </c>
      <c r="I199">
        <v>1319.0249022999999</v>
      </c>
      <c r="J199">
        <v>1313.5704346</v>
      </c>
      <c r="K199">
        <v>1650</v>
      </c>
      <c r="L199">
        <v>0</v>
      </c>
      <c r="M199">
        <v>0</v>
      </c>
      <c r="N199">
        <v>1650</v>
      </c>
    </row>
    <row r="200" spans="1:14" x14ac:dyDescent="0.25">
      <c r="A200">
        <v>15.979191</v>
      </c>
      <c r="B200" s="1">
        <f>DATE(2010,5,16) + TIME(23,30,2)</f>
        <v>40314.979189814818</v>
      </c>
      <c r="C200">
        <v>80</v>
      </c>
      <c r="D200">
        <v>79.915802002000007</v>
      </c>
      <c r="E200">
        <v>40</v>
      </c>
      <c r="F200">
        <v>14.999506950000001</v>
      </c>
      <c r="G200">
        <v>1343.6719971</v>
      </c>
      <c r="H200">
        <v>1340.3691406</v>
      </c>
      <c r="I200">
        <v>1319.0253906</v>
      </c>
      <c r="J200">
        <v>1313.5706786999999</v>
      </c>
      <c r="K200">
        <v>1650</v>
      </c>
      <c r="L200">
        <v>0</v>
      </c>
      <c r="M200">
        <v>0</v>
      </c>
      <c r="N200">
        <v>1650</v>
      </c>
    </row>
    <row r="201" spans="1:14" x14ac:dyDescent="0.25">
      <c r="A201">
        <v>16.104308</v>
      </c>
      <c r="B201" s="1">
        <f>DATE(2010,5,17) + TIME(2,30,12)</f>
        <v>40315.104305555556</v>
      </c>
      <c r="C201">
        <v>80</v>
      </c>
      <c r="D201">
        <v>79.915794372999997</v>
      </c>
      <c r="E201">
        <v>40</v>
      </c>
      <c r="F201">
        <v>14.999508858</v>
      </c>
      <c r="G201">
        <v>1343.6645507999999</v>
      </c>
      <c r="H201">
        <v>1340.3629149999999</v>
      </c>
      <c r="I201">
        <v>1319.0257568</v>
      </c>
      <c r="J201">
        <v>1313.5710449000001</v>
      </c>
      <c r="K201">
        <v>1650</v>
      </c>
      <c r="L201">
        <v>0</v>
      </c>
      <c r="M201">
        <v>0</v>
      </c>
      <c r="N201">
        <v>1650</v>
      </c>
    </row>
    <row r="202" spans="1:14" x14ac:dyDescent="0.25">
      <c r="A202">
        <v>16.229424999999999</v>
      </c>
      <c r="B202" s="1">
        <f>DATE(2010,5,17) + TIME(5,30,22)</f>
        <v>40315.229421296295</v>
      </c>
      <c r="C202">
        <v>80</v>
      </c>
      <c r="D202">
        <v>79.915779114000003</v>
      </c>
      <c r="E202">
        <v>40</v>
      </c>
      <c r="F202">
        <v>14.999509810999999</v>
      </c>
      <c r="G202">
        <v>1343.6572266000001</v>
      </c>
      <c r="H202">
        <v>1340.3568115</v>
      </c>
      <c r="I202">
        <v>1319.0261230000001</v>
      </c>
      <c r="J202">
        <v>1313.5712891000001</v>
      </c>
      <c r="K202">
        <v>1650</v>
      </c>
      <c r="L202">
        <v>0</v>
      </c>
      <c r="M202">
        <v>0</v>
      </c>
      <c r="N202">
        <v>1650</v>
      </c>
    </row>
    <row r="203" spans="1:14" x14ac:dyDescent="0.25">
      <c r="A203">
        <v>16.354541999999999</v>
      </c>
      <c r="B203" s="1">
        <f>DATE(2010,5,17) + TIME(8,30,32)</f>
        <v>40315.354537037034</v>
      </c>
      <c r="C203">
        <v>80</v>
      </c>
      <c r="D203">
        <v>79.915771484000004</v>
      </c>
      <c r="E203">
        <v>40</v>
      </c>
      <c r="F203">
        <v>14.999510765</v>
      </c>
      <c r="G203">
        <v>1343.6499022999999</v>
      </c>
      <c r="H203">
        <v>1340.3507079999999</v>
      </c>
      <c r="I203">
        <v>1319.0264893000001</v>
      </c>
      <c r="J203">
        <v>1313.5716553</v>
      </c>
      <c r="K203">
        <v>1650</v>
      </c>
      <c r="L203">
        <v>0</v>
      </c>
      <c r="M203">
        <v>0</v>
      </c>
      <c r="N203">
        <v>1650</v>
      </c>
    </row>
    <row r="204" spans="1:14" x14ac:dyDescent="0.25">
      <c r="A204">
        <v>16.479659000000002</v>
      </c>
      <c r="B204" s="1">
        <f>DATE(2010,5,17) + TIME(11,30,42)</f>
        <v>40315.47965277778</v>
      </c>
      <c r="C204">
        <v>80</v>
      </c>
      <c r="D204">
        <v>79.915763854999994</v>
      </c>
      <c r="E204">
        <v>40</v>
      </c>
      <c r="F204">
        <v>14.999512672</v>
      </c>
      <c r="G204">
        <v>1343.6425781</v>
      </c>
      <c r="H204">
        <v>1340.3446045000001</v>
      </c>
      <c r="I204">
        <v>1319.0269774999999</v>
      </c>
      <c r="J204">
        <v>1313.5718993999999</v>
      </c>
      <c r="K204">
        <v>1650</v>
      </c>
      <c r="L204">
        <v>0</v>
      </c>
      <c r="M204">
        <v>0</v>
      </c>
      <c r="N204">
        <v>1650</v>
      </c>
    </row>
    <row r="205" spans="1:14" x14ac:dyDescent="0.25">
      <c r="A205">
        <v>16.729892</v>
      </c>
      <c r="B205" s="1">
        <f>DATE(2010,5,17) + TIME(17,31,2)</f>
        <v>40315.729884259257</v>
      </c>
      <c r="C205">
        <v>80</v>
      </c>
      <c r="D205">
        <v>79.915748596</v>
      </c>
      <c r="E205">
        <v>40</v>
      </c>
      <c r="F205">
        <v>14.99951458</v>
      </c>
      <c r="G205">
        <v>1343.6356201000001</v>
      </c>
      <c r="H205">
        <v>1340.3389893000001</v>
      </c>
      <c r="I205">
        <v>1319.0273437999999</v>
      </c>
      <c r="J205">
        <v>1313.5722656</v>
      </c>
      <c r="K205">
        <v>1650</v>
      </c>
      <c r="L205">
        <v>0</v>
      </c>
      <c r="M205">
        <v>0</v>
      </c>
      <c r="N205">
        <v>1650</v>
      </c>
    </row>
    <row r="206" spans="1:14" x14ac:dyDescent="0.25">
      <c r="A206">
        <v>16.980577</v>
      </c>
      <c r="B206" s="1">
        <f>DATE(2010,5,17) + TIME(23,32,1)</f>
        <v>40315.980567129627</v>
      </c>
      <c r="C206">
        <v>80</v>
      </c>
      <c r="D206">
        <v>79.915733337000006</v>
      </c>
      <c r="E206">
        <v>40</v>
      </c>
      <c r="F206">
        <v>14.999516486999999</v>
      </c>
      <c r="G206">
        <v>1343.6213379000001</v>
      </c>
      <c r="H206">
        <v>1340.3271483999999</v>
      </c>
      <c r="I206">
        <v>1319.0281981999999</v>
      </c>
      <c r="J206">
        <v>1313.572876</v>
      </c>
      <c r="K206">
        <v>1650</v>
      </c>
      <c r="L206">
        <v>0</v>
      </c>
      <c r="M206">
        <v>0</v>
      </c>
      <c r="N206">
        <v>1650</v>
      </c>
    </row>
    <row r="207" spans="1:14" x14ac:dyDescent="0.25">
      <c r="A207">
        <v>17.233360999999999</v>
      </c>
      <c r="B207" s="1">
        <f>DATE(2010,5,18) + TIME(5,36,2)</f>
        <v>40316.233356481483</v>
      </c>
      <c r="C207">
        <v>80</v>
      </c>
      <c r="D207">
        <v>79.915718079000001</v>
      </c>
      <c r="E207">
        <v>40</v>
      </c>
      <c r="F207">
        <v>14.999519348</v>
      </c>
      <c r="G207">
        <v>1343.6071777</v>
      </c>
      <c r="H207">
        <v>1340.3155518000001</v>
      </c>
      <c r="I207">
        <v>1319.0290527</v>
      </c>
      <c r="J207">
        <v>1313.5734863</v>
      </c>
      <c r="K207">
        <v>1650</v>
      </c>
      <c r="L207">
        <v>0</v>
      </c>
      <c r="M207">
        <v>0</v>
      </c>
      <c r="N207">
        <v>1650</v>
      </c>
    </row>
    <row r="208" spans="1:14" x14ac:dyDescent="0.25">
      <c r="A208">
        <v>17.488683999999999</v>
      </c>
      <c r="B208" s="1">
        <f>DATE(2010,5,18) + TIME(11,43,42)</f>
        <v>40316.488680555558</v>
      </c>
      <c r="C208">
        <v>80</v>
      </c>
      <c r="D208">
        <v>79.915695189999994</v>
      </c>
      <c r="E208">
        <v>40</v>
      </c>
      <c r="F208">
        <v>14.999521254999999</v>
      </c>
      <c r="G208">
        <v>1343.5931396000001</v>
      </c>
      <c r="H208">
        <v>1340.3039550999999</v>
      </c>
      <c r="I208">
        <v>1319.0297852000001</v>
      </c>
      <c r="J208">
        <v>1313.5740966999999</v>
      </c>
      <c r="K208">
        <v>1650</v>
      </c>
      <c r="L208">
        <v>0</v>
      </c>
      <c r="M208">
        <v>0</v>
      </c>
      <c r="N208">
        <v>1650</v>
      </c>
    </row>
    <row r="209" spans="1:14" x14ac:dyDescent="0.25">
      <c r="A209">
        <v>17.747002999999999</v>
      </c>
      <c r="B209" s="1">
        <f>DATE(2010,5,18) + TIME(17,55,41)</f>
        <v>40316.747002314813</v>
      </c>
      <c r="C209">
        <v>80</v>
      </c>
      <c r="D209">
        <v>79.915672302000004</v>
      </c>
      <c r="E209">
        <v>40</v>
      </c>
      <c r="F209">
        <v>14.999524117</v>
      </c>
      <c r="G209">
        <v>1343.5791016000001</v>
      </c>
      <c r="H209">
        <v>1340.2923584</v>
      </c>
      <c r="I209">
        <v>1319.0306396000001</v>
      </c>
      <c r="J209">
        <v>1313.574707</v>
      </c>
      <c r="K209">
        <v>1650</v>
      </c>
      <c r="L209">
        <v>0</v>
      </c>
      <c r="M209">
        <v>0</v>
      </c>
      <c r="N209">
        <v>1650</v>
      </c>
    </row>
    <row r="210" spans="1:14" x14ac:dyDescent="0.25">
      <c r="A210">
        <v>18.008792</v>
      </c>
      <c r="B210" s="1">
        <f>DATE(2010,5,19) + TIME(0,12,39)</f>
        <v>40317.008784722224</v>
      </c>
      <c r="C210">
        <v>80</v>
      </c>
      <c r="D210">
        <v>79.915649414000001</v>
      </c>
      <c r="E210">
        <v>40</v>
      </c>
      <c r="F210">
        <v>14.999526024</v>
      </c>
      <c r="G210">
        <v>1343.5650635</v>
      </c>
      <c r="H210">
        <v>1340.2808838000001</v>
      </c>
      <c r="I210">
        <v>1319.0314940999999</v>
      </c>
      <c r="J210">
        <v>1313.5753173999999</v>
      </c>
      <c r="K210">
        <v>1650</v>
      </c>
      <c r="L210">
        <v>0</v>
      </c>
      <c r="M210">
        <v>0</v>
      </c>
      <c r="N210">
        <v>1650</v>
      </c>
    </row>
    <row r="211" spans="1:14" x14ac:dyDescent="0.25">
      <c r="A211">
        <v>18.274549</v>
      </c>
      <c r="B211" s="1">
        <f>DATE(2010,5,19) + TIME(6,35,21)</f>
        <v>40317.274548611109</v>
      </c>
      <c r="C211">
        <v>80</v>
      </c>
      <c r="D211">
        <v>79.915626525999997</v>
      </c>
      <c r="E211">
        <v>40</v>
      </c>
      <c r="F211">
        <v>14.999528885</v>
      </c>
      <c r="G211">
        <v>1343.5510254000001</v>
      </c>
      <c r="H211">
        <v>1340.2694091999999</v>
      </c>
      <c r="I211">
        <v>1319.0323486</v>
      </c>
      <c r="J211">
        <v>1313.5759277</v>
      </c>
      <c r="K211">
        <v>1650</v>
      </c>
      <c r="L211">
        <v>0</v>
      </c>
      <c r="M211">
        <v>0</v>
      </c>
      <c r="N211">
        <v>1650</v>
      </c>
    </row>
    <row r="212" spans="1:14" x14ac:dyDescent="0.25">
      <c r="A212">
        <v>18.544826</v>
      </c>
      <c r="B212" s="1">
        <f>DATE(2010,5,19) + TIME(13,4,32)</f>
        <v>40317.544814814813</v>
      </c>
      <c r="C212">
        <v>80</v>
      </c>
      <c r="D212">
        <v>79.915596007999994</v>
      </c>
      <c r="E212">
        <v>40</v>
      </c>
      <c r="F212">
        <v>14.999530792</v>
      </c>
      <c r="G212">
        <v>1343.5369873</v>
      </c>
      <c r="H212">
        <v>1340.2580565999999</v>
      </c>
      <c r="I212">
        <v>1319.0332031</v>
      </c>
      <c r="J212">
        <v>1313.5765381000001</v>
      </c>
      <c r="K212">
        <v>1650</v>
      </c>
      <c r="L212">
        <v>0</v>
      </c>
      <c r="M212">
        <v>0</v>
      </c>
      <c r="N212">
        <v>1650</v>
      </c>
    </row>
    <row r="213" spans="1:14" x14ac:dyDescent="0.25">
      <c r="A213">
        <v>18.820253000000001</v>
      </c>
      <c r="B213" s="1">
        <f>DATE(2010,5,19) + TIME(19,41,9)</f>
        <v>40317.820243055554</v>
      </c>
      <c r="C213">
        <v>80</v>
      </c>
      <c r="D213">
        <v>79.915573120000005</v>
      </c>
      <c r="E213">
        <v>40</v>
      </c>
      <c r="F213">
        <v>14.9995327</v>
      </c>
      <c r="G213">
        <v>1343.5229492000001</v>
      </c>
      <c r="H213">
        <v>1340.246582</v>
      </c>
      <c r="I213">
        <v>1319.0340576000001</v>
      </c>
      <c r="J213">
        <v>1313.5771483999999</v>
      </c>
      <c r="K213">
        <v>1650</v>
      </c>
      <c r="L213">
        <v>0</v>
      </c>
      <c r="M213">
        <v>0</v>
      </c>
      <c r="N213">
        <v>1650</v>
      </c>
    </row>
    <row r="214" spans="1:14" x14ac:dyDescent="0.25">
      <c r="A214">
        <v>19.101341000000001</v>
      </c>
      <c r="B214" s="1">
        <f>DATE(2010,5,20) + TIME(2,25,55)</f>
        <v>40318.101331018515</v>
      </c>
      <c r="C214">
        <v>80</v>
      </c>
      <c r="D214">
        <v>79.915542603000006</v>
      </c>
      <c r="E214">
        <v>40</v>
      </c>
      <c r="F214">
        <v>14.999535561</v>
      </c>
      <c r="G214">
        <v>1343.5087891000001</v>
      </c>
      <c r="H214">
        <v>1340.2351074000001</v>
      </c>
      <c r="I214">
        <v>1319.0349120999999</v>
      </c>
      <c r="J214">
        <v>1313.5778809000001</v>
      </c>
      <c r="K214">
        <v>1650</v>
      </c>
      <c r="L214">
        <v>0</v>
      </c>
      <c r="M214">
        <v>0</v>
      </c>
      <c r="N214">
        <v>1650</v>
      </c>
    </row>
    <row r="215" spans="1:14" x14ac:dyDescent="0.25">
      <c r="A215">
        <v>19.388739999999999</v>
      </c>
      <c r="B215" s="1">
        <f>DATE(2010,5,20) + TIME(9,19,47)</f>
        <v>40318.388738425929</v>
      </c>
      <c r="C215">
        <v>80</v>
      </c>
      <c r="D215">
        <v>79.915519713999998</v>
      </c>
      <c r="E215">
        <v>40</v>
      </c>
      <c r="F215">
        <v>14.999537468</v>
      </c>
      <c r="G215">
        <v>1343.4945068</v>
      </c>
      <c r="H215">
        <v>1340.2235106999999</v>
      </c>
      <c r="I215">
        <v>1319.0358887</v>
      </c>
      <c r="J215">
        <v>1313.5784911999999</v>
      </c>
      <c r="K215">
        <v>1650</v>
      </c>
      <c r="L215">
        <v>0</v>
      </c>
      <c r="M215">
        <v>0</v>
      </c>
      <c r="N215">
        <v>1650</v>
      </c>
    </row>
    <row r="216" spans="1:14" x14ac:dyDescent="0.25">
      <c r="A216">
        <v>19.683157000000001</v>
      </c>
      <c r="B216" s="1">
        <f>DATE(2010,5,20) + TIME(16,23,44)</f>
        <v>40318.683148148149</v>
      </c>
      <c r="C216">
        <v>80</v>
      </c>
      <c r="D216">
        <v>79.915489196999999</v>
      </c>
      <c r="E216">
        <v>40</v>
      </c>
      <c r="F216">
        <v>14.999540329</v>
      </c>
      <c r="G216">
        <v>1343.4799805</v>
      </c>
      <c r="H216">
        <v>1340.2119141000001</v>
      </c>
      <c r="I216">
        <v>1319.0367432</v>
      </c>
      <c r="J216">
        <v>1313.5792236</v>
      </c>
      <c r="K216">
        <v>1650</v>
      </c>
      <c r="L216">
        <v>0</v>
      </c>
      <c r="M216">
        <v>0</v>
      </c>
      <c r="N216">
        <v>1650</v>
      </c>
    </row>
    <row r="217" spans="1:14" x14ac:dyDescent="0.25">
      <c r="A217">
        <v>19.981670000000001</v>
      </c>
      <c r="B217" s="1">
        <f>DATE(2010,5,20) + TIME(23,33,36)</f>
        <v>40318.981666666667</v>
      </c>
      <c r="C217">
        <v>80</v>
      </c>
      <c r="D217">
        <v>79.915458678999997</v>
      </c>
      <c r="E217">
        <v>40</v>
      </c>
      <c r="F217">
        <v>14.999543190000001</v>
      </c>
      <c r="G217">
        <v>1343.4654541</v>
      </c>
      <c r="H217">
        <v>1340.2001952999999</v>
      </c>
      <c r="I217">
        <v>1319.0377197</v>
      </c>
      <c r="J217">
        <v>1313.5799560999999</v>
      </c>
      <c r="K217">
        <v>1650</v>
      </c>
      <c r="L217">
        <v>0</v>
      </c>
      <c r="M217">
        <v>0</v>
      </c>
      <c r="N217">
        <v>1650</v>
      </c>
    </row>
    <row r="218" spans="1:14" x14ac:dyDescent="0.25">
      <c r="A218">
        <v>20.131661000000001</v>
      </c>
      <c r="B218" s="1">
        <f>DATE(2010,5,21) + TIME(3,9,35)</f>
        <v>40319.131655092591</v>
      </c>
      <c r="C218">
        <v>80</v>
      </c>
      <c r="D218">
        <v>79.915435790999993</v>
      </c>
      <c r="E218">
        <v>40</v>
      </c>
      <c r="F218">
        <v>14.999544144</v>
      </c>
      <c r="G218">
        <v>1343.4506836</v>
      </c>
      <c r="H218">
        <v>1340.1882324000001</v>
      </c>
      <c r="I218">
        <v>1319.0386963000001</v>
      </c>
      <c r="J218">
        <v>1313.5805664</v>
      </c>
      <c r="K218">
        <v>1650</v>
      </c>
      <c r="L218">
        <v>0</v>
      </c>
      <c r="M218">
        <v>0</v>
      </c>
      <c r="N218">
        <v>1650</v>
      </c>
    </row>
    <row r="219" spans="1:14" x14ac:dyDescent="0.25">
      <c r="A219">
        <v>20.281651</v>
      </c>
      <c r="B219" s="1">
        <f>DATE(2010,5,21) + TIME(6,45,34)</f>
        <v>40319.281643518516</v>
      </c>
      <c r="C219">
        <v>80</v>
      </c>
      <c r="D219">
        <v>79.915412903000004</v>
      </c>
      <c r="E219">
        <v>40</v>
      </c>
      <c r="F219">
        <v>14.999545097</v>
      </c>
      <c r="G219">
        <v>1343.4433594</v>
      </c>
      <c r="H219">
        <v>1340.1823730000001</v>
      </c>
      <c r="I219">
        <v>1319.0391846</v>
      </c>
      <c r="J219">
        <v>1313.5809326000001</v>
      </c>
      <c r="K219">
        <v>1650</v>
      </c>
      <c r="L219">
        <v>0</v>
      </c>
      <c r="M219">
        <v>0</v>
      </c>
      <c r="N219">
        <v>1650</v>
      </c>
    </row>
    <row r="220" spans="1:14" x14ac:dyDescent="0.25">
      <c r="A220">
        <v>20.431640999999999</v>
      </c>
      <c r="B220" s="1">
        <f>DATE(2010,5,21) + TIME(10,21,33)</f>
        <v>40319.431631944448</v>
      </c>
      <c r="C220">
        <v>80</v>
      </c>
      <c r="D220">
        <v>79.915390015</v>
      </c>
      <c r="E220">
        <v>40</v>
      </c>
      <c r="F220">
        <v>14.999547005</v>
      </c>
      <c r="G220">
        <v>1343.4361572</v>
      </c>
      <c r="H220">
        <v>1340.1766356999999</v>
      </c>
      <c r="I220">
        <v>1319.0396728999999</v>
      </c>
      <c r="J220">
        <v>1313.5812988</v>
      </c>
      <c r="K220">
        <v>1650</v>
      </c>
      <c r="L220">
        <v>0</v>
      </c>
      <c r="M220">
        <v>0</v>
      </c>
      <c r="N220">
        <v>1650</v>
      </c>
    </row>
    <row r="221" spans="1:14" x14ac:dyDescent="0.25">
      <c r="A221">
        <v>20.581631999999999</v>
      </c>
      <c r="B221" s="1">
        <f>DATE(2010,5,21) + TIME(13,57,32)</f>
        <v>40319.581620370373</v>
      </c>
      <c r="C221">
        <v>80</v>
      </c>
      <c r="D221">
        <v>79.915374756000006</v>
      </c>
      <c r="E221">
        <v>40</v>
      </c>
      <c r="F221">
        <v>14.999547958000001</v>
      </c>
      <c r="G221">
        <v>1343.4289550999999</v>
      </c>
      <c r="H221">
        <v>1340.1708983999999</v>
      </c>
      <c r="I221">
        <v>1319.0401611</v>
      </c>
      <c r="J221">
        <v>1313.5816649999999</v>
      </c>
      <c r="K221">
        <v>1650</v>
      </c>
      <c r="L221">
        <v>0</v>
      </c>
      <c r="M221">
        <v>0</v>
      </c>
      <c r="N221">
        <v>1650</v>
      </c>
    </row>
    <row r="222" spans="1:14" x14ac:dyDescent="0.25">
      <c r="A222">
        <v>20.731622000000002</v>
      </c>
      <c r="B222" s="1">
        <f>DATE(2010,5,21) + TIME(17,33,32)</f>
        <v>40319.731620370374</v>
      </c>
      <c r="C222">
        <v>80</v>
      </c>
      <c r="D222">
        <v>79.915359496999997</v>
      </c>
      <c r="E222">
        <v>40</v>
      </c>
      <c r="F222">
        <v>14.999549866000001</v>
      </c>
      <c r="G222">
        <v>1343.421875</v>
      </c>
      <c r="H222">
        <v>1340.1651611</v>
      </c>
      <c r="I222">
        <v>1319.0406493999999</v>
      </c>
      <c r="J222">
        <v>1313.5820312000001</v>
      </c>
      <c r="K222">
        <v>1650</v>
      </c>
      <c r="L222">
        <v>0</v>
      </c>
      <c r="M222">
        <v>0</v>
      </c>
      <c r="N222">
        <v>1650</v>
      </c>
    </row>
    <row r="223" spans="1:14" x14ac:dyDescent="0.25">
      <c r="A223">
        <v>20.881612000000001</v>
      </c>
      <c r="B223" s="1">
        <f>DATE(2010,5,21) + TIME(21,9,31)</f>
        <v>40319.881608796299</v>
      </c>
      <c r="C223">
        <v>80</v>
      </c>
      <c r="D223">
        <v>79.915336608999993</v>
      </c>
      <c r="E223">
        <v>40</v>
      </c>
      <c r="F223">
        <v>14.999550819</v>
      </c>
      <c r="G223">
        <v>1343.4147949000001</v>
      </c>
      <c r="H223">
        <v>1340.1595459</v>
      </c>
      <c r="I223">
        <v>1319.0411377</v>
      </c>
      <c r="J223">
        <v>1313.5823975000001</v>
      </c>
      <c r="K223">
        <v>1650</v>
      </c>
      <c r="L223">
        <v>0</v>
      </c>
      <c r="M223">
        <v>0</v>
      </c>
      <c r="N223">
        <v>1650</v>
      </c>
    </row>
    <row r="224" spans="1:14" x14ac:dyDescent="0.25">
      <c r="A224">
        <v>21.031603</v>
      </c>
      <c r="B224" s="1">
        <f>DATE(2010,5,22) + TIME(0,45,30)</f>
        <v>40320.031597222223</v>
      </c>
      <c r="C224">
        <v>80</v>
      </c>
      <c r="D224">
        <v>79.915321349999999</v>
      </c>
      <c r="E224">
        <v>40</v>
      </c>
      <c r="F224">
        <v>14.999551773</v>
      </c>
      <c r="G224">
        <v>1343.4078368999999</v>
      </c>
      <c r="H224">
        <v>1340.1539307</v>
      </c>
      <c r="I224">
        <v>1319.041626</v>
      </c>
      <c r="J224">
        <v>1313.5827637</v>
      </c>
      <c r="K224">
        <v>1650</v>
      </c>
      <c r="L224">
        <v>0</v>
      </c>
      <c r="M224">
        <v>0</v>
      </c>
      <c r="N224">
        <v>1650</v>
      </c>
    </row>
    <row r="225" spans="1:14" x14ac:dyDescent="0.25">
      <c r="A225">
        <v>21.181592999999999</v>
      </c>
      <c r="B225" s="1">
        <f>DATE(2010,5,22) + TIME(4,21,29)</f>
        <v>40320.181585648148</v>
      </c>
      <c r="C225">
        <v>80</v>
      </c>
      <c r="D225">
        <v>79.915306091000005</v>
      </c>
      <c r="E225">
        <v>40</v>
      </c>
      <c r="F225">
        <v>14.999552726999999</v>
      </c>
      <c r="G225">
        <v>1343.4008789</v>
      </c>
      <c r="H225">
        <v>1340.1483154</v>
      </c>
      <c r="I225">
        <v>1319.0421143000001</v>
      </c>
      <c r="J225">
        <v>1313.5831298999999</v>
      </c>
      <c r="K225">
        <v>1650</v>
      </c>
      <c r="L225">
        <v>0</v>
      </c>
      <c r="M225">
        <v>0</v>
      </c>
      <c r="N225">
        <v>1650</v>
      </c>
    </row>
    <row r="226" spans="1:14" x14ac:dyDescent="0.25">
      <c r="A226">
        <v>21.331583999999999</v>
      </c>
      <c r="B226" s="1">
        <f>DATE(2010,5,22) + TIME(7,57,28)</f>
        <v>40320.331574074073</v>
      </c>
      <c r="C226">
        <v>80</v>
      </c>
      <c r="D226">
        <v>79.915290833</v>
      </c>
      <c r="E226">
        <v>40</v>
      </c>
      <c r="F226">
        <v>14.999554634000001</v>
      </c>
      <c r="G226">
        <v>1343.3939209</v>
      </c>
      <c r="H226">
        <v>1340.1428223</v>
      </c>
      <c r="I226">
        <v>1319.0426024999999</v>
      </c>
      <c r="J226">
        <v>1313.5834961</v>
      </c>
      <c r="K226">
        <v>1650</v>
      </c>
      <c r="L226">
        <v>0</v>
      </c>
      <c r="M226">
        <v>0</v>
      </c>
      <c r="N226">
        <v>1650</v>
      </c>
    </row>
    <row r="227" spans="1:14" x14ac:dyDescent="0.25">
      <c r="A227">
        <v>21.481573999999998</v>
      </c>
      <c r="B227" s="1">
        <f>DATE(2010,5,22) + TIME(11,33,27)</f>
        <v>40320.481562499997</v>
      </c>
      <c r="C227">
        <v>80</v>
      </c>
      <c r="D227">
        <v>79.915275574000006</v>
      </c>
      <c r="E227">
        <v>40</v>
      </c>
      <c r="F227">
        <v>14.999555588</v>
      </c>
      <c r="G227">
        <v>1343.3870850000001</v>
      </c>
      <c r="H227">
        <v>1340.1373291</v>
      </c>
      <c r="I227">
        <v>1319.0430908000001</v>
      </c>
      <c r="J227">
        <v>1313.5838623</v>
      </c>
      <c r="K227">
        <v>1650</v>
      </c>
      <c r="L227">
        <v>0</v>
      </c>
      <c r="M227">
        <v>0</v>
      </c>
      <c r="N227">
        <v>1650</v>
      </c>
    </row>
    <row r="228" spans="1:14" x14ac:dyDescent="0.25">
      <c r="A228">
        <v>21.631564000000001</v>
      </c>
      <c r="B228" s="1">
        <f>DATE(2010,5,22) + TIME(15,9,27)</f>
        <v>40320.631562499999</v>
      </c>
      <c r="C228">
        <v>80</v>
      </c>
      <c r="D228">
        <v>79.915252686000002</v>
      </c>
      <c r="E228">
        <v>40</v>
      </c>
      <c r="F228">
        <v>14.999556541</v>
      </c>
      <c r="G228">
        <v>1343.380249</v>
      </c>
      <c r="H228">
        <v>1340.1319579999999</v>
      </c>
      <c r="I228">
        <v>1319.0435791</v>
      </c>
      <c r="J228">
        <v>1313.5842285000001</v>
      </c>
      <c r="K228">
        <v>1650</v>
      </c>
      <c r="L228">
        <v>0</v>
      </c>
      <c r="M228">
        <v>0</v>
      </c>
      <c r="N228">
        <v>1650</v>
      </c>
    </row>
    <row r="229" spans="1:14" x14ac:dyDescent="0.25">
      <c r="A229">
        <v>21.931545</v>
      </c>
      <c r="B229" s="1">
        <f>DATE(2010,5,22) + TIME(22,21,25)</f>
        <v>40320.931539351855</v>
      </c>
      <c r="C229">
        <v>80</v>
      </c>
      <c r="D229">
        <v>79.915237426999994</v>
      </c>
      <c r="E229">
        <v>40</v>
      </c>
      <c r="F229">
        <v>14.999558449</v>
      </c>
      <c r="G229">
        <v>1343.3736572</v>
      </c>
      <c r="H229">
        <v>1340.1268310999999</v>
      </c>
      <c r="I229">
        <v>1319.0441894999999</v>
      </c>
      <c r="J229">
        <v>1313.5847168</v>
      </c>
      <c r="K229">
        <v>1650</v>
      </c>
      <c r="L229">
        <v>0</v>
      </c>
      <c r="M229">
        <v>0</v>
      </c>
      <c r="N229">
        <v>1650</v>
      </c>
    </row>
    <row r="230" spans="1:14" x14ac:dyDescent="0.25">
      <c r="A230">
        <v>22.231946000000001</v>
      </c>
      <c r="B230" s="1">
        <f>DATE(2010,5,23) + TIME(5,34,0)</f>
        <v>40321.231944444444</v>
      </c>
      <c r="C230">
        <v>80</v>
      </c>
      <c r="D230">
        <v>79.915214539000004</v>
      </c>
      <c r="E230">
        <v>40</v>
      </c>
      <c r="F230">
        <v>14.999561310000001</v>
      </c>
      <c r="G230">
        <v>1343.3602295000001</v>
      </c>
      <c r="H230">
        <v>1340.1160889</v>
      </c>
      <c r="I230">
        <v>1319.0451660000001</v>
      </c>
      <c r="J230">
        <v>1313.5853271000001</v>
      </c>
      <c r="K230">
        <v>1650</v>
      </c>
      <c r="L230">
        <v>0</v>
      </c>
      <c r="M230">
        <v>0</v>
      </c>
      <c r="N230">
        <v>1650</v>
      </c>
    </row>
    <row r="231" spans="1:14" x14ac:dyDescent="0.25">
      <c r="A231">
        <v>22.534882</v>
      </c>
      <c r="B231" s="1">
        <f>DATE(2010,5,23) + TIME(12,50,13)</f>
        <v>40321.534872685188</v>
      </c>
      <c r="C231">
        <v>80</v>
      </c>
      <c r="D231">
        <v>79.915191649999997</v>
      </c>
      <c r="E231">
        <v>40</v>
      </c>
      <c r="F231">
        <v>14.999563217</v>
      </c>
      <c r="G231">
        <v>1343.3468018000001</v>
      </c>
      <c r="H231">
        <v>1340.1055908000001</v>
      </c>
      <c r="I231">
        <v>1319.0461425999999</v>
      </c>
      <c r="J231">
        <v>1313.5861815999999</v>
      </c>
      <c r="K231">
        <v>1650</v>
      </c>
      <c r="L231">
        <v>0</v>
      </c>
      <c r="M231">
        <v>0</v>
      </c>
      <c r="N231">
        <v>1650</v>
      </c>
    </row>
    <row r="232" spans="1:14" x14ac:dyDescent="0.25">
      <c r="A232">
        <v>22.840911999999999</v>
      </c>
      <c r="B232" s="1">
        <f>DATE(2010,5,23) + TIME(20,10,54)</f>
        <v>40321.840902777774</v>
      </c>
      <c r="C232">
        <v>80</v>
      </c>
      <c r="D232">
        <v>79.915161132999998</v>
      </c>
      <c r="E232">
        <v>40</v>
      </c>
      <c r="F232">
        <v>14.999565125</v>
      </c>
      <c r="G232">
        <v>1343.3336182</v>
      </c>
      <c r="H232">
        <v>1340.0952147999999</v>
      </c>
      <c r="I232">
        <v>1319.0471190999999</v>
      </c>
      <c r="J232">
        <v>1313.5869141000001</v>
      </c>
      <c r="K232">
        <v>1650</v>
      </c>
      <c r="L232">
        <v>0</v>
      </c>
      <c r="M232">
        <v>0</v>
      </c>
      <c r="N232">
        <v>1650</v>
      </c>
    </row>
    <row r="233" spans="1:14" x14ac:dyDescent="0.25">
      <c r="A233">
        <v>23.150625000000002</v>
      </c>
      <c r="B233" s="1">
        <f>DATE(2010,5,24) + TIME(3,36,54)</f>
        <v>40322.150625000002</v>
      </c>
      <c r="C233">
        <v>80</v>
      </c>
      <c r="D233">
        <v>79.915138244999994</v>
      </c>
      <c r="E233">
        <v>40</v>
      </c>
      <c r="F233">
        <v>14.999567986000001</v>
      </c>
      <c r="G233">
        <v>1343.3203125</v>
      </c>
      <c r="H233">
        <v>1340.0848389</v>
      </c>
      <c r="I233">
        <v>1319.0482178</v>
      </c>
      <c r="J233">
        <v>1313.5876464999999</v>
      </c>
      <c r="K233">
        <v>1650</v>
      </c>
      <c r="L233">
        <v>0</v>
      </c>
      <c r="M233">
        <v>0</v>
      </c>
      <c r="N233">
        <v>1650</v>
      </c>
    </row>
    <row r="234" spans="1:14" x14ac:dyDescent="0.25">
      <c r="A234">
        <v>23.464632000000002</v>
      </c>
      <c r="B234" s="1">
        <f>DATE(2010,5,24) + TIME(11,9,4)</f>
        <v>40322.464629629627</v>
      </c>
      <c r="C234">
        <v>80</v>
      </c>
      <c r="D234">
        <v>79.915107727000006</v>
      </c>
      <c r="E234">
        <v>40</v>
      </c>
      <c r="F234">
        <v>14.999569893</v>
      </c>
      <c r="G234">
        <v>1343.3071289</v>
      </c>
      <c r="H234">
        <v>1340.0744629000001</v>
      </c>
      <c r="I234">
        <v>1319.0491943</v>
      </c>
      <c r="J234">
        <v>1313.5883789</v>
      </c>
      <c r="K234">
        <v>1650</v>
      </c>
      <c r="L234">
        <v>0</v>
      </c>
      <c r="M234">
        <v>0</v>
      </c>
      <c r="N234">
        <v>1650</v>
      </c>
    </row>
    <row r="235" spans="1:14" x14ac:dyDescent="0.25">
      <c r="A235">
        <v>23.783570000000001</v>
      </c>
      <c r="B235" s="1">
        <f>DATE(2010,5,24) + TIME(18,48,20)</f>
        <v>40322.783564814818</v>
      </c>
      <c r="C235">
        <v>80</v>
      </c>
      <c r="D235">
        <v>79.915077209000003</v>
      </c>
      <c r="E235">
        <v>40</v>
      </c>
      <c r="F235">
        <v>14.9995718</v>
      </c>
      <c r="G235">
        <v>1343.2938231999999</v>
      </c>
      <c r="H235">
        <v>1340.0640868999999</v>
      </c>
      <c r="I235">
        <v>1319.050293</v>
      </c>
      <c r="J235">
        <v>1313.5891113</v>
      </c>
      <c r="K235">
        <v>1650</v>
      </c>
      <c r="L235">
        <v>0</v>
      </c>
      <c r="M235">
        <v>0</v>
      </c>
      <c r="N235">
        <v>1650</v>
      </c>
    </row>
    <row r="236" spans="1:14" x14ac:dyDescent="0.25">
      <c r="A236">
        <v>24.108177000000001</v>
      </c>
      <c r="B236" s="1">
        <f>DATE(2010,5,25) + TIME(2,35,46)</f>
        <v>40323.108171296299</v>
      </c>
      <c r="C236">
        <v>80</v>
      </c>
      <c r="D236">
        <v>79.915046692000004</v>
      </c>
      <c r="E236">
        <v>40</v>
      </c>
      <c r="F236">
        <v>14.999574661</v>
      </c>
      <c r="G236">
        <v>1343.2805175999999</v>
      </c>
      <c r="H236">
        <v>1340.0537108999999</v>
      </c>
      <c r="I236">
        <v>1319.0513916</v>
      </c>
      <c r="J236">
        <v>1313.5899658000001</v>
      </c>
      <c r="K236">
        <v>1650</v>
      </c>
      <c r="L236">
        <v>0</v>
      </c>
      <c r="M236">
        <v>0</v>
      </c>
      <c r="N236">
        <v>1650</v>
      </c>
    </row>
    <row r="237" spans="1:14" x14ac:dyDescent="0.25">
      <c r="A237">
        <v>24.439215999999998</v>
      </c>
      <c r="B237" s="1">
        <f>DATE(2010,5,25) + TIME(10,32,28)</f>
        <v>40323.439212962963</v>
      </c>
      <c r="C237">
        <v>80</v>
      </c>
      <c r="D237">
        <v>79.915016174000002</v>
      </c>
      <c r="E237">
        <v>40</v>
      </c>
      <c r="F237">
        <v>14.999576569</v>
      </c>
      <c r="G237">
        <v>1343.2670897999999</v>
      </c>
      <c r="H237">
        <v>1340.0432129000001</v>
      </c>
      <c r="I237">
        <v>1319.0524902</v>
      </c>
      <c r="J237">
        <v>1313.5906981999999</v>
      </c>
      <c r="K237">
        <v>1650</v>
      </c>
      <c r="L237">
        <v>0</v>
      </c>
      <c r="M237">
        <v>0</v>
      </c>
      <c r="N237">
        <v>1650</v>
      </c>
    </row>
    <row r="238" spans="1:14" x14ac:dyDescent="0.25">
      <c r="A238">
        <v>24.777383</v>
      </c>
      <c r="B238" s="1">
        <f>DATE(2010,5,25) + TIME(18,39,25)</f>
        <v>40323.777372685188</v>
      </c>
      <c r="C238">
        <v>80</v>
      </c>
      <c r="D238">
        <v>79.914985657000003</v>
      </c>
      <c r="E238">
        <v>40</v>
      </c>
      <c r="F238">
        <v>14.999578476</v>
      </c>
      <c r="G238">
        <v>1343.2536620999999</v>
      </c>
      <c r="H238">
        <v>1340.0327147999999</v>
      </c>
      <c r="I238">
        <v>1319.0535889</v>
      </c>
      <c r="J238">
        <v>1313.5915527</v>
      </c>
      <c r="K238">
        <v>1650</v>
      </c>
      <c r="L238">
        <v>0</v>
      </c>
      <c r="M238">
        <v>0</v>
      </c>
      <c r="N238">
        <v>1650</v>
      </c>
    </row>
    <row r="239" spans="1:14" x14ac:dyDescent="0.25">
      <c r="A239">
        <v>25.123529000000001</v>
      </c>
      <c r="B239" s="1">
        <f>DATE(2010,5,26) + TIME(2,57,52)</f>
        <v>40324.123518518521</v>
      </c>
      <c r="C239">
        <v>80</v>
      </c>
      <c r="D239">
        <v>79.914955139</v>
      </c>
      <c r="E239">
        <v>40</v>
      </c>
      <c r="F239">
        <v>14.999581337</v>
      </c>
      <c r="G239">
        <v>1343.2401123</v>
      </c>
      <c r="H239">
        <v>1340.0222168</v>
      </c>
      <c r="I239">
        <v>1319.0546875</v>
      </c>
      <c r="J239">
        <v>1313.5924072</v>
      </c>
      <c r="K239">
        <v>1650</v>
      </c>
      <c r="L239">
        <v>0</v>
      </c>
      <c r="M239">
        <v>0</v>
      </c>
      <c r="N239">
        <v>1650</v>
      </c>
    </row>
    <row r="240" spans="1:14" x14ac:dyDescent="0.25">
      <c r="A240">
        <v>25.296773999999999</v>
      </c>
      <c r="B240" s="1">
        <f>DATE(2010,5,26) + TIME(7,7,21)</f>
        <v>40324.296770833331</v>
      </c>
      <c r="C240">
        <v>80</v>
      </c>
      <c r="D240">
        <v>79.914932250999996</v>
      </c>
      <c r="E240">
        <v>40</v>
      </c>
      <c r="F240">
        <v>14.999582290999999</v>
      </c>
      <c r="G240">
        <v>1343.2260742000001</v>
      </c>
      <c r="H240">
        <v>1340.0112305</v>
      </c>
      <c r="I240">
        <v>1319.0557861</v>
      </c>
      <c r="J240">
        <v>1313.5932617000001</v>
      </c>
      <c r="K240">
        <v>1650</v>
      </c>
      <c r="L240">
        <v>0</v>
      </c>
      <c r="M240">
        <v>0</v>
      </c>
      <c r="N240">
        <v>1650</v>
      </c>
    </row>
    <row r="241" spans="1:14" x14ac:dyDescent="0.25">
      <c r="A241">
        <v>25.470020000000002</v>
      </c>
      <c r="B241" s="1">
        <f>DATE(2010,5,26) + TIME(11,16,49)</f>
        <v>40324.470011574071</v>
      </c>
      <c r="C241">
        <v>80</v>
      </c>
      <c r="D241">
        <v>79.914909363000007</v>
      </c>
      <c r="E241">
        <v>40</v>
      </c>
      <c r="F241">
        <v>14.999584198000001</v>
      </c>
      <c r="G241">
        <v>1343.2192382999999</v>
      </c>
      <c r="H241">
        <v>1340.0058594</v>
      </c>
      <c r="I241">
        <v>1319.0563964999999</v>
      </c>
      <c r="J241">
        <v>1313.5936279</v>
      </c>
      <c r="K241">
        <v>1650</v>
      </c>
      <c r="L241">
        <v>0</v>
      </c>
      <c r="M241">
        <v>0</v>
      </c>
      <c r="N241">
        <v>1650</v>
      </c>
    </row>
    <row r="242" spans="1:14" x14ac:dyDescent="0.25">
      <c r="A242">
        <v>25.643265</v>
      </c>
      <c r="B242" s="1">
        <f>DATE(2010,5,26) + TIME(15,26,18)</f>
        <v>40324.643263888887</v>
      </c>
      <c r="C242">
        <v>80</v>
      </c>
      <c r="D242">
        <v>79.914886475000003</v>
      </c>
      <c r="E242">
        <v>40</v>
      </c>
      <c r="F242">
        <v>14.999585152</v>
      </c>
      <c r="G242">
        <v>1343.2124022999999</v>
      </c>
      <c r="H242">
        <v>1340.0006103999999</v>
      </c>
      <c r="I242">
        <v>1319.0570068</v>
      </c>
      <c r="J242">
        <v>1313.5941161999999</v>
      </c>
      <c r="K242">
        <v>1650</v>
      </c>
      <c r="L242">
        <v>0</v>
      </c>
      <c r="M242">
        <v>0</v>
      </c>
      <c r="N242">
        <v>1650</v>
      </c>
    </row>
    <row r="243" spans="1:14" x14ac:dyDescent="0.25">
      <c r="A243">
        <v>25.816510999999998</v>
      </c>
      <c r="B243" s="1">
        <f>DATE(2010,5,26) + TIME(19,35,46)</f>
        <v>40324.816504629627</v>
      </c>
      <c r="C243">
        <v>80</v>
      </c>
      <c r="D243">
        <v>79.914871215999995</v>
      </c>
      <c r="E243">
        <v>40</v>
      </c>
      <c r="F243">
        <v>14.999586105000001</v>
      </c>
      <c r="G243">
        <v>1343.2056885</v>
      </c>
      <c r="H243">
        <v>1339.9953613</v>
      </c>
      <c r="I243">
        <v>1319.0576172000001</v>
      </c>
      <c r="J243">
        <v>1313.5944824000001</v>
      </c>
      <c r="K243">
        <v>1650</v>
      </c>
      <c r="L243">
        <v>0</v>
      </c>
      <c r="M243">
        <v>0</v>
      </c>
      <c r="N243">
        <v>1650</v>
      </c>
    </row>
    <row r="244" spans="1:14" x14ac:dyDescent="0.25">
      <c r="A244">
        <v>25.989757000000001</v>
      </c>
      <c r="B244" s="1">
        <f>DATE(2010,5,26) + TIME(23,45,14)</f>
        <v>40324.989745370367</v>
      </c>
      <c r="C244">
        <v>80</v>
      </c>
      <c r="D244">
        <v>79.914848328000005</v>
      </c>
      <c r="E244">
        <v>40</v>
      </c>
      <c r="F244">
        <v>14.999588013</v>
      </c>
      <c r="G244">
        <v>1343.1989745999999</v>
      </c>
      <c r="H244">
        <v>1339.9902344</v>
      </c>
      <c r="I244">
        <v>1319.0582274999999</v>
      </c>
      <c r="J244">
        <v>1313.5949707</v>
      </c>
      <c r="K244">
        <v>1650</v>
      </c>
      <c r="L244">
        <v>0</v>
      </c>
      <c r="M244">
        <v>0</v>
      </c>
      <c r="N244">
        <v>1650</v>
      </c>
    </row>
    <row r="245" spans="1:14" x14ac:dyDescent="0.25">
      <c r="A245">
        <v>26.163001999999999</v>
      </c>
      <c r="B245" s="1">
        <f>DATE(2010,5,27) + TIME(3,54,43)</f>
        <v>40325.162997685184</v>
      </c>
      <c r="C245">
        <v>80</v>
      </c>
      <c r="D245">
        <v>79.914833068999997</v>
      </c>
      <c r="E245">
        <v>40</v>
      </c>
      <c r="F245">
        <v>14.999588965999999</v>
      </c>
      <c r="G245">
        <v>1343.1923827999999</v>
      </c>
      <c r="H245">
        <v>1339.9851074000001</v>
      </c>
      <c r="I245">
        <v>1319.0588379000001</v>
      </c>
      <c r="J245">
        <v>1313.5953368999999</v>
      </c>
      <c r="K245">
        <v>1650</v>
      </c>
      <c r="L245">
        <v>0</v>
      </c>
      <c r="M245">
        <v>0</v>
      </c>
      <c r="N245">
        <v>1650</v>
      </c>
    </row>
    <row r="246" spans="1:14" x14ac:dyDescent="0.25">
      <c r="A246">
        <v>26.336248000000001</v>
      </c>
      <c r="B246" s="1">
        <f>DATE(2010,5,27) + TIME(8,4,11)</f>
        <v>40325.336238425924</v>
      </c>
      <c r="C246">
        <v>80</v>
      </c>
      <c r="D246">
        <v>79.914817810000002</v>
      </c>
      <c r="E246">
        <v>40</v>
      </c>
      <c r="F246">
        <v>14.99958992</v>
      </c>
      <c r="G246">
        <v>1343.1857910000001</v>
      </c>
      <c r="H246">
        <v>1339.9799805</v>
      </c>
      <c r="I246">
        <v>1319.0594481999999</v>
      </c>
      <c r="J246">
        <v>1313.5958252</v>
      </c>
      <c r="K246">
        <v>1650</v>
      </c>
      <c r="L246">
        <v>0</v>
      </c>
      <c r="M246">
        <v>0</v>
      </c>
      <c r="N246">
        <v>1650</v>
      </c>
    </row>
    <row r="247" spans="1:14" x14ac:dyDescent="0.25">
      <c r="A247">
        <v>26.509492999999999</v>
      </c>
      <c r="B247" s="1">
        <f>DATE(2010,5,27) + TIME(12,13,40)</f>
        <v>40325.50949074074</v>
      </c>
      <c r="C247">
        <v>80</v>
      </c>
      <c r="D247">
        <v>79.914802550999994</v>
      </c>
      <c r="E247">
        <v>40</v>
      </c>
      <c r="F247">
        <v>14.999590874000001</v>
      </c>
      <c r="G247">
        <v>1343.1791992000001</v>
      </c>
      <c r="H247">
        <v>1339.9748535000001</v>
      </c>
      <c r="I247">
        <v>1319.0599365</v>
      </c>
      <c r="J247">
        <v>1313.5961914</v>
      </c>
      <c r="K247">
        <v>1650</v>
      </c>
      <c r="L247">
        <v>0</v>
      </c>
      <c r="M247">
        <v>0</v>
      </c>
      <c r="N247">
        <v>1650</v>
      </c>
    </row>
    <row r="248" spans="1:14" x14ac:dyDescent="0.25">
      <c r="A248">
        <v>26.682739000000002</v>
      </c>
      <c r="B248" s="1">
        <f>DATE(2010,5,27) + TIME(16,23,8)</f>
        <v>40325.68273148148</v>
      </c>
      <c r="C248">
        <v>80</v>
      </c>
      <c r="D248">
        <v>79.914779663000004</v>
      </c>
      <c r="E248">
        <v>40</v>
      </c>
      <c r="F248">
        <v>14.999592781</v>
      </c>
      <c r="G248">
        <v>1343.1726074000001</v>
      </c>
      <c r="H248">
        <v>1339.9698486</v>
      </c>
      <c r="I248">
        <v>1319.0605469</v>
      </c>
      <c r="J248">
        <v>1313.5966797000001</v>
      </c>
      <c r="K248">
        <v>1650</v>
      </c>
      <c r="L248">
        <v>0</v>
      </c>
      <c r="M248">
        <v>0</v>
      </c>
      <c r="N248">
        <v>1650</v>
      </c>
    </row>
    <row r="249" spans="1:14" x14ac:dyDescent="0.25">
      <c r="A249">
        <v>26.855983999999999</v>
      </c>
      <c r="B249" s="1">
        <f>DATE(2010,5,27) + TIME(20,32,37)</f>
        <v>40325.855983796297</v>
      </c>
      <c r="C249">
        <v>80</v>
      </c>
      <c r="D249">
        <v>79.914764403999996</v>
      </c>
      <c r="E249">
        <v>40</v>
      </c>
      <c r="F249">
        <v>14.999593734999999</v>
      </c>
      <c r="G249">
        <v>1343.1661377</v>
      </c>
      <c r="H249">
        <v>1339.9648437999999</v>
      </c>
      <c r="I249">
        <v>1319.0611572</v>
      </c>
      <c r="J249">
        <v>1313.597168</v>
      </c>
      <c r="K249">
        <v>1650</v>
      </c>
      <c r="L249">
        <v>0</v>
      </c>
      <c r="M249">
        <v>0</v>
      </c>
      <c r="N249">
        <v>1650</v>
      </c>
    </row>
    <row r="250" spans="1:14" x14ac:dyDescent="0.25">
      <c r="A250">
        <v>27.029229999999998</v>
      </c>
      <c r="B250" s="1">
        <f>DATE(2010,5,28) + TIME(0,42,5)</f>
        <v>40326.029224537036</v>
      </c>
      <c r="C250">
        <v>80</v>
      </c>
      <c r="D250">
        <v>79.914749146000005</v>
      </c>
      <c r="E250">
        <v>40</v>
      </c>
      <c r="F250">
        <v>14.999594688</v>
      </c>
      <c r="G250">
        <v>1343.159668</v>
      </c>
      <c r="H250">
        <v>1339.9598389</v>
      </c>
      <c r="I250">
        <v>1319.0617675999999</v>
      </c>
      <c r="J250">
        <v>1313.5975341999999</v>
      </c>
      <c r="K250">
        <v>1650</v>
      </c>
      <c r="L250">
        <v>0</v>
      </c>
      <c r="M250">
        <v>0</v>
      </c>
      <c r="N250">
        <v>1650</v>
      </c>
    </row>
    <row r="251" spans="1:14" x14ac:dyDescent="0.25">
      <c r="A251">
        <v>27.202475</v>
      </c>
      <c r="B251" s="1">
        <f>DATE(2010,5,28) + TIME(4,51,33)</f>
        <v>40326.202465277776</v>
      </c>
      <c r="C251">
        <v>80</v>
      </c>
      <c r="D251">
        <v>79.914733886999997</v>
      </c>
      <c r="E251">
        <v>40</v>
      </c>
      <c r="F251">
        <v>14.999595641999999</v>
      </c>
      <c r="G251">
        <v>1343.1533202999999</v>
      </c>
      <c r="H251">
        <v>1339.9549560999999</v>
      </c>
      <c r="I251">
        <v>1319.0623779</v>
      </c>
      <c r="J251">
        <v>1313.5980225000001</v>
      </c>
      <c r="K251">
        <v>1650</v>
      </c>
      <c r="L251">
        <v>0</v>
      </c>
      <c r="M251">
        <v>0</v>
      </c>
      <c r="N251">
        <v>1650</v>
      </c>
    </row>
    <row r="252" spans="1:14" x14ac:dyDescent="0.25">
      <c r="A252">
        <v>27.375720999999999</v>
      </c>
      <c r="B252" s="1">
        <f>DATE(2010,5,28) + TIME(9,1,2)</f>
        <v>40326.375717592593</v>
      </c>
      <c r="C252">
        <v>80</v>
      </c>
      <c r="D252">
        <v>79.914718628000003</v>
      </c>
      <c r="E252">
        <v>40</v>
      </c>
      <c r="F252">
        <v>14.999596596</v>
      </c>
      <c r="G252">
        <v>1343.1468506000001</v>
      </c>
      <c r="H252">
        <v>1339.9500731999999</v>
      </c>
      <c r="I252">
        <v>1319.0629882999999</v>
      </c>
      <c r="J252">
        <v>1313.5983887</v>
      </c>
      <c r="K252">
        <v>1650</v>
      </c>
      <c r="L252">
        <v>0</v>
      </c>
      <c r="M252">
        <v>0</v>
      </c>
      <c r="N252">
        <v>1650</v>
      </c>
    </row>
    <row r="253" spans="1:14" x14ac:dyDescent="0.25">
      <c r="A253">
        <v>27.722211999999999</v>
      </c>
      <c r="B253" s="1">
        <f>DATE(2010,5,28) + TIME(17,19,59)</f>
        <v>40326.722210648149</v>
      </c>
      <c r="C253">
        <v>80</v>
      </c>
      <c r="D253">
        <v>79.914710998999993</v>
      </c>
      <c r="E253">
        <v>40</v>
      </c>
      <c r="F253">
        <v>14.999598503</v>
      </c>
      <c r="G253">
        <v>1343.1407471</v>
      </c>
      <c r="H253">
        <v>1339.9454346</v>
      </c>
      <c r="I253">
        <v>1319.0635986</v>
      </c>
      <c r="J253">
        <v>1313.5988769999999</v>
      </c>
      <c r="K253">
        <v>1650</v>
      </c>
      <c r="L253">
        <v>0</v>
      </c>
      <c r="M253">
        <v>0</v>
      </c>
      <c r="N253">
        <v>1650</v>
      </c>
    </row>
    <row r="254" spans="1:14" x14ac:dyDescent="0.25">
      <c r="A254">
        <v>28.069305</v>
      </c>
      <c r="B254" s="1">
        <f>DATE(2010,5,29) + TIME(1,39,47)</f>
        <v>40327.069293981483</v>
      </c>
      <c r="C254">
        <v>80</v>
      </c>
      <c r="D254">
        <v>79.91468811</v>
      </c>
      <c r="E254">
        <v>40</v>
      </c>
      <c r="F254">
        <v>14.999600409999999</v>
      </c>
      <c r="G254">
        <v>1343.1281738</v>
      </c>
      <c r="H254">
        <v>1339.9357910000001</v>
      </c>
      <c r="I254">
        <v>1319.0648193</v>
      </c>
      <c r="J254">
        <v>1313.5998535000001</v>
      </c>
      <c r="K254">
        <v>1650</v>
      </c>
      <c r="L254">
        <v>0</v>
      </c>
      <c r="M254">
        <v>0</v>
      </c>
      <c r="N254">
        <v>1650</v>
      </c>
    </row>
    <row r="255" spans="1:14" x14ac:dyDescent="0.25">
      <c r="A255">
        <v>28.419809000000001</v>
      </c>
      <c r="B255" s="1">
        <f>DATE(2010,5,29) + TIME(10,4,31)</f>
        <v>40327.419803240744</v>
      </c>
      <c r="C255">
        <v>80</v>
      </c>
      <c r="D255">
        <v>79.914665221999996</v>
      </c>
      <c r="E255">
        <v>40</v>
      </c>
      <c r="F255">
        <v>14.999603271</v>
      </c>
      <c r="G255">
        <v>1343.1157227000001</v>
      </c>
      <c r="H255">
        <v>1339.9262695</v>
      </c>
      <c r="I255">
        <v>1319.0660399999999</v>
      </c>
      <c r="J255">
        <v>1313.6007079999999</v>
      </c>
      <c r="K255">
        <v>1650</v>
      </c>
      <c r="L255">
        <v>0</v>
      </c>
      <c r="M255">
        <v>0</v>
      </c>
      <c r="N255">
        <v>1650</v>
      </c>
    </row>
    <row r="256" spans="1:14" x14ac:dyDescent="0.25">
      <c r="A256">
        <v>28.774422999999999</v>
      </c>
      <c r="B256" s="1">
        <f>DATE(2010,5,29) + TIME(18,35,10)</f>
        <v>40327.774421296293</v>
      </c>
      <c r="C256">
        <v>80</v>
      </c>
      <c r="D256">
        <v>79.914642334000007</v>
      </c>
      <c r="E256">
        <v>40</v>
      </c>
      <c r="F256">
        <v>14.999605179</v>
      </c>
      <c r="G256">
        <v>1343.1032714999999</v>
      </c>
      <c r="H256">
        <v>1339.9167480000001</v>
      </c>
      <c r="I256">
        <v>1319.0672606999999</v>
      </c>
      <c r="J256">
        <v>1313.6015625</v>
      </c>
      <c r="K256">
        <v>1650</v>
      </c>
      <c r="L256">
        <v>0</v>
      </c>
      <c r="M256">
        <v>0</v>
      </c>
      <c r="N256">
        <v>1650</v>
      </c>
    </row>
    <row r="257" spans="1:14" x14ac:dyDescent="0.25">
      <c r="A257">
        <v>29.133891999999999</v>
      </c>
      <c r="B257" s="1">
        <f>DATE(2010,5,30) + TIME(3,12,48)</f>
        <v>40328.133888888886</v>
      </c>
      <c r="C257">
        <v>80</v>
      </c>
      <c r="D257">
        <v>79.914619446000003</v>
      </c>
      <c r="E257">
        <v>40</v>
      </c>
      <c r="F257">
        <v>14.999607085999999</v>
      </c>
      <c r="G257">
        <v>1343.0908202999999</v>
      </c>
      <c r="H257">
        <v>1339.9072266000001</v>
      </c>
      <c r="I257">
        <v>1319.0686035000001</v>
      </c>
      <c r="J257">
        <v>1313.6025391000001</v>
      </c>
      <c r="K257">
        <v>1650</v>
      </c>
      <c r="L257">
        <v>0</v>
      </c>
      <c r="M257">
        <v>0</v>
      </c>
      <c r="N257">
        <v>1650</v>
      </c>
    </row>
    <row r="258" spans="1:14" x14ac:dyDescent="0.25">
      <c r="A258">
        <v>29.498999999999999</v>
      </c>
      <c r="B258" s="1">
        <f>DATE(2010,5,30) + TIME(11,58,33)</f>
        <v>40328.498993055553</v>
      </c>
      <c r="C258">
        <v>80</v>
      </c>
      <c r="D258">
        <v>79.914588928000001</v>
      </c>
      <c r="E258">
        <v>40</v>
      </c>
      <c r="F258">
        <v>14.999608994000001</v>
      </c>
      <c r="G258">
        <v>1343.0783690999999</v>
      </c>
      <c r="H258">
        <v>1339.8977050999999</v>
      </c>
      <c r="I258">
        <v>1319.0698242000001</v>
      </c>
      <c r="J258">
        <v>1313.6033935999999</v>
      </c>
      <c r="K258">
        <v>1650</v>
      </c>
      <c r="L258">
        <v>0</v>
      </c>
      <c r="M258">
        <v>0</v>
      </c>
      <c r="N258">
        <v>1650</v>
      </c>
    </row>
    <row r="259" spans="1:14" x14ac:dyDescent="0.25">
      <c r="A259">
        <v>29.8706</v>
      </c>
      <c r="B259" s="1">
        <f>DATE(2010,5,30) + TIME(20,53,39)</f>
        <v>40328.87059027778</v>
      </c>
      <c r="C259">
        <v>80</v>
      </c>
      <c r="D259">
        <v>79.914566039999997</v>
      </c>
      <c r="E259">
        <v>40</v>
      </c>
      <c r="F259">
        <v>14.999611854999999</v>
      </c>
      <c r="G259">
        <v>1343.0657959</v>
      </c>
      <c r="H259">
        <v>1339.8881836</v>
      </c>
      <c r="I259">
        <v>1319.0711670000001</v>
      </c>
      <c r="J259">
        <v>1313.6043701000001</v>
      </c>
      <c r="K259">
        <v>1650</v>
      </c>
      <c r="L259">
        <v>0</v>
      </c>
      <c r="M259">
        <v>0</v>
      </c>
      <c r="N259">
        <v>1650</v>
      </c>
    </row>
    <row r="260" spans="1:14" x14ac:dyDescent="0.25">
      <c r="A260">
        <v>30.249690000000001</v>
      </c>
      <c r="B260" s="1">
        <f>DATE(2010,5,31) + TIME(5,59,33)</f>
        <v>40329.2496875</v>
      </c>
      <c r="C260">
        <v>80</v>
      </c>
      <c r="D260">
        <v>79.914535521999994</v>
      </c>
      <c r="E260">
        <v>40</v>
      </c>
      <c r="F260">
        <v>14.999613761999999</v>
      </c>
      <c r="G260">
        <v>1343.0532227000001</v>
      </c>
      <c r="H260">
        <v>1339.8786620999999</v>
      </c>
      <c r="I260">
        <v>1319.0723877</v>
      </c>
      <c r="J260">
        <v>1313.6053466999999</v>
      </c>
      <c r="K260">
        <v>1650</v>
      </c>
      <c r="L260">
        <v>0</v>
      </c>
      <c r="M260">
        <v>0</v>
      </c>
      <c r="N260">
        <v>1650</v>
      </c>
    </row>
    <row r="261" spans="1:14" x14ac:dyDescent="0.25">
      <c r="A261">
        <v>30.637084000000002</v>
      </c>
      <c r="B261" s="1">
        <f>DATE(2010,5,31) + TIME(15,17,24)</f>
        <v>40329.637083333335</v>
      </c>
      <c r="C261">
        <v>80</v>
      </c>
      <c r="D261">
        <v>79.914512634000005</v>
      </c>
      <c r="E261">
        <v>40</v>
      </c>
      <c r="F261">
        <v>14.999615669000001</v>
      </c>
      <c r="G261">
        <v>1343.0404053</v>
      </c>
      <c r="H261">
        <v>1339.8690185999999</v>
      </c>
      <c r="I261">
        <v>1319.0738524999999</v>
      </c>
      <c r="J261">
        <v>1313.6063231999999</v>
      </c>
      <c r="K261">
        <v>1650</v>
      </c>
      <c r="L261">
        <v>0</v>
      </c>
      <c r="M261">
        <v>0</v>
      </c>
      <c r="N261">
        <v>1650</v>
      </c>
    </row>
    <row r="262" spans="1:14" x14ac:dyDescent="0.25">
      <c r="A262">
        <v>31</v>
      </c>
      <c r="B262" s="1">
        <f>DATE(2010,6,1) + TIME(0,0,0)</f>
        <v>40330</v>
      </c>
      <c r="C262">
        <v>80</v>
      </c>
      <c r="D262">
        <v>79.914482117000006</v>
      </c>
      <c r="E262">
        <v>40</v>
      </c>
      <c r="F262">
        <v>14.999617577</v>
      </c>
      <c r="G262">
        <v>1343.0275879000001</v>
      </c>
      <c r="H262">
        <v>1339.8592529</v>
      </c>
      <c r="I262">
        <v>1319.0751952999999</v>
      </c>
      <c r="J262">
        <v>1313.6072998</v>
      </c>
      <c r="K262">
        <v>1650</v>
      </c>
      <c r="L262">
        <v>0</v>
      </c>
      <c r="M262">
        <v>0</v>
      </c>
      <c r="N262">
        <v>1650</v>
      </c>
    </row>
    <row r="263" spans="1:14" x14ac:dyDescent="0.25">
      <c r="A263">
        <v>31.198339000000001</v>
      </c>
      <c r="B263" s="1">
        <f>DATE(2010,6,1) + TIME(4,45,36)</f>
        <v>40330.198333333334</v>
      </c>
      <c r="C263">
        <v>80</v>
      </c>
      <c r="D263">
        <v>79.914459229000002</v>
      </c>
      <c r="E263">
        <v>40</v>
      </c>
      <c r="F263">
        <v>14.999619484</v>
      </c>
      <c r="G263">
        <v>1343.0155029</v>
      </c>
      <c r="H263">
        <v>1339.8499756000001</v>
      </c>
      <c r="I263">
        <v>1319.0764160000001</v>
      </c>
      <c r="J263">
        <v>1313.6082764</v>
      </c>
      <c r="K263">
        <v>1650</v>
      </c>
      <c r="L263">
        <v>0</v>
      </c>
      <c r="M263">
        <v>0</v>
      </c>
      <c r="N263">
        <v>1650</v>
      </c>
    </row>
    <row r="264" spans="1:14" x14ac:dyDescent="0.25">
      <c r="A264">
        <v>31.396203</v>
      </c>
      <c r="B264" s="1">
        <f>DATE(2010,6,1) + TIME(9,30,31)</f>
        <v>40330.396192129629</v>
      </c>
      <c r="C264">
        <v>80</v>
      </c>
      <c r="D264">
        <v>79.914443969999994</v>
      </c>
      <c r="E264">
        <v>40</v>
      </c>
      <c r="F264">
        <v>14.999620438000001</v>
      </c>
      <c r="G264">
        <v>1343.0090332</v>
      </c>
      <c r="H264">
        <v>1339.8450928</v>
      </c>
      <c r="I264">
        <v>1319.0771483999999</v>
      </c>
      <c r="J264">
        <v>1313.6087646000001</v>
      </c>
      <c r="K264">
        <v>1650</v>
      </c>
      <c r="L264">
        <v>0</v>
      </c>
      <c r="M264">
        <v>0</v>
      </c>
      <c r="N264">
        <v>1650</v>
      </c>
    </row>
    <row r="265" spans="1:14" x14ac:dyDescent="0.25">
      <c r="A265">
        <v>31.593699000000001</v>
      </c>
      <c r="B265" s="1">
        <f>DATE(2010,6,1) + TIME(14,14,55)</f>
        <v>40330.593692129631</v>
      </c>
      <c r="C265">
        <v>80</v>
      </c>
      <c r="D265">
        <v>79.914421082000004</v>
      </c>
      <c r="E265">
        <v>40</v>
      </c>
      <c r="F265">
        <v>14.999621391</v>
      </c>
      <c r="G265">
        <v>1343.0025635</v>
      </c>
      <c r="H265">
        <v>1339.8402100000001</v>
      </c>
      <c r="I265">
        <v>1319.0778809000001</v>
      </c>
      <c r="J265">
        <v>1313.6092529</v>
      </c>
      <c r="K265">
        <v>1650</v>
      </c>
      <c r="L265">
        <v>0</v>
      </c>
      <c r="M265">
        <v>0</v>
      </c>
      <c r="N265">
        <v>1650</v>
      </c>
    </row>
    <row r="266" spans="1:14" x14ac:dyDescent="0.25">
      <c r="A266">
        <v>31.790935000000001</v>
      </c>
      <c r="B266" s="1">
        <f>DATE(2010,6,1) + TIME(18,58,56)</f>
        <v>40330.790925925925</v>
      </c>
      <c r="C266">
        <v>80</v>
      </c>
      <c r="D266">
        <v>79.914405822999996</v>
      </c>
      <c r="E266">
        <v>40</v>
      </c>
      <c r="F266">
        <v>14.999623299</v>
      </c>
      <c r="G266">
        <v>1342.9962158000001</v>
      </c>
      <c r="H266">
        <v>1339.8354492000001</v>
      </c>
      <c r="I266">
        <v>1319.0786132999999</v>
      </c>
      <c r="J266">
        <v>1313.6097411999999</v>
      </c>
      <c r="K266">
        <v>1650</v>
      </c>
      <c r="L266">
        <v>0</v>
      </c>
      <c r="M266">
        <v>0</v>
      </c>
      <c r="N266">
        <v>1650</v>
      </c>
    </row>
    <row r="267" spans="1:14" x14ac:dyDescent="0.25">
      <c r="A267">
        <v>31.988019000000001</v>
      </c>
      <c r="B267" s="1">
        <f>DATE(2010,6,1) + TIME(23,42,44)</f>
        <v>40330.988009259258</v>
      </c>
      <c r="C267">
        <v>80</v>
      </c>
      <c r="D267">
        <v>79.914390564000001</v>
      </c>
      <c r="E267">
        <v>40</v>
      </c>
      <c r="F267">
        <v>14.999624252</v>
      </c>
      <c r="G267">
        <v>1342.9898682</v>
      </c>
      <c r="H267">
        <v>1339.8306885</v>
      </c>
      <c r="I267">
        <v>1319.0793457</v>
      </c>
      <c r="J267">
        <v>1313.6103516000001</v>
      </c>
      <c r="K267">
        <v>1650</v>
      </c>
      <c r="L267">
        <v>0</v>
      </c>
      <c r="M267">
        <v>0</v>
      </c>
      <c r="N267">
        <v>1650</v>
      </c>
    </row>
    <row r="268" spans="1:14" x14ac:dyDescent="0.25">
      <c r="A268">
        <v>32.185032999999997</v>
      </c>
      <c r="B268" s="1">
        <f>DATE(2010,6,2) + TIME(4,26,26)</f>
        <v>40331.185023148151</v>
      </c>
      <c r="C268">
        <v>80</v>
      </c>
      <c r="D268">
        <v>79.914375304999993</v>
      </c>
      <c r="E268">
        <v>40</v>
      </c>
      <c r="F268">
        <v>14.999625205999999</v>
      </c>
      <c r="G268">
        <v>1342.9836425999999</v>
      </c>
      <c r="H268">
        <v>1339.8259277</v>
      </c>
      <c r="I268">
        <v>1319.0800781</v>
      </c>
      <c r="J268">
        <v>1313.6108397999999</v>
      </c>
      <c r="K268">
        <v>1650</v>
      </c>
      <c r="L268">
        <v>0</v>
      </c>
      <c r="M268">
        <v>0</v>
      </c>
      <c r="N268">
        <v>1650</v>
      </c>
    </row>
    <row r="269" spans="1:14" x14ac:dyDescent="0.25">
      <c r="A269">
        <v>32.382047999999998</v>
      </c>
      <c r="B269" s="1">
        <f>DATE(2010,6,2) + TIME(9,10,8)</f>
        <v>40331.382037037038</v>
      </c>
      <c r="C269">
        <v>80</v>
      </c>
      <c r="D269">
        <v>79.914360045999999</v>
      </c>
      <c r="E269">
        <v>40</v>
      </c>
      <c r="F269">
        <v>14.99962616</v>
      </c>
      <c r="G269">
        <v>1342.9774170000001</v>
      </c>
      <c r="H269">
        <v>1339.8211670000001</v>
      </c>
      <c r="I269">
        <v>1319.0808105000001</v>
      </c>
      <c r="J269">
        <v>1313.6113281</v>
      </c>
      <c r="K269">
        <v>1650</v>
      </c>
      <c r="L269">
        <v>0</v>
      </c>
      <c r="M269">
        <v>0</v>
      </c>
      <c r="N269">
        <v>1650</v>
      </c>
    </row>
    <row r="270" spans="1:14" x14ac:dyDescent="0.25">
      <c r="A270">
        <v>32.579062999999998</v>
      </c>
      <c r="B270" s="1">
        <f>DATE(2010,6,2) + TIME(13,53,51)</f>
        <v>40331.579062500001</v>
      </c>
      <c r="C270">
        <v>80</v>
      </c>
      <c r="D270">
        <v>79.914344787999994</v>
      </c>
      <c r="E270">
        <v>40</v>
      </c>
      <c r="F270">
        <v>14.999627113000001</v>
      </c>
      <c r="G270">
        <v>1342.9711914</v>
      </c>
      <c r="H270">
        <v>1339.8165283000001</v>
      </c>
      <c r="I270">
        <v>1319.0814209</v>
      </c>
      <c r="J270">
        <v>1313.6118164</v>
      </c>
      <c r="K270">
        <v>1650</v>
      </c>
      <c r="L270">
        <v>0</v>
      </c>
      <c r="M270">
        <v>0</v>
      </c>
      <c r="N270">
        <v>1650</v>
      </c>
    </row>
    <row r="271" spans="1:14" x14ac:dyDescent="0.25">
      <c r="A271">
        <v>32.776077999999998</v>
      </c>
      <c r="B271" s="1">
        <f>DATE(2010,6,2) + TIME(18,37,33)</f>
        <v>40331.776076388887</v>
      </c>
      <c r="C271">
        <v>80</v>
      </c>
      <c r="D271">
        <v>79.914329529</v>
      </c>
      <c r="E271">
        <v>40</v>
      </c>
      <c r="F271">
        <v>14.999629021000001</v>
      </c>
      <c r="G271">
        <v>1342.9650879000001</v>
      </c>
      <c r="H271">
        <v>1339.8118896000001</v>
      </c>
      <c r="I271">
        <v>1319.0821533000001</v>
      </c>
      <c r="J271">
        <v>1313.6124268000001</v>
      </c>
      <c r="K271">
        <v>1650</v>
      </c>
      <c r="L271">
        <v>0</v>
      </c>
      <c r="M271">
        <v>0</v>
      </c>
      <c r="N271">
        <v>1650</v>
      </c>
    </row>
    <row r="272" spans="1:14" x14ac:dyDescent="0.25">
      <c r="A272">
        <v>32.973092999999999</v>
      </c>
      <c r="B272" s="1">
        <f>DATE(2010,6,2) + TIME(23,21,15)</f>
        <v>40331.973090277781</v>
      </c>
      <c r="C272">
        <v>80</v>
      </c>
      <c r="D272">
        <v>79.914321899000001</v>
      </c>
      <c r="E272">
        <v>40</v>
      </c>
      <c r="F272">
        <v>14.999629973999999</v>
      </c>
      <c r="G272">
        <v>1342.9588623</v>
      </c>
      <c r="H272">
        <v>1339.807251</v>
      </c>
      <c r="I272">
        <v>1319.0828856999999</v>
      </c>
      <c r="J272">
        <v>1313.6129149999999</v>
      </c>
      <c r="K272">
        <v>1650</v>
      </c>
      <c r="L272">
        <v>0</v>
      </c>
      <c r="M272">
        <v>0</v>
      </c>
      <c r="N272">
        <v>1650</v>
      </c>
    </row>
    <row r="273" spans="1:14" x14ac:dyDescent="0.25">
      <c r="A273">
        <v>33.170107999999999</v>
      </c>
      <c r="B273" s="1">
        <f>DATE(2010,6,3) + TIME(4,4,57)</f>
        <v>40332.170104166667</v>
      </c>
      <c r="C273">
        <v>80</v>
      </c>
      <c r="D273">
        <v>79.914306640999996</v>
      </c>
      <c r="E273">
        <v>40</v>
      </c>
      <c r="F273">
        <v>14.999630928</v>
      </c>
      <c r="G273">
        <v>1342.9527588000001</v>
      </c>
      <c r="H273">
        <v>1339.8026123</v>
      </c>
      <c r="I273">
        <v>1319.0836182</v>
      </c>
      <c r="J273">
        <v>1313.6134033000001</v>
      </c>
      <c r="K273">
        <v>1650</v>
      </c>
      <c r="L273">
        <v>0</v>
      </c>
      <c r="M273">
        <v>0</v>
      </c>
      <c r="N273">
        <v>1650</v>
      </c>
    </row>
    <row r="274" spans="1:14" x14ac:dyDescent="0.25">
      <c r="A274">
        <v>33.367122999999999</v>
      </c>
      <c r="B274" s="1">
        <f>DATE(2010,6,3) + TIME(8,48,39)</f>
        <v>40332.367118055554</v>
      </c>
      <c r="C274">
        <v>80</v>
      </c>
      <c r="D274">
        <v>79.914291382000002</v>
      </c>
      <c r="E274">
        <v>40</v>
      </c>
      <c r="F274">
        <v>14.999631881999999</v>
      </c>
      <c r="G274">
        <v>1342.9467772999999</v>
      </c>
      <c r="H274">
        <v>1339.7980957</v>
      </c>
      <c r="I274">
        <v>1319.0843506000001</v>
      </c>
      <c r="J274">
        <v>1313.6140137</v>
      </c>
      <c r="K274">
        <v>1650</v>
      </c>
      <c r="L274">
        <v>0</v>
      </c>
      <c r="M274">
        <v>0</v>
      </c>
      <c r="N274">
        <v>1650</v>
      </c>
    </row>
    <row r="275" spans="1:14" x14ac:dyDescent="0.25">
      <c r="A275">
        <v>33.761153</v>
      </c>
      <c r="B275" s="1">
        <f>DATE(2010,6,3) + TIME(18,16,3)</f>
        <v>40332.761145833334</v>
      </c>
      <c r="C275">
        <v>80</v>
      </c>
      <c r="D275">
        <v>79.914283752000003</v>
      </c>
      <c r="E275">
        <v>40</v>
      </c>
      <c r="F275">
        <v>14.999633789000001</v>
      </c>
      <c r="G275">
        <v>1342.940918</v>
      </c>
      <c r="H275">
        <v>1339.7937012</v>
      </c>
      <c r="I275">
        <v>1319.0852050999999</v>
      </c>
      <c r="J275">
        <v>1313.6145019999999</v>
      </c>
      <c r="K275">
        <v>1650</v>
      </c>
      <c r="L275">
        <v>0</v>
      </c>
      <c r="M275">
        <v>0</v>
      </c>
      <c r="N275">
        <v>1650</v>
      </c>
    </row>
    <row r="276" spans="1:14" x14ac:dyDescent="0.25">
      <c r="A276">
        <v>34.155237999999997</v>
      </c>
      <c r="B276" s="1">
        <f>DATE(2010,6,4) + TIME(3,43,32)</f>
        <v>40333.155231481483</v>
      </c>
      <c r="C276">
        <v>80</v>
      </c>
      <c r="D276">
        <v>79.914276122999993</v>
      </c>
      <c r="E276">
        <v>40</v>
      </c>
      <c r="F276">
        <v>14.999635696</v>
      </c>
      <c r="G276">
        <v>1342.9289550999999</v>
      </c>
      <c r="H276">
        <v>1339.7847899999999</v>
      </c>
      <c r="I276">
        <v>1319.0866699000001</v>
      </c>
      <c r="J276">
        <v>1313.6156006000001</v>
      </c>
      <c r="K276">
        <v>1650</v>
      </c>
      <c r="L276">
        <v>0</v>
      </c>
      <c r="M276">
        <v>0</v>
      </c>
      <c r="N276">
        <v>1650</v>
      </c>
    </row>
    <row r="277" spans="1:14" x14ac:dyDescent="0.25">
      <c r="A277">
        <v>34.553150000000002</v>
      </c>
      <c r="B277" s="1">
        <f>DATE(2010,6,4) + TIME(13,16,32)</f>
        <v>40333.553148148145</v>
      </c>
      <c r="C277">
        <v>80</v>
      </c>
      <c r="D277">
        <v>79.914253235000004</v>
      </c>
      <c r="E277">
        <v>40</v>
      </c>
      <c r="F277">
        <v>14.999637604</v>
      </c>
      <c r="G277">
        <v>1342.9171143000001</v>
      </c>
      <c r="H277">
        <v>1339.7758789</v>
      </c>
      <c r="I277">
        <v>1319.0881348</v>
      </c>
      <c r="J277">
        <v>1313.6166992000001</v>
      </c>
      <c r="K277">
        <v>1650</v>
      </c>
      <c r="L277">
        <v>0</v>
      </c>
      <c r="M277">
        <v>0</v>
      </c>
      <c r="N277">
        <v>1650</v>
      </c>
    </row>
    <row r="278" spans="1:14" x14ac:dyDescent="0.25">
      <c r="A278">
        <v>34.955637000000003</v>
      </c>
      <c r="B278" s="1">
        <f>DATE(2010,6,4) + TIME(22,56,7)</f>
        <v>40333.955636574072</v>
      </c>
      <c r="C278">
        <v>80</v>
      </c>
      <c r="D278">
        <v>79.914237975999995</v>
      </c>
      <c r="E278">
        <v>40</v>
      </c>
      <c r="F278">
        <v>14.999639511</v>
      </c>
      <c r="G278">
        <v>1342.9052733999999</v>
      </c>
      <c r="H278">
        <v>1339.7669678</v>
      </c>
      <c r="I278">
        <v>1319.0895995999999</v>
      </c>
      <c r="J278">
        <v>1313.6176757999999</v>
      </c>
      <c r="K278">
        <v>1650</v>
      </c>
      <c r="L278">
        <v>0</v>
      </c>
      <c r="M278">
        <v>0</v>
      </c>
      <c r="N278">
        <v>1650</v>
      </c>
    </row>
    <row r="279" spans="1:14" x14ac:dyDescent="0.25">
      <c r="A279">
        <v>35.363512999999998</v>
      </c>
      <c r="B279" s="1">
        <f>DATE(2010,6,5) + TIME(8,43,27)</f>
        <v>40334.363506944443</v>
      </c>
      <c r="C279">
        <v>80</v>
      </c>
      <c r="D279">
        <v>79.914215088000006</v>
      </c>
      <c r="E279">
        <v>40</v>
      </c>
      <c r="F279">
        <v>14.999642372</v>
      </c>
      <c r="G279">
        <v>1342.8933105000001</v>
      </c>
      <c r="H279">
        <v>1339.7581786999999</v>
      </c>
      <c r="I279">
        <v>1319.0910644999999</v>
      </c>
      <c r="J279">
        <v>1313.6187743999999</v>
      </c>
      <c r="K279">
        <v>1650</v>
      </c>
      <c r="L279">
        <v>0</v>
      </c>
      <c r="M279">
        <v>0</v>
      </c>
      <c r="N279">
        <v>1650</v>
      </c>
    </row>
    <row r="280" spans="1:14" x14ac:dyDescent="0.25">
      <c r="A280">
        <v>35.777681000000001</v>
      </c>
      <c r="B280" s="1">
        <f>DATE(2010,6,5) + TIME(18,39,51)</f>
        <v>40334.777673611112</v>
      </c>
      <c r="C280">
        <v>80</v>
      </c>
      <c r="D280">
        <v>79.914199828999998</v>
      </c>
      <c r="E280">
        <v>40</v>
      </c>
      <c r="F280">
        <v>14.999644279</v>
      </c>
      <c r="G280">
        <v>1342.8814697</v>
      </c>
      <c r="H280">
        <v>1339.7492675999999</v>
      </c>
      <c r="I280">
        <v>1319.0926514</v>
      </c>
      <c r="J280">
        <v>1313.6198730000001</v>
      </c>
      <c r="K280">
        <v>1650</v>
      </c>
      <c r="L280">
        <v>0</v>
      </c>
      <c r="M280">
        <v>0</v>
      </c>
      <c r="N280">
        <v>1650</v>
      </c>
    </row>
    <row r="281" spans="1:14" x14ac:dyDescent="0.25">
      <c r="A281">
        <v>36.199150000000003</v>
      </c>
      <c r="B281" s="1">
        <f>DATE(2010,6,6) + TIME(4,46,46)</f>
        <v>40335.199143518519</v>
      </c>
      <c r="C281">
        <v>80</v>
      </c>
      <c r="D281">
        <v>79.914176940999994</v>
      </c>
      <c r="E281">
        <v>40</v>
      </c>
      <c r="F281">
        <v>14.999646187</v>
      </c>
      <c r="G281">
        <v>1342.8695068</v>
      </c>
      <c r="H281">
        <v>1339.7403564000001</v>
      </c>
      <c r="I281">
        <v>1319.0942382999999</v>
      </c>
      <c r="J281">
        <v>1313.6210937999999</v>
      </c>
      <c r="K281">
        <v>1650</v>
      </c>
      <c r="L281">
        <v>0</v>
      </c>
      <c r="M281">
        <v>0</v>
      </c>
      <c r="N281">
        <v>1650</v>
      </c>
    </row>
    <row r="282" spans="1:14" x14ac:dyDescent="0.25">
      <c r="A282">
        <v>36.629156000000002</v>
      </c>
      <c r="B282" s="1">
        <f>DATE(2010,6,6) + TIME(15,5,59)</f>
        <v>40335.629155092596</v>
      </c>
      <c r="C282">
        <v>80</v>
      </c>
      <c r="D282">
        <v>79.914154053000004</v>
      </c>
      <c r="E282">
        <v>40</v>
      </c>
      <c r="F282">
        <v>14.999648093999999</v>
      </c>
      <c r="G282">
        <v>1342.8574219</v>
      </c>
      <c r="H282">
        <v>1339.7313231999999</v>
      </c>
      <c r="I282">
        <v>1319.0958252</v>
      </c>
      <c r="J282">
        <v>1313.6221923999999</v>
      </c>
      <c r="K282">
        <v>1650</v>
      </c>
      <c r="L282">
        <v>0</v>
      </c>
      <c r="M282">
        <v>0</v>
      </c>
      <c r="N282">
        <v>1650</v>
      </c>
    </row>
    <row r="283" spans="1:14" x14ac:dyDescent="0.25">
      <c r="A283">
        <v>37.068438999999998</v>
      </c>
      <c r="B283" s="1">
        <f>DATE(2010,6,7) + TIME(1,38,33)</f>
        <v>40336.068437499998</v>
      </c>
      <c r="C283">
        <v>80</v>
      </c>
      <c r="D283">
        <v>79.914138793999996</v>
      </c>
      <c r="E283">
        <v>40</v>
      </c>
      <c r="F283">
        <v>14.999650001999999</v>
      </c>
      <c r="G283">
        <v>1342.8453368999999</v>
      </c>
      <c r="H283">
        <v>1339.7222899999999</v>
      </c>
      <c r="I283">
        <v>1319.0974120999999</v>
      </c>
      <c r="J283">
        <v>1313.6234131000001</v>
      </c>
      <c r="K283">
        <v>1650</v>
      </c>
      <c r="L283">
        <v>0</v>
      </c>
      <c r="M283">
        <v>0</v>
      </c>
      <c r="N283">
        <v>1650</v>
      </c>
    </row>
    <row r="284" spans="1:14" x14ac:dyDescent="0.25">
      <c r="A284">
        <v>37.288100999999997</v>
      </c>
      <c r="B284" s="1">
        <f>DATE(2010,6,7) + TIME(6,54,51)</f>
        <v>40336.288090277776</v>
      </c>
      <c r="C284">
        <v>80</v>
      </c>
      <c r="D284">
        <v>79.914115906000006</v>
      </c>
      <c r="E284">
        <v>40</v>
      </c>
      <c r="F284">
        <v>14.999651909000001</v>
      </c>
      <c r="G284">
        <v>1342.8328856999999</v>
      </c>
      <c r="H284">
        <v>1339.7128906</v>
      </c>
      <c r="I284">
        <v>1319.0991211</v>
      </c>
      <c r="J284">
        <v>1313.6245117000001</v>
      </c>
      <c r="K284">
        <v>1650</v>
      </c>
      <c r="L284">
        <v>0</v>
      </c>
      <c r="M284">
        <v>0</v>
      </c>
      <c r="N284">
        <v>1650</v>
      </c>
    </row>
    <row r="285" spans="1:14" x14ac:dyDescent="0.25">
      <c r="A285">
        <v>37.507762999999997</v>
      </c>
      <c r="B285" s="1">
        <f>DATE(2010,6,7) + TIME(12,11,10)</f>
        <v>40336.507754629631</v>
      </c>
      <c r="C285">
        <v>80</v>
      </c>
      <c r="D285">
        <v>79.914100646999998</v>
      </c>
      <c r="E285">
        <v>40</v>
      </c>
      <c r="F285">
        <v>14.999652863</v>
      </c>
      <c r="G285">
        <v>1342.8267822</v>
      </c>
      <c r="H285">
        <v>1339.708374</v>
      </c>
      <c r="I285">
        <v>1319.0999756000001</v>
      </c>
      <c r="J285">
        <v>1313.6251221</v>
      </c>
      <c r="K285">
        <v>1650</v>
      </c>
      <c r="L285">
        <v>0</v>
      </c>
      <c r="M285">
        <v>0</v>
      </c>
      <c r="N285">
        <v>1650</v>
      </c>
    </row>
    <row r="286" spans="1:14" x14ac:dyDescent="0.25">
      <c r="A286">
        <v>37.727424999999997</v>
      </c>
      <c r="B286" s="1">
        <f>DATE(2010,6,7) + TIME(17,27,29)</f>
        <v>40336.727418981478</v>
      </c>
      <c r="C286">
        <v>80</v>
      </c>
      <c r="D286">
        <v>79.914077758999994</v>
      </c>
      <c r="E286">
        <v>40</v>
      </c>
      <c r="F286">
        <v>14.999653816</v>
      </c>
      <c r="G286">
        <v>1342.8206786999999</v>
      </c>
      <c r="H286">
        <v>1339.7038574000001</v>
      </c>
      <c r="I286">
        <v>1319.1008300999999</v>
      </c>
      <c r="J286">
        <v>1313.6257324000001</v>
      </c>
      <c r="K286">
        <v>1650</v>
      </c>
      <c r="L286">
        <v>0</v>
      </c>
      <c r="M286">
        <v>0</v>
      </c>
      <c r="N286">
        <v>1650</v>
      </c>
    </row>
    <row r="287" spans="1:14" x14ac:dyDescent="0.25">
      <c r="A287">
        <v>37.947087000000003</v>
      </c>
      <c r="B287" s="1">
        <f>DATE(2010,6,7) + TIME(22,43,48)</f>
        <v>40336.947083333333</v>
      </c>
      <c r="C287">
        <v>80</v>
      </c>
      <c r="D287">
        <v>79.914070128999995</v>
      </c>
      <c r="E287">
        <v>40</v>
      </c>
      <c r="F287">
        <v>14.999655724</v>
      </c>
      <c r="G287">
        <v>1342.8146973</v>
      </c>
      <c r="H287">
        <v>1339.6993408000001</v>
      </c>
      <c r="I287">
        <v>1319.1016846</v>
      </c>
      <c r="J287">
        <v>1313.6263428</v>
      </c>
      <c r="K287">
        <v>1650</v>
      </c>
      <c r="L287">
        <v>0</v>
      </c>
      <c r="M287">
        <v>0</v>
      </c>
      <c r="N287">
        <v>1650</v>
      </c>
    </row>
    <row r="288" spans="1:14" x14ac:dyDescent="0.25">
      <c r="A288">
        <v>38.166747999999998</v>
      </c>
      <c r="B288" s="1">
        <f>DATE(2010,6,8) + TIME(4,0,7)</f>
        <v>40337.166747685187</v>
      </c>
      <c r="C288">
        <v>80</v>
      </c>
      <c r="D288">
        <v>79.914054871000005</v>
      </c>
      <c r="E288">
        <v>40</v>
      </c>
      <c r="F288">
        <v>14.999656677000001</v>
      </c>
      <c r="G288">
        <v>1342.8087158000001</v>
      </c>
      <c r="H288">
        <v>1339.6948242000001</v>
      </c>
      <c r="I288">
        <v>1319.1025391000001</v>
      </c>
      <c r="J288">
        <v>1313.6269531</v>
      </c>
      <c r="K288">
        <v>1650</v>
      </c>
      <c r="L288">
        <v>0</v>
      </c>
      <c r="M288">
        <v>0</v>
      </c>
      <c r="N288">
        <v>1650</v>
      </c>
    </row>
    <row r="289" spans="1:14" x14ac:dyDescent="0.25">
      <c r="A289">
        <v>38.386409999999998</v>
      </c>
      <c r="B289" s="1">
        <f>DATE(2010,6,8) + TIME(9,16,25)</f>
        <v>40337.386400462965</v>
      </c>
      <c r="C289">
        <v>80</v>
      </c>
      <c r="D289">
        <v>79.914039611999996</v>
      </c>
      <c r="E289">
        <v>40</v>
      </c>
      <c r="F289">
        <v>14.999657631</v>
      </c>
      <c r="G289">
        <v>1342.8027344</v>
      </c>
      <c r="H289">
        <v>1339.6904297000001</v>
      </c>
      <c r="I289">
        <v>1319.1033935999999</v>
      </c>
      <c r="J289">
        <v>1313.6275635</v>
      </c>
      <c r="K289">
        <v>1650</v>
      </c>
      <c r="L289">
        <v>0</v>
      </c>
      <c r="M289">
        <v>0</v>
      </c>
      <c r="N289">
        <v>1650</v>
      </c>
    </row>
    <row r="290" spans="1:14" x14ac:dyDescent="0.25">
      <c r="A290">
        <v>38.606071999999998</v>
      </c>
      <c r="B290" s="1">
        <f>DATE(2010,6,8) + TIME(14,32,44)</f>
        <v>40337.606064814812</v>
      </c>
      <c r="C290">
        <v>80</v>
      </c>
      <c r="D290">
        <v>79.914031981999997</v>
      </c>
      <c r="E290">
        <v>40</v>
      </c>
      <c r="F290">
        <v>14.999658585000001</v>
      </c>
      <c r="G290">
        <v>1342.7967529</v>
      </c>
      <c r="H290">
        <v>1339.6860352000001</v>
      </c>
      <c r="I290">
        <v>1319.1042480000001</v>
      </c>
      <c r="J290">
        <v>1313.6281738</v>
      </c>
      <c r="K290">
        <v>1650</v>
      </c>
      <c r="L290">
        <v>0</v>
      </c>
      <c r="M290">
        <v>0</v>
      </c>
      <c r="N290">
        <v>1650</v>
      </c>
    </row>
    <row r="291" spans="1:14" x14ac:dyDescent="0.25">
      <c r="A291">
        <v>38.825733999999997</v>
      </c>
      <c r="B291" s="1">
        <f>DATE(2010,6,8) + TIME(19,49,3)</f>
        <v>40337.825729166667</v>
      </c>
      <c r="C291">
        <v>80</v>
      </c>
      <c r="D291">
        <v>79.914016724000007</v>
      </c>
      <c r="E291">
        <v>40</v>
      </c>
      <c r="F291">
        <v>14.999659538</v>
      </c>
      <c r="G291">
        <v>1342.7908935999999</v>
      </c>
      <c r="H291">
        <v>1339.6816406</v>
      </c>
      <c r="I291">
        <v>1319.1051024999999</v>
      </c>
      <c r="J291">
        <v>1313.6287841999999</v>
      </c>
      <c r="K291">
        <v>1650</v>
      </c>
      <c r="L291">
        <v>0</v>
      </c>
      <c r="M291">
        <v>0</v>
      </c>
      <c r="N291">
        <v>1650</v>
      </c>
    </row>
    <row r="292" spans="1:14" x14ac:dyDescent="0.25">
      <c r="A292">
        <v>39.045395999999997</v>
      </c>
      <c r="B292" s="1">
        <f>DATE(2010,6,9) + TIME(1,5,22)</f>
        <v>40338.045393518521</v>
      </c>
      <c r="C292">
        <v>80</v>
      </c>
      <c r="D292">
        <v>79.914009093999994</v>
      </c>
      <c r="E292">
        <v>40</v>
      </c>
      <c r="F292">
        <v>14.999661445999999</v>
      </c>
      <c r="G292">
        <v>1342.7850341999999</v>
      </c>
      <c r="H292">
        <v>1339.6772461</v>
      </c>
      <c r="I292">
        <v>1319.105957</v>
      </c>
      <c r="J292">
        <v>1313.6293945</v>
      </c>
      <c r="K292">
        <v>1650</v>
      </c>
      <c r="L292">
        <v>0</v>
      </c>
      <c r="M292">
        <v>0</v>
      </c>
      <c r="N292">
        <v>1650</v>
      </c>
    </row>
    <row r="293" spans="1:14" x14ac:dyDescent="0.25">
      <c r="A293">
        <v>39.265056999999999</v>
      </c>
      <c r="B293" s="1">
        <f>DATE(2010,6,9) + TIME(6,21,40)</f>
        <v>40338.265046296299</v>
      </c>
      <c r="C293">
        <v>80</v>
      </c>
      <c r="D293">
        <v>79.914001464999998</v>
      </c>
      <c r="E293">
        <v>40</v>
      </c>
      <c r="F293">
        <v>14.999662399</v>
      </c>
      <c r="G293">
        <v>1342.7791748</v>
      </c>
      <c r="H293">
        <v>1339.6728516000001</v>
      </c>
      <c r="I293">
        <v>1319.1068115</v>
      </c>
      <c r="J293">
        <v>1313.6300048999999</v>
      </c>
      <c r="K293">
        <v>1650</v>
      </c>
      <c r="L293">
        <v>0</v>
      </c>
      <c r="M293">
        <v>0</v>
      </c>
      <c r="N293">
        <v>1650</v>
      </c>
    </row>
    <row r="294" spans="1:14" x14ac:dyDescent="0.25">
      <c r="A294">
        <v>39.484718999999998</v>
      </c>
      <c r="B294" s="1">
        <f>DATE(2010,6,9) + TIME(11,37,59)</f>
        <v>40338.484710648147</v>
      </c>
      <c r="C294">
        <v>80</v>
      </c>
      <c r="D294">
        <v>79.913993834999999</v>
      </c>
      <c r="E294">
        <v>40</v>
      </c>
      <c r="F294">
        <v>14.999663353000001</v>
      </c>
      <c r="G294">
        <v>1342.7733154</v>
      </c>
      <c r="H294">
        <v>1339.6685791</v>
      </c>
      <c r="I294">
        <v>1319.1076660000001</v>
      </c>
      <c r="J294">
        <v>1313.6306152</v>
      </c>
      <c r="K294">
        <v>1650</v>
      </c>
      <c r="L294">
        <v>0</v>
      </c>
      <c r="M294">
        <v>0</v>
      </c>
      <c r="N294">
        <v>1650</v>
      </c>
    </row>
    <row r="295" spans="1:14" x14ac:dyDescent="0.25">
      <c r="A295">
        <v>39.704380999999998</v>
      </c>
      <c r="B295" s="1">
        <f>DATE(2010,6,9) + TIME(16,54,18)</f>
        <v>40338.704375000001</v>
      </c>
      <c r="C295">
        <v>80</v>
      </c>
      <c r="D295">
        <v>79.913978576999995</v>
      </c>
      <c r="E295">
        <v>40</v>
      </c>
      <c r="F295">
        <v>14.999664307</v>
      </c>
      <c r="G295">
        <v>1342.7675781</v>
      </c>
      <c r="H295">
        <v>1339.6641846</v>
      </c>
      <c r="I295">
        <v>1319.1085204999999</v>
      </c>
      <c r="J295">
        <v>1313.6313477000001</v>
      </c>
      <c r="K295">
        <v>1650</v>
      </c>
      <c r="L295">
        <v>0</v>
      </c>
      <c r="M295">
        <v>0</v>
      </c>
      <c r="N295">
        <v>1650</v>
      </c>
    </row>
    <row r="296" spans="1:14" x14ac:dyDescent="0.25">
      <c r="A296">
        <v>39.924042999999998</v>
      </c>
      <c r="B296" s="1">
        <f>DATE(2010,6,9) + TIME(22,10,37)</f>
        <v>40338.924039351848</v>
      </c>
      <c r="C296">
        <v>80</v>
      </c>
      <c r="D296">
        <v>79.913970946999996</v>
      </c>
      <c r="E296">
        <v>40</v>
      </c>
      <c r="F296">
        <v>14.99966526</v>
      </c>
      <c r="G296">
        <v>1342.7617187999999</v>
      </c>
      <c r="H296">
        <v>1339.6599120999999</v>
      </c>
      <c r="I296">
        <v>1319.1094971</v>
      </c>
      <c r="J296">
        <v>1313.6319579999999</v>
      </c>
      <c r="K296">
        <v>1650</v>
      </c>
      <c r="L296">
        <v>0</v>
      </c>
      <c r="M296">
        <v>0</v>
      </c>
      <c r="N296">
        <v>1650</v>
      </c>
    </row>
    <row r="297" spans="1:14" x14ac:dyDescent="0.25">
      <c r="A297">
        <v>40.363366999999997</v>
      </c>
      <c r="B297" s="1">
        <f>DATE(2010,6,10) + TIME(8,43,14)</f>
        <v>40339.363356481481</v>
      </c>
      <c r="C297">
        <v>80</v>
      </c>
      <c r="D297">
        <v>79.913970946999996</v>
      </c>
      <c r="E297">
        <v>40</v>
      </c>
      <c r="F297">
        <v>14.999667168</v>
      </c>
      <c r="G297">
        <v>1342.7562256000001</v>
      </c>
      <c r="H297">
        <v>1339.6558838000001</v>
      </c>
      <c r="I297">
        <v>1319.1103516000001</v>
      </c>
      <c r="J297">
        <v>1313.6325684000001</v>
      </c>
      <c r="K297">
        <v>1650</v>
      </c>
      <c r="L297">
        <v>0</v>
      </c>
      <c r="M297">
        <v>0</v>
      </c>
      <c r="N297">
        <v>1650</v>
      </c>
    </row>
    <row r="298" spans="1:14" x14ac:dyDescent="0.25">
      <c r="A298">
        <v>40.803617000000003</v>
      </c>
      <c r="B298" s="1">
        <f>DATE(2010,6,10) + TIME(19,17,12)</f>
        <v>40339.803611111114</v>
      </c>
      <c r="C298">
        <v>80</v>
      </c>
      <c r="D298">
        <v>79.913963318</v>
      </c>
      <c r="E298">
        <v>40</v>
      </c>
      <c r="F298">
        <v>14.999669075</v>
      </c>
      <c r="G298">
        <v>1342.7448730000001</v>
      </c>
      <c r="H298">
        <v>1339.6474608999999</v>
      </c>
      <c r="I298">
        <v>1319.1121826000001</v>
      </c>
      <c r="J298">
        <v>1313.6337891000001</v>
      </c>
      <c r="K298">
        <v>1650</v>
      </c>
      <c r="L298">
        <v>0</v>
      </c>
      <c r="M298">
        <v>0</v>
      </c>
      <c r="N298">
        <v>1650</v>
      </c>
    </row>
    <row r="299" spans="1:14" x14ac:dyDescent="0.25">
      <c r="A299">
        <v>41.248731999999997</v>
      </c>
      <c r="B299" s="1">
        <f>DATE(2010,6,11) + TIME(5,58,10)</f>
        <v>40340.248726851853</v>
      </c>
      <c r="C299">
        <v>80</v>
      </c>
      <c r="D299">
        <v>79.913955688000001</v>
      </c>
      <c r="E299">
        <v>40</v>
      </c>
      <c r="F299">
        <v>14.999670982</v>
      </c>
      <c r="G299">
        <v>1342.7335204999999</v>
      </c>
      <c r="H299">
        <v>1339.6391602000001</v>
      </c>
      <c r="I299">
        <v>1319.1138916</v>
      </c>
      <c r="J299">
        <v>1313.6351318</v>
      </c>
      <c r="K299">
        <v>1650</v>
      </c>
      <c r="L299">
        <v>0</v>
      </c>
      <c r="M299">
        <v>0</v>
      </c>
      <c r="N299">
        <v>1650</v>
      </c>
    </row>
    <row r="300" spans="1:14" x14ac:dyDescent="0.25">
      <c r="A300">
        <v>41.699610999999997</v>
      </c>
      <c r="B300" s="1">
        <f>DATE(2010,6,11) + TIME(16,47,26)</f>
        <v>40340.699606481481</v>
      </c>
      <c r="C300">
        <v>80</v>
      </c>
      <c r="D300">
        <v>79.913948059000006</v>
      </c>
      <c r="E300">
        <v>40</v>
      </c>
      <c r="F300">
        <v>14.999672889999999</v>
      </c>
      <c r="G300">
        <v>1342.7222899999999</v>
      </c>
      <c r="H300">
        <v>1339.6307373</v>
      </c>
      <c r="I300">
        <v>1319.1157227000001</v>
      </c>
      <c r="J300">
        <v>1313.6363524999999</v>
      </c>
      <c r="K300">
        <v>1650</v>
      </c>
      <c r="L300">
        <v>0</v>
      </c>
      <c r="M300">
        <v>0</v>
      </c>
      <c r="N300">
        <v>1650</v>
      </c>
    </row>
    <row r="301" spans="1:14" x14ac:dyDescent="0.25">
      <c r="A301">
        <v>42.157201999999998</v>
      </c>
      <c r="B301" s="1">
        <f>DATE(2010,6,12) + TIME(3,46,22)</f>
        <v>40341.157199074078</v>
      </c>
      <c r="C301">
        <v>80</v>
      </c>
      <c r="D301">
        <v>79.913932799999998</v>
      </c>
      <c r="E301">
        <v>40</v>
      </c>
      <c r="F301">
        <v>14.999674797000001</v>
      </c>
      <c r="G301">
        <v>1342.7109375</v>
      </c>
      <c r="H301">
        <v>1339.6223144999999</v>
      </c>
      <c r="I301">
        <v>1319.1175536999999</v>
      </c>
      <c r="J301">
        <v>1313.6376952999999</v>
      </c>
      <c r="K301">
        <v>1650</v>
      </c>
      <c r="L301">
        <v>0</v>
      </c>
      <c r="M301">
        <v>0</v>
      </c>
      <c r="N301">
        <v>1650</v>
      </c>
    </row>
    <row r="302" spans="1:14" x14ac:dyDescent="0.25">
      <c r="A302">
        <v>42.622523000000001</v>
      </c>
      <c r="B302" s="1">
        <f>DATE(2010,6,12) + TIME(14,56,26)</f>
        <v>40341.622523148151</v>
      </c>
      <c r="C302">
        <v>80</v>
      </c>
      <c r="D302">
        <v>79.913917541999993</v>
      </c>
      <c r="E302">
        <v>40</v>
      </c>
      <c r="F302">
        <v>14.999677658</v>
      </c>
      <c r="G302">
        <v>1342.6994629000001</v>
      </c>
      <c r="H302">
        <v>1339.6138916</v>
      </c>
      <c r="I302">
        <v>1319.1193848</v>
      </c>
      <c r="J302">
        <v>1313.6390381000001</v>
      </c>
      <c r="K302">
        <v>1650</v>
      </c>
      <c r="L302">
        <v>0</v>
      </c>
      <c r="M302">
        <v>0</v>
      </c>
      <c r="N302">
        <v>1650</v>
      </c>
    </row>
    <row r="303" spans="1:14" x14ac:dyDescent="0.25">
      <c r="A303">
        <v>43.096702999999998</v>
      </c>
      <c r="B303" s="1">
        <f>DATE(2010,6,13) + TIME(2,19,15)</f>
        <v>40342.096701388888</v>
      </c>
      <c r="C303">
        <v>80</v>
      </c>
      <c r="D303">
        <v>79.913909911999994</v>
      </c>
      <c r="E303">
        <v>40</v>
      </c>
      <c r="F303">
        <v>14.999679564999999</v>
      </c>
      <c r="G303">
        <v>1342.6879882999999</v>
      </c>
      <c r="H303">
        <v>1339.6054687999999</v>
      </c>
      <c r="I303">
        <v>1319.1213379000001</v>
      </c>
      <c r="J303">
        <v>1313.6403809000001</v>
      </c>
      <c r="K303">
        <v>1650</v>
      </c>
      <c r="L303">
        <v>0</v>
      </c>
      <c r="M303">
        <v>0</v>
      </c>
      <c r="N303">
        <v>1650</v>
      </c>
    </row>
    <row r="304" spans="1:14" x14ac:dyDescent="0.25">
      <c r="A304">
        <v>43.580680999999998</v>
      </c>
      <c r="B304" s="1">
        <f>DATE(2010,6,13) + TIME(13,56,10)</f>
        <v>40342.580671296295</v>
      </c>
      <c r="C304">
        <v>80</v>
      </c>
      <c r="D304">
        <v>79.913894653</v>
      </c>
      <c r="E304">
        <v>40</v>
      </c>
      <c r="F304">
        <v>14.999681473000001</v>
      </c>
      <c r="G304">
        <v>1342.6763916</v>
      </c>
      <c r="H304">
        <v>1339.5968018000001</v>
      </c>
      <c r="I304">
        <v>1319.1232910000001</v>
      </c>
      <c r="J304">
        <v>1313.6417236</v>
      </c>
      <c r="K304">
        <v>1650</v>
      </c>
      <c r="L304">
        <v>0</v>
      </c>
      <c r="M304">
        <v>0</v>
      </c>
      <c r="N304">
        <v>1650</v>
      </c>
    </row>
    <row r="305" spans="1:14" x14ac:dyDescent="0.25">
      <c r="A305">
        <v>43.823113999999997</v>
      </c>
      <c r="B305" s="1">
        <f>DATE(2010,6,13) + TIME(19,45,17)</f>
        <v>40342.823113425926</v>
      </c>
      <c r="C305">
        <v>80</v>
      </c>
      <c r="D305">
        <v>79.913879394999995</v>
      </c>
      <c r="E305">
        <v>40</v>
      </c>
      <c r="F305">
        <v>14.999682426</v>
      </c>
      <c r="G305">
        <v>1342.6645507999999</v>
      </c>
      <c r="H305">
        <v>1339.5880127</v>
      </c>
      <c r="I305">
        <v>1319.1252440999999</v>
      </c>
      <c r="J305">
        <v>1313.6430664</v>
      </c>
      <c r="K305">
        <v>1650</v>
      </c>
      <c r="L305">
        <v>0</v>
      </c>
      <c r="M305">
        <v>0</v>
      </c>
      <c r="N305">
        <v>1650</v>
      </c>
    </row>
    <row r="306" spans="1:14" x14ac:dyDescent="0.25">
      <c r="A306">
        <v>44.065548</v>
      </c>
      <c r="B306" s="1">
        <f>DATE(2010,6,14) + TIME(1,34,23)</f>
        <v>40343.06554398148</v>
      </c>
      <c r="C306">
        <v>80</v>
      </c>
      <c r="D306">
        <v>79.913864136000001</v>
      </c>
      <c r="E306">
        <v>40</v>
      </c>
      <c r="F306">
        <v>14.999684333999999</v>
      </c>
      <c r="G306">
        <v>1342.6586914</v>
      </c>
      <c r="H306">
        <v>1339.5836182</v>
      </c>
      <c r="I306">
        <v>1319.1262207</v>
      </c>
      <c r="J306">
        <v>1313.6437988</v>
      </c>
      <c r="K306">
        <v>1650</v>
      </c>
      <c r="L306">
        <v>0</v>
      </c>
      <c r="M306">
        <v>0</v>
      </c>
      <c r="N306">
        <v>1650</v>
      </c>
    </row>
    <row r="307" spans="1:14" x14ac:dyDescent="0.25">
      <c r="A307">
        <v>44.307980999999998</v>
      </c>
      <c r="B307" s="1">
        <f>DATE(2010,6,14) + TIME(7,23,29)</f>
        <v>40343.307974537034</v>
      </c>
      <c r="C307">
        <v>80</v>
      </c>
      <c r="D307">
        <v>79.913848877000007</v>
      </c>
      <c r="E307">
        <v>40</v>
      </c>
      <c r="F307">
        <v>14.999685287</v>
      </c>
      <c r="G307">
        <v>1342.6529541</v>
      </c>
      <c r="H307">
        <v>1339.5793457</v>
      </c>
      <c r="I307">
        <v>1319.1273193</v>
      </c>
      <c r="J307">
        <v>1313.6445312000001</v>
      </c>
      <c r="K307">
        <v>1650</v>
      </c>
      <c r="L307">
        <v>0</v>
      </c>
      <c r="M307">
        <v>0</v>
      </c>
      <c r="N307">
        <v>1650</v>
      </c>
    </row>
    <row r="308" spans="1:14" x14ac:dyDescent="0.25">
      <c r="A308">
        <v>44.550414000000004</v>
      </c>
      <c r="B308" s="1">
        <f>DATE(2010,6,14) + TIME(13,12,35)</f>
        <v>40343.550405092596</v>
      </c>
      <c r="C308">
        <v>80</v>
      </c>
      <c r="D308">
        <v>79.913841247999997</v>
      </c>
      <c r="E308">
        <v>40</v>
      </c>
      <c r="F308">
        <v>14.999686240999999</v>
      </c>
      <c r="G308">
        <v>1342.6470947</v>
      </c>
      <c r="H308">
        <v>1339.5750731999999</v>
      </c>
      <c r="I308">
        <v>1319.1282959</v>
      </c>
      <c r="J308">
        <v>1313.6452637</v>
      </c>
      <c r="K308">
        <v>1650</v>
      </c>
      <c r="L308">
        <v>0</v>
      </c>
      <c r="M308">
        <v>0</v>
      </c>
      <c r="N308">
        <v>1650</v>
      </c>
    </row>
    <row r="309" spans="1:14" x14ac:dyDescent="0.25">
      <c r="A309">
        <v>44.792847999999999</v>
      </c>
      <c r="B309" s="1">
        <f>DATE(2010,6,14) + TIME(19,1,42)</f>
        <v>40343.792847222219</v>
      </c>
      <c r="C309">
        <v>80</v>
      </c>
      <c r="D309">
        <v>79.913833617999998</v>
      </c>
      <c r="E309">
        <v>40</v>
      </c>
      <c r="F309">
        <v>14.999687195</v>
      </c>
      <c r="G309">
        <v>1342.6413574000001</v>
      </c>
      <c r="H309">
        <v>1339.5708007999999</v>
      </c>
      <c r="I309">
        <v>1319.1293945</v>
      </c>
      <c r="J309">
        <v>1313.6459961</v>
      </c>
      <c r="K309">
        <v>1650</v>
      </c>
      <c r="L309">
        <v>0</v>
      </c>
      <c r="M309">
        <v>0</v>
      </c>
      <c r="N309">
        <v>1650</v>
      </c>
    </row>
    <row r="310" spans="1:14" x14ac:dyDescent="0.25">
      <c r="A310">
        <v>45.035280999999998</v>
      </c>
      <c r="B310" s="1">
        <f>DATE(2010,6,15) + TIME(0,50,48)</f>
        <v>40344.035277777781</v>
      </c>
      <c r="C310">
        <v>80</v>
      </c>
      <c r="D310">
        <v>79.913825989000003</v>
      </c>
      <c r="E310">
        <v>40</v>
      </c>
      <c r="F310">
        <v>14.999689102</v>
      </c>
      <c r="G310">
        <v>1342.6357422000001</v>
      </c>
      <c r="H310">
        <v>1339.5665283000001</v>
      </c>
      <c r="I310">
        <v>1319.1303711</v>
      </c>
      <c r="J310">
        <v>1313.6467285000001</v>
      </c>
      <c r="K310">
        <v>1650</v>
      </c>
      <c r="L310">
        <v>0</v>
      </c>
      <c r="M310">
        <v>0</v>
      </c>
      <c r="N310">
        <v>1650</v>
      </c>
    </row>
    <row r="311" spans="1:14" x14ac:dyDescent="0.25">
      <c r="A311">
        <v>45.277715000000001</v>
      </c>
      <c r="B311" s="1">
        <f>DATE(2010,6,15) + TIME(6,39,54)</f>
        <v>40344.277708333335</v>
      </c>
      <c r="C311">
        <v>80</v>
      </c>
      <c r="D311">
        <v>79.913818359000004</v>
      </c>
      <c r="E311">
        <v>40</v>
      </c>
      <c r="F311">
        <v>14.999690056</v>
      </c>
      <c r="G311">
        <v>1342.6300048999999</v>
      </c>
      <c r="H311">
        <v>1339.5623779</v>
      </c>
      <c r="I311">
        <v>1319.1313477000001</v>
      </c>
      <c r="J311">
        <v>1313.6474608999999</v>
      </c>
      <c r="K311">
        <v>1650</v>
      </c>
      <c r="L311">
        <v>0</v>
      </c>
      <c r="M311">
        <v>0</v>
      </c>
      <c r="N311">
        <v>1650</v>
      </c>
    </row>
    <row r="312" spans="1:14" x14ac:dyDescent="0.25">
      <c r="A312">
        <v>45.520147999999999</v>
      </c>
      <c r="B312" s="1">
        <f>DATE(2010,6,15) + TIME(12,29,0)</f>
        <v>40344.520138888889</v>
      </c>
      <c r="C312">
        <v>80</v>
      </c>
      <c r="D312">
        <v>79.913810729999994</v>
      </c>
      <c r="E312">
        <v>40</v>
      </c>
      <c r="F312">
        <v>14.999691009999999</v>
      </c>
      <c r="G312">
        <v>1342.6243896000001</v>
      </c>
      <c r="H312">
        <v>1339.5582274999999</v>
      </c>
      <c r="I312">
        <v>1319.1324463000001</v>
      </c>
      <c r="J312">
        <v>1313.6481934000001</v>
      </c>
      <c r="K312">
        <v>1650</v>
      </c>
      <c r="L312">
        <v>0</v>
      </c>
      <c r="M312">
        <v>0</v>
      </c>
      <c r="N312">
        <v>1650</v>
      </c>
    </row>
    <row r="313" spans="1:14" x14ac:dyDescent="0.25">
      <c r="A313">
        <v>45.762580999999997</v>
      </c>
      <c r="B313" s="1">
        <f>DATE(2010,6,15) + TIME(18,18,7)</f>
        <v>40344.76258101852</v>
      </c>
      <c r="C313">
        <v>80</v>
      </c>
      <c r="D313">
        <v>79.913803100999999</v>
      </c>
      <c r="E313">
        <v>40</v>
      </c>
      <c r="F313">
        <v>14.999691963</v>
      </c>
      <c r="G313">
        <v>1342.6187743999999</v>
      </c>
      <c r="H313">
        <v>1339.5539550999999</v>
      </c>
      <c r="I313">
        <v>1319.1334228999999</v>
      </c>
      <c r="J313">
        <v>1313.6489257999999</v>
      </c>
      <c r="K313">
        <v>1650</v>
      </c>
      <c r="L313">
        <v>0</v>
      </c>
      <c r="M313">
        <v>0</v>
      </c>
      <c r="N313">
        <v>1650</v>
      </c>
    </row>
    <row r="314" spans="1:14" x14ac:dyDescent="0.25">
      <c r="A314">
        <v>46.005015</v>
      </c>
      <c r="B314" s="1">
        <f>DATE(2010,6,16) + TIME(0,7,13)</f>
        <v>40345.005011574074</v>
      </c>
      <c r="C314">
        <v>80</v>
      </c>
      <c r="D314">
        <v>79.913795471</v>
      </c>
      <c r="E314">
        <v>40</v>
      </c>
      <c r="F314">
        <v>14.999692917000001</v>
      </c>
      <c r="G314">
        <v>1342.6131591999999</v>
      </c>
      <c r="H314">
        <v>1339.5498047000001</v>
      </c>
      <c r="I314">
        <v>1319.1345214999999</v>
      </c>
      <c r="J314">
        <v>1313.6496582</v>
      </c>
      <c r="K314">
        <v>1650</v>
      </c>
      <c r="L314">
        <v>0</v>
      </c>
      <c r="M314">
        <v>0</v>
      </c>
      <c r="N314">
        <v>1650</v>
      </c>
    </row>
    <row r="315" spans="1:14" x14ac:dyDescent="0.25">
      <c r="A315">
        <v>46.247447999999999</v>
      </c>
      <c r="B315" s="1">
        <f>DATE(2010,6,16) + TIME(5,56,19)</f>
        <v>40345.247442129628</v>
      </c>
      <c r="C315">
        <v>80</v>
      </c>
      <c r="D315">
        <v>79.913795471</v>
      </c>
      <c r="E315">
        <v>40</v>
      </c>
      <c r="F315">
        <v>14.999694824000001</v>
      </c>
      <c r="G315">
        <v>1342.6075439000001</v>
      </c>
      <c r="H315">
        <v>1339.5457764</v>
      </c>
      <c r="I315">
        <v>1319.1356201000001</v>
      </c>
      <c r="J315">
        <v>1313.6503906</v>
      </c>
      <c r="K315">
        <v>1650</v>
      </c>
      <c r="L315">
        <v>0</v>
      </c>
      <c r="M315">
        <v>0</v>
      </c>
      <c r="N315">
        <v>1650</v>
      </c>
    </row>
    <row r="316" spans="1:14" x14ac:dyDescent="0.25">
      <c r="A316">
        <v>46.489880999999997</v>
      </c>
      <c r="B316" s="1">
        <f>DATE(2010,6,16) + TIME(11,45,25)</f>
        <v>40345.489872685182</v>
      </c>
      <c r="C316">
        <v>80</v>
      </c>
      <c r="D316">
        <v>79.913787842000005</v>
      </c>
      <c r="E316">
        <v>40</v>
      </c>
      <c r="F316">
        <v>14.999695778</v>
      </c>
      <c r="G316">
        <v>1342.6019286999999</v>
      </c>
      <c r="H316">
        <v>1339.541626</v>
      </c>
      <c r="I316">
        <v>1319.1365966999999</v>
      </c>
      <c r="J316">
        <v>1313.6511230000001</v>
      </c>
      <c r="K316">
        <v>1650</v>
      </c>
      <c r="L316">
        <v>0</v>
      </c>
      <c r="M316">
        <v>0</v>
      </c>
      <c r="N316">
        <v>1650</v>
      </c>
    </row>
    <row r="317" spans="1:14" x14ac:dyDescent="0.25">
      <c r="A317">
        <v>46.732315</v>
      </c>
      <c r="B317" s="1">
        <f>DATE(2010,6,16) + TIME(17,34,31)</f>
        <v>40345.732303240744</v>
      </c>
      <c r="C317">
        <v>80</v>
      </c>
      <c r="D317">
        <v>79.913787842000005</v>
      </c>
      <c r="E317">
        <v>40</v>
      </c>
      <c r="F317">
        <v>14.999696732</v>
      </c>
      <c r="G317">
        <v>1342.5964355000001</v>
      </c>
      <c r="H317">
        <v>1339.5374756000001</v>
      </c>
      <c r="I317">
        <v>1319.1376952999999</v>
      </c>
      <c r="J317">
        <v>1313.6518555</v>
      </c>
      <c r="K317">
        <v>1650</v>
      </c>
      <c r="L317">
        <v>0</v>
      </c>
      <c r="M317">
        <v>0</v>
      </c>
      <c r="N317">
        <v>1650</v>
      </c>
    </row>
    <row r="318" spans="1:14" x14ac:dyDescent="0.25">
      <c r="A318">
        <v>47.217180999999997</v>
      </c>
      <c r="B318" s="1">
        <f>DATE(2010,6,17) + TIME(5,12,44)</f>
        <v>40346.217175925929</v>
      </c>
      <c r="C318">
        <v>80</v>
      </c>
      <c r="D318">
        <v>79.913795471</v>
      </c>
      <c r="E318">
        <v>40</v>
      </c>
      <c r="F318">
        <v>14.999698639</v>
      </c>
      <c r="G318">
        <v>1342.5910644999999</v>
      </c>
      <c r="H318">
        <v>1339.5335693</v>
      </c>
      <c r="I318">
        <v>1319.1387939000001</v>
      </c>
      <c r="J318">
        <v>1313.6525879000001</v>
      </c>
      <c r="K318">
        <v>1650</v>
      </c>
      <c r="L318">
        <v>0</v>
      </c>
      <c r="M318">
        <v>0</v>
      </c>
      <c r="N318">
        <v>1650</v>
      </c>
    </row>
    <row r="319" spans="1:14" x14ac:dyDescent="0.25">
      <c r="A319">
        <v>47.702468000000003</v>
      </c>
      <c r="B319" s="1">
        <f>DATE(2010,6,17) + TIME(16,51,33)</f>
        <v>40346.702465277776</v>
      </c>
      <c r="C319">
        <v>80</v>
      </c>
      <c r="D319">
        <v>79.913795471</v>
      </c>
      <c r="E319">
        <v>40</v>
      </c>
      <c r="F319">
        <v>14.999700546</v>
      </c>
      <c r="G319">
        <v>1342.5802002</v>
      </c>
      <c r="H319">
        <v>1339.5255127</v>
      </c>
      <c r="I319">
        <v>1319.1408690999999</v>
      </c>
      <c r="J319">
        <v>1313.6540527</v>
      </c>
      <c r="K319">
        <v>1650</v>
      </c>
      <c r="L319">
        <v>0</v>
      </c>
      <c r="M319">
        <v>0</v>
      </c>
      <c r="N319">
        <v>1650</v>
      </c>
    </row>
    <row r="320" spans="1:14" x14ac:dyDescent="0.25">
      <c r="A320">
        <v>48.193410999999998</v>
      </c>
      <c r="B320" s="1">
        <f>DATE(2010,6,18) + TIME(4,38,30)</f>
        <v>40347.193402777775</v>
      </c>
      <c r="C320">
        <v>80</v>
      </c>
      <c r="D320">
        <v>79.913795471</v>
      </c>
      <c r="E320">
        <v>40</v>
      </c>
      <c r="F320">
        <v>14.999702453999999</v>
      </c>
      <c r="G320">
        <v>1342.5693358999999</v>
      </c>
      <c r="H320">
        <v>1339.5175781</v>
      </c>
      <c r="I320">
        <v>1319.1430664</v>
      </c>
      <c r="J320">
        <v>1313.6555175999999</v>
      </c>
      <c r="K320">
        <v>1650</v>
      </c>
      <c r="L320">
        <v>0</v>
      </c>
      <c r="M320">
        <v>0</v>
      </c>
      <c r="N320">
        <v>1650</v>
      </c>
    </row>
    <row r="321" spans="1:14" x14ac:dyDescent="0.25">
      <c r="A321">
        <v>48.691039000000004</v>
      </c>
      <c r="B321" s="1">
        <f>DATE(2010,6,18) + TIME(16,35,5)</f>
        <v>40347.691030092596</v>
      </c>
      <c r="C321">
        <v>80</v>
      </c>
      <c r="D321">
        <v>79.913787842000005</v>
      </c>
      <c r="E321">
        <v>40</v>
      </c>
      <c r="F321">
        <v>14.999704360999999</v>
      </c>
      <c r="G321">
        <v>1342.5584716999999</v>
      </c>
      <c r="H321">
        <v>1339.5095214999999</v>
      </c>
      <c r="I321">
        <v>1319.1451416</v>
      </c>
      <c r="J321">
        <v>1313.6571045000001</v>
      </c>
      <c r="K321">
        <v>1650</v>
      </c>
      <c r="L321">
        <v>0</v>
      </c>
      <c r="M321">
        <v>0</v>
      </c>
      <c r="N321">
        <v>1650</v>
      </c>
    </row>
    <row r="322" spans="1:14" x14ac:dyDescent="0.25">
      <c r="A322">
        <v>49.196477999999999</v>
      </c>
      <c r="B322" s="1">
        <f>DATE(2010,6,19) + TIME(4,42,55)</f>
        <v>40348.196469907409</v>
      </c>
      <c r="C322">
        <v>80</v>
      </c>
      <c r="D322">
        <v>79.913787842000005</v>
      </c>
      <c r="E322">
        <v>40</v>
      </c>
      <c r="F322">
        <v>14.999707222</v>
      </c>
      <c r="G322">
        <v>1342.5476074000001</v>
      </c>
      <c r="H322">
        <v>1339.5015868999999</v>
      </c>
      <c r="I322">
        <v>1319.1473389</v>
      </c>
      <c r="J322">
        <v>1313.6585693</v>
      </c>
      <c r="K322">
        <v>1650</v>
      </c>
      <c r="L322">
        <v>0</v>
      </c>
      <c r="M322">
        <v>0</v>
      </c>
      <c r="N322">
        <v>1650</v>
      </c>
    </row>
    <row r="323" spans="1:14" x14ac:dyDescent="0.25">
      <c r="A323">
        <v>49.710909000000001</v>
      </c>
      <c r="B323" s="1">
        <f>DATE(2010,6,19) + TIME(17,3,42)</f>
        <v>40348.710902777777</v>
      </c>
      <c r="C323">
        <v>80</v>
      </c>
      <c r="D323">
        <v>79.913780212000006</v>
      </c>
      <c r="E323">
        <v>40</v>
      </c>
      <c r="F323">
        <v>14.999709128999999</v>
      </c>
      <c r="G323">
        <v>1342.5366211</v>
      </c>
      <c r="H323">
        <v>1339.4934082</v>
      </c>
      <c r="I323">
        <v>1319.1496582</v>
      </c>
      <c r="J323">
        <v>1313.6601562000001</v>
      </c>
      <c r="K323">
        <v>1650</v>
      </c>
      <c r="L323">
        <v>0</v>
      </c>
      <c r="M323">
        <v>0</v>
      </c>
      <c r="N323">
        <v>1650</v>
      </c>
    </row>
    <row r="324" spans="1:14" x14ac:dyDescent="0.25">
      <c r="A324">
        <v>50.23563</v>
      </c>
      <c r="B324" s="1">
        <f>DATE(2010,6,20) + TIME(5,39,18)</f>
        <v>40349.235625000001</v>
      </c>
      <c r="C324">
        <v>80</v>
      </c>
      <c r="D324">
        <v>79.913772582999997</v>
      </c>
      <c r="E324">
        <v>40</v>
      </c>
      <c r="F324">
        <v>14.99971199</v>
      </c>
      <c r="G324">
        <v>1342.5255127</v>
      </c>
      <c r="H324">
        <v>1339.4852295000001</v>
      </c>
      <c r="I324">
        <v>1319.1519774999999</v>
      </c>
      <c r="J324">
        <v>1313.6618652</v>
      </c>
      <c r="K324">
        <v>1650</v>
      </c>
      <c r="L324">
        <v>0</v>
      </c>
      <c r="M324">
        <v>0</v>
      </c>
      <c r="N324">
        <v>1650</v>
      </c>
    </row>
    <row r="325" spans="1:14" x14ac:dyDescent="0.25">
      <c r="A325">
        <v>50.501854999999999</v>
      </c>
      <c r="B325" s="1">
        <f>DATE(2010,6,20) + TIME(12,2,40)</f>
        <v>40349.501851851855</v>
      </c>
      <c r="C325">
        <v>80</v>
      </c>
      <c r="D325">
        <v>79.913764954000001</v>
      </c>
      <c r="E325">
        <v>40</v>
      </c>
      <c r="F325">
        <v>14.999712944000001</v>
      </c>
      <c r="G325">
        <v>1342.5141602000001</v>
      </c>
      <c r="H325">
        <v>1339.4768065999999</v>
      </c>
      <c r="I325">
        <v>1319.1542969</v>
      </c>
      <c r="J325">
        <v>1313.6634521000001</v>
      </c>
      <c r="K325">
        <v>1650</v>
      </c>
      <c r="L325">
        <v>0</v>
      </c>
      <c r="M325">
        <v>0</v>
      </c>
      <c r="N325">
        <v>1650</v>
      </c>
    </row>
    <row r="326" spans="1:14" x14ac:dyDescent="0.25">
      <c r="A326">
        <v>50.768039999999999</v>
      </c>
      <c r="B326" s="1">
        <f>DATE(2010,6,20) + TIME(18,25,58)</f>
        <v>40349.76803240741</v>
      </c>
      <c r="C326">
        <v>80</v>
      </c>
      <c r="D326">
        <v>79.913749695000007</v>
      </c>
      <c r="E326">
        <v>40</v>
      </c>
      <c r="F326">
        <v>14.999714851</v>
      </c>
      <c r="G326">
        <v>1342.5084228999999</v>
      </c>
      <c r="H326">
        <v>1339.4726562000001</v>
      </c>
      <c r="I326">
        <v>1319.1555175999999</v>
      </c>
      <c r="J326">
        <v>1313.6643065999999</v>
      </c>
      <c r="K326">
        <v>1650</v>
      </c>
      <c r="L326">
        <v>0</v>
      </c>
      <c r="M326">
        <v>0</v>
      </c>
      <c r="N326">
        <v>1650</v>
      </c>
    </row>
    <row r="327" spans="1:14" x14ac:dyDescent="0.25">
      <c r="A327">
        <v>51.033481999999999</v>
      </c>
      <c r="B327" s="1">
        <f>DATE(2010,6,21) + TIME(0,48,12)</f>
        <v>40350.033472222225</v>
      </c>
      <c r="C327">
        <v>80</v>
      </c>
      <c r="D327">
        <v>79.913742064999994</v>
      </c>
      <c r="E327">
        <v>40</v>
      </c>
      <c r="F327">
        <v>14.999715804999999</v>
      </c>
      <c r="G327">
        <v>1342.5028076000001</v>
      </c>
      <c r="H327">
        <v>1339.4685059000001</v>
      </c>
      <c r="I327">
        <v>1319.1567382999999</v>
      </c>
      <c r="J327">
        <v>1313.6651611</v>
      </c>
      <c r="K327">
        <v>1650</v>
      </c>
      <c r="L327">
        <v>0</v>
      </c>
      <c r="M327">
        <v>0</v>
      </c>
      <c r="N327">
        <v>1650</v>
      </c>
    </row>
    <row r="328" spans="1:14" x14ac:dyDescent="0.25">
      <c r="A328">
        <v>51.298352999999999</v>
      </c>
      <c r="B328" s="1">
        <f>DATE(2010,6,21) + TIME(7,9,37)</f>
        <v>40350.298344907409</v>
      </c>
      <c r="C328">
        <v>80</v>
      </c>
      <c r="D328">
        <v>79.913734435999999</v>
      </c>
      <c r="E328">
        <v>40</v>
      </c>
      <c r="F328">
        <v>14.999717712000001</v>
      </c>
      <c r="G328">
        <v>1342.4973144999999</v>
      </c>
      <c r="H328">
        <v>1339.4643555</v>
      </c>
      <c r="I328">
        <v>1319.1579589999999</v>
      </c>
      <c r="J328">
        <v>1313.6658935999999</v>
      </c>
      <c r="K328">
        <v>1650</v>
      </c>
      <c r="L328">
        <v>0</v>
      </c>
      <c r="M328">
        <v>0</v>
      </c>
      <c r="N328">
        <v>1650</v>
      </c>
    </row>
    <row r="329" spans="1:14" x14ac:dyDescent="0.25">
      <c r="A329">
        <v>51.562817000000003</v>
      </c>
      <c r="B329" s="1">
        <f>DATE(2010,6,21) + TIME(13,30,27)</f>
        <v>40350.5628125</v>
      </c>
      <c r="C329">
        <v>80</v>
      </c>
      <c r="D329">
        <v>79.913734435999999</v>
      </c>
      <c r="E329">
        <v>40</v>
      </c>
      <c r="F329">
        <v>14.999718666</v>
      </c>
      <c r="G329">
        <v>1342.4916992000001</v>
      </c>
      <c r="H329">
        <v>1339.4602050999999</v>
      </c>
      <c r="I329">
        <v>1319.1591797000001</v>
      </c>
      <c r="J329">
        <v>1313.6667480000001</v>
      </c>
      <c r="K329">
        <v>1650</v>
      </c>
      <c r="L329">
        <v>0</v>
      </c>
      <c r="M329">
        <v>0</v>
      </c>
      <c r="N329">
        <v>1650</v>
      </c>
    </row>
    <row r="330" spans="1:14" x14ac:dyDescent="0.25">
      <c r="A330">
        <v>51.827033999999998</v>
      </c>
      <c r="B330" s="1">
        <f>DATE(2010,6,21) + TIME(19,50,55)</f>
        <v>40350.827025462961</v>
      </c>
      <c r="C330">
        <v>80</v>
      </c>
      <c r="D330">
        <v>79.913726807000003</v>
      </c>
      <c r="E330">
        <v>40</v>
      </c>
      <c r="F330">
        <v>14.999720572999999</v>
      </c>
      <c r="G330">
        <v>1342.4862060999999</v>
      </c>
      <c r="H330">
        <v>1339.4561768000001</v>
      </c>
      <c r="I330">
        <v>1319.1604004000001</v>
      </c>
      <c r="J330">
        <v>1313.6676024999999</v>
      </c>
      <c r="K330">
        <v>1650</v>
      </c>
      <c r="L330">
        <v>0</v>
      </c>
      <c r="M330">
        <v>0</v>
      </c>
      <c r="N330">
        <v>1650</v>
      </c>
    </row>
    <row r="331" spans="1:14" x14ac:dyDescent="0.25">
      <c r="A331">
        <v>52.091155999999998</v>
      </c>
      <c r="B331" s="1">
        <f>DATE(2010,6,22) + TIME(2,11,15)</f>
        <v>40351.091145833336</v>
      </c>
      <c r="C331">
        <v>80</v>
      </c>
      <c r="D331">
        <v>79.913726807000003</v>
      </c>
      <c r="E331">
        <v>40</v>
      </c>
      <c r="F331">
        <v>14.999722480999999</v>
      </c>
      <c r="G331">
        <v>1342.4807129000001</v>
      </c>
      <c r="H331">
        <v>1339.4521483999999</v>
      </c>
      <c r="I331">
        <v>1319.1616211</v>
      </c>
      <c r="J331">
        <v>1313.668457</v>
      </c>
      <c r="K331">
        <v>1650</v>
      </c>
      <c r="L331">
        <v>0</v>
      </c>
      <c r="M331">
        <v>0</v>
      </c>
      <c r="N331">
        <v>1650</v>
      </c>
    </row>
    <row r="332" spans="1:14" x14ac:dyDescent="0.25">
      <c r="A332">
        <v>52.355277000000001</v>
      </c>
      <c r="B332" s="1">
        <f>DATE(2010,6,22) + TIME(8,31,35)</f>
        <v>40351.355266203704</v>
      </c>
      <c r="C332">
        <v>80</v>
      </c>
      <c r="D332">
        <v>79.913726807000003</v>
      </c>
      <c r="E332">
        <v>40</v>
      </c>
      <c r="F332">
        <v>14.999723434</v>
      </c>
      <c r="G332">
        <v>1342.4753418</v>
      </c>
      <c r="H332">
        <v>1339.4481201000001</v>
      </c>
      <c r="I332">
        <v>1319.1629639</v>
      </c>
      <c r="J332">
        <v>1313.6693115</v>
      </c>
      <c r="K332">
        <v>1650</v>
      </c>
      <c r="L332">
        <v>0</v>
      </c>
      <c r="M332">
        <v>0</v>
      </c>
      <c r="N332">
        <v>1650</v>
      </c>
    </row>
    <row r="333" spans="1:14" x14ac:dyDescent="0.25">
      <c r="A333">
        <v>52.619399000000001</v>
      </c>
      <c r="B333" s="1">
        <f>DATE(2010,6,22) + TIME(14,51,56)</f>
        <v>40351.619398148148</v>
      </c>
      <c r="C333">
        <v>80</v>
      </c>
      <c r="D333">
        <v>79.913719177000004</v>
      </c>
      <c r="E333">
        <v>40</v>
      </c>
      <c r="F333">
        <v>14.999725342</v>
      </c>
      <c r="G333">
        <v>1342.4698486</v>
      </c>
      <c r="H333">
        <v>1339.4440918</v>
      </c>
      <c r="I333">
        <v>1319.1641846</v>
      </c>
      <c r="J333">
        <v>1313.6701660000001</v>
      </c>
      <c r="K333">
        <v>1650</v>
      </c>
      <c r="L333">
        <v>0</v>
      </c>
      <c r="M333">
        <v>0</v>
      </c>
      <c r="N333">
        <v>1650</v>
      </c>
    </row>
    <row r="334" spans="1:14" x14ac:dyDescent="0.25">
      <c r="A334">
        <v>52.883521000000002</v>
      </c>
      <c r="B334" s="1">
        <f>DATE(2010,6,22) + TIME(21,12,16)</f>
        <v>40351.883518518516</v>
      </c>
      <c r="C334">
        <v>80</v>
      </c>
      <c r="D334">
        <v>79.913719177000004</v>
      </c>
      <c r="E334">
        <v>40</v>
      </c>
      <c r="F334">
        <v>14.999726295</v>
      </c>
      <c r="G334">
        <v>1342.4644774999999</v>
      </c>
      <c r="H334">
        <v>1339.4400635</v>
      </c>
      <c r="I334">
        <v>1319.1654053</v>
      </c>
      <c r="J334">
        <v>1313.6710204999999</v>
      </c>
      <c r="K334">
        <v>1650</v>
      </c>
      <c r="L334">
        <v>0</v>
      </c>
      <c r="M334">
        <v>0</v>
      </c>
      <c r="N334">
        <v>1650</v>
      </c>
    </row>
    <row r="335" spans="1:14" x14ac:dyDescent="0.25">
      <c r="A335">
        <v>53.147643000000002</v>
      </c>
      <c r="B335" s="1">
        <f>DATE(2010,6,23) + TIME(3,32,36)</f>
        <v>40352.147638888891</v>
      </c>
      <c r="C335">
        <v>80</v>
      </c>
      <c r="D335">
        <v>79.913719177000004</v>
      </c>
      <c r="E335">
        <v>40</v>
      </c>
      <c r="F335">
        <v>14.999728203</v>
      </c>
      <c r="G335">
        <v>1342.4591064000001</v>
      </c>
      <c r="H335">
        <v>1339.4360352000001</v>
      </c>
      <c r="I335">
        <v>1319.166626</v>
      </c>
      <c r="J335">
        <v>1313.671875</v>
      </c>
      <c r="K335">
        <v>1650</v>
      </c>
      <c r="L335">
        <v>0</v>
      </c>
      <c r="M335">
        <v>0</v>
      </c>
      <c r="N335">
        <v>1650</v>
      </c>
    </row>
    <row r="336" spans="1:14" x14ac:dyDescent="0.25">
      <c r="A336">
        <v>53.411763999999998</v>
      </c>
      <c r="B336" s="1">
        <f>DATE(2010,6,23) + TIME(9,52,56)</f>
        <v>40352.411759259259</v>
      </c>
      <c r="C336">
        <v>80</v>
      </c>
      <c r="D336">
        <v>79.913719177000004</v>
      </c>
      <c r="E336">
        <v>40</v>
      </c>
      <c r="F336">
        <v>14.99973011</v>
      </c>
      <c r="G336">
        <v>1342.4537353999999</v>
      </c>
      <c r="H336">
        <v>1339.4321289</v>
      </c>
      <c r="I336">
        <v>1319.1678466999999</v>
      </c>
      <c r="J336">
        <v>1313.6728516000001</v>
      </c>
      <c r="K336">
        <v>1650</v>
      </c>
      <c r="L336">
        <v>0</v>
      </c>
      <c r="M336">
        <v>0</v>
      </c>
      <c r="N336">
        <v>1650</v>
      </c>
    </row>
    <row r="337" spans="1:14" x14ac:dyDescent="0.25">
      <c r="A337">
        <v>53.675885999999998</v>
      </c>
      <c r="B337" s="1">
        <f>DATE(2010,6,23) + TIME(16,13,16)</f>
        <v>40352.675879629627</v>
      </c>
      <c r="C337">
        <v>80</v>
      </c>
      <c r="D337">
        <v>79.913719177000004</v>
      </c>
      <c r="E337">
        <v>40</v>
      </c>
      <c r="F337">
        <v>14.999731064000001</v>
      </c>
      <c r="G337">
        <v>1342.4483643000001</v>
      </c>
      <c r="H337">
        <v>1339.4281006000001</v>
      </c>
      <c r="I337">
        <v>1319.1691894999999</v>
      </c>
      <c r="J337">
        <v>1313.6737060999999</v>
      </c>
      <c r="K337">
        <v>1650</v>
      </c>
      <c r="L337">
        <v>0</v>
      </c>
      <c r="M337">
        <v>0</v>
      </c>
      <c r="N337">
        <v>1650</v>
      </c>
    </row>
    <row r="338" spans="1:14" x14ac:dyDescent="0.25">
      <c r="A338">
        <v>54.204129999999999</v>
      </c>
      <c r="B338" s="1">
        <f>DATE(2010,6,24) + TIME(4,53,56)</f>
        <v>40353.20412037037</v>
      </c>
      <c r="C338">
        <v>80</v>
      </c>
      <c r="D338">
        <v>79.913734435999999</v>
      </c>
      <c r="E338">
        <v>40</v>
      </c>
      <c r="F338">
        <v>14.999733924999999</v>
      </c>
      <c r="G338">
        <v>1342.4432373</v>
      </c>
      <c r="H338">
        <v>1339.4243164</v>
      </c>
      <c r="I338">
        <v>1319.1705322</v>
      </c>
      <c r="J338">
        <v>1313.6745605000001</v>
      </c>
      <c r="K338">
        <v>1650</v>
      </c>
      <c r="L338">
        <v>0</v>
      </c>
      <c r="M338">
        <v>0</v>
      </c>
      <c r="N338">
        <v>1650</v>
      </c>
    </row>
    <row r="339" spans="1:14" x14ac:dyDescent="0.25">
      <c r="A339">
        <v>54.732776000000001</v>
      </c>
      <c r="B339" s="1">
        <f>DATE(2010,6,24) + TIME(17,35,11)</f>
        <v>40353.732766203706</v>
      </c>
      <c r="C339">
        <v>80</v>
      </c>
      <c r="D339">
        <v>79.913749695000007</v>
      </c>
      <c r="E339">
        <v>40</v>
      </c>
      <c r="F339">
        <v>14.99973774</v>
      </c>
      <c r="G339">
        <v>1342.4327393000001</v>
      </c>
      <c r="H339">
        <v>1339.4165039</v>
      </c>
      <c r="I339">
        <v>1319.1729736</v>
      </c>
      <c r="J339">
        <v>1313.6762695</v>
      </c>
      <c r="K339">
        <v>1650</v>
      </c>
      <c r="L339">
        <v>0</v>
      </c>
      <c r="M339">
        <v>0</v>
      </c>
      <c r="N339">
        <v>1650</v>
      </c>
    </row>
    <row r="340" spans="1:14" x14ac:dyDescent="0.25">
      <c r="A340">
        <v>55.267127000000002</v>
      </c>
      <c r="B340" s="1">
        <f>DATE(2010,6,25) + TIME(6,24,39)</f>
        <v>40354.267118055555</v>
      </c>
      <c r="C340">
        <v>80</v>
      </c>
      <c r="D340">
        <v>79.913749695000007</v>
      </c>
      <c r="E340">
        <v>40</v>
      </c>
      <c r="F340">
        <v>14.999741554</v>
      </c>
      <c r="G340">
        <v>1342.4222411999999</v>
      </c>
      <c r="H340">
        <v>1339.4088135</v>
      </c>
      <c r="I340">
        <v>1319.1755370999999</v>
      </c>
      <c r="J340">
        <v>1313.6781006000001</v>
      </c>
      <c r="K340">
        <v>1650</v>
      </c>
      <c r="L340">
        <v>0</v>
      </c>
      <c r="M340">
        <v>0</v>
      </c>
      <c r="N340">
        <v>1650</v>
      </c>
    </row>
    <row r="341" spans="1:14" x14ac:dyDescent="0.25">
      <c r="A341">
        <v>55.808343999999998</v>
      </c>
      <c r="B341" s="1">
        <f>DATE(2010,6,25) + TIME(19,24,0)</f>
        <v>40354.808333333334</v>
      </c>
      <c r="C341">
        <v>80</v>
      </c>
      <c r="D341">
        <v>79.913757324000002</v>
      </c>
      <c r="E341">
        <v>40</v>
      </c>
      <c r="F341">
        <v>14.999745368999999</v>
      </c>
      <c r="G341">
        <v>1342.4117432</v>
      </c>
      <c r="H341">
        <v>1339.401001</v>
      </c>
      <c r="I341">
        <v>1319.1782227000001</v>
      </c>
      <c r="J341">
        <v>1313.6798096</v>
      </c>
      <c r="K341">
        <v>1650</v>
      </c>
      <c r="L341">
        <v>0</v>
      </c>
      <c r="M341">
        <v>0</v>
      </c>
      <c r="N341">
        <v>1650</v>
      </c>
    </row>
    <row r="342" spans="1:14" x14ac:dyDescent="0.25">
      <c r="A342">
        <v>56.357678</v>
      </c>
      <c r="B342" s="1">
        <f>DATE(2010,6,26) + TIME(8,35,3)</f>
        <v>40355.357673611114</v>
      </c>
      <c r="C342">
        <v>80</v>
      </c>
      <c r="D342">
        <v>79.913764954000001</v>
      </c>
      <c r="E342">
        <v>40</v>
      </c>
      <c r="F342">
        <v>14.999749184000001</v>
      </c>
      <c r="G342">
        <v>1342.4011230000001</v>
      </c>
      <c r="H342">
        <v>1339.3933105000001</v>
      </c>
      <c r="I342">
        <v>1319.1809082</v>
      </c>
      <c r="J342">
        <v>1313.6816406</v>
      </c>
      <c r="K342">
        <v>1650</v>
      </c>
      <c r="L342">
        <v>0</v>
      </c>
      <c r="M342">
        <v>0</v>
      </c>
      <c r="N342">
        <v>1650</v>
      </c>
    </row>
    <row r="343" spans="1:14" x14ac:dyDescent="0.25">
      <c r="A343">
        <v>56.916457000000001</v>
      </c>
      <c r="B343" s="1">
        <f>DATE(2010,6,26) + TIME(21,59,41)</f>
        <v>40355.916446759256</v>
      </c>
      <c r="C343">
        <v>80</v>
      </c>
      <c r="D343">
        <v>79.913764954000001</v>
      </c>
      <c r="E343">
        <v>40</v>
      </c>
      <c r="F343">
        <v>14.999754906</v>
      </c>
      <c r="G343">
        <v>1342.3905029</v>
      </c>
      <c r="H343">
        <v>1339.385376</v>
      </c>
      <c r="I343">
        <v>1319.1835937999999</v>
      </c>
      <c r="J343">
        <v>1313.6835937999999</v>
      </c>
      <c r="K343">
        <v>1650</v>
      </c>
      <c r="L343">
        <v>0</v>
      </c>
      <c r="M343">
        <v>0</v>
      </c>
      <c r="N343">
        <v>1650</v>
      </c>
    </row>
    <row r="344" spans="1:14" x14ac:dyDescent="0.25">
      <c r="A344">
        <v>57.486089999999997</v>
      </c>
      <c r="B344" s="1">
        <f>DATE(2010,6,27) + TIME(11,39,58)</f>
        <v>40356.486087962963</v>
      </c>
      <c r="C344">
        <v>80</v>
      </c>
      <c r="D344">
        <v>79.913772582999997</v>
      </c>
      <c r="E344">
        <v>40</v>
      </c>
      <c r="F344">
        <v>14.999760628000001</v>
      </c>
      <c r="G344">
        <v>1342.3798827999999</v>
      </c>
      <c r="H344">
        <v>1339.3775635</v>
      </c>
      <c r="I344">
        <v>1319.1864014</v>
      </c>
      <c r="J344">
        <v>1313.6854248</v>
      </c>
      <c r="K344">
        <v>1650</v>
      </c>
      <c r="L344">
        <v>0</v>
      </c>
      <c r="M344">
        <v>0</v>
      </c>
      <c r="N344">
        <v>1650</v>
      </c>
    </row>
    <row r="345" spans="1:14" x14ac:dyDescent="0.25">
      <c r="A345">
        <v>57.774470999999998</v>
      </c>
      <c r="B345" s="1">
        <f>DATE(2010,6,27) + TIME(18,35,14)</f>
        <v>40356.774467592593</v>
      </c>
      <c r="C345">
        <v>80</v>
      </c>
      <c r="D345">
        <v>79.913757324000002</v>
      </c>
      <c r="E345">
        <v>40</v>
      </c>
      <c r="F345">
        <v>14.999764442</v>
      </c>
      <c r="G345">
        <v>1342.3688964999999</v>
      </c>
      <c r="H345">
        <v>1339.3693848</v>
      </c>
      <c r="I345">
        <v>1319.1892089999999</v>
      </c>
      <c r="J345">
        <v>1313.6873779</v>
      </c>
      <c r="K345">
        <v>1650</v>
      </c>
      <c r="L345">
        <v>0</v>
      </c>
      <c r="M345">
        <v>0</v>
      </c>
      <c r="N345">
        <v>1650</v>
      </c>
    </row>
    <row r="346" spans="1:14" x14ac:dyDescent="0.25">
      <c r="A346">
        <v>58.062851999999999</v>
      </c>
      <c r="B346" s="1">
        <f>DATE(2010,6,28) + TIME(1,30,30)</f>
        <v>40357.062847222223</v>
      </c>
      <c r="C346">
        <v>80</v>
      </c>
      <c r="D346">
        <v>79.913749695000007</v>
      </c>
      <c r="E346">
        <v>40</v>
      </c>
      <c r="F346">
        <v>14.999768256999999</v>
      </c>
      <c r="G346">
        <v>1342.3634033000001</v>
      </c>
      <c r="H346">
        <v>1339.3653564000001</v>
      </c>
      <c r="I346">
        <v>1319.1906738</v>
      </c>
      <c r="J346">
        <v>1313.6883545000001</v>
      </c>
      <c r="K346">
        <v>1650</v>
      </c>
      <c r="L346">
        <v>0</v>
      </c>
      <c r="M346">
        <v>0</v>
      </c>
      <c r="N346">
        <v>1650</v>
      </c>
    </row>
    <row r="347" spans="1:14" x14ac:dyDescent="0.25">
      <c r="A347">
        <v>58.351233000000001</v>
      </c>
      <c r="B347" s="1">
        <f>DATE(2010,6,28) + TIME(8,25,46)</f>
        <v>40357.351226851853</v>
      </c>
      <c r="C347">
        <v>80</v>
      </c>
      <c r="D347">
        <v>79.913749695000007</v>
      </c>
      <c r="E347">
        <v>40</v>
      </c>
      <c r="F347">
        <v>14.999772072000001</v>
      </c>
      <c r="G347">
        <v>1342.3580322</v>
      </c>
      <c r="H347">
        <v>1339.3613281</v>
      </c>
      <c r="I347">
        <v>1319.1921387</v>
      </c>
      <c r="J347">
        <v>1313.6893310999999</v>
      </c>
      <c r="K347">
        <v>1650</v>
      </c>
      <c r="L347">
        <v>0</v>
      </c>
      <c r="M347">
        <v>0</v>
      </c>
      <c r="N347">
        <v>1650</v>
      </c>
    </row>
    <row r="348" spans="1:14" x14ac:dyDescent="0.25">
      <c r="A348">
        <v>58.639133999999999</v>
      </c>
      <c r="B348" s="1">
        <f>DATE(2010,6,28) + TIME(15,20,21)</f>
        <v>40357.639131944445</v>
      </c>
      <c r="C348">
        <v>80</v>
      </c>
      <c r="D348">
        <v>79.913749695000007</v>
      </c>
      <c r="E348">
        <v>40</v>
      </c>
      <c r="F348">
        <v>14.999776839999999</v>
      </c>
      <c r="G348">
        <v>1342.3525391000001</v>
      </c>
      <c r="H348">
        <v>1339.3572998</v>
      </c>
      <c r="I348">
        <v>1319.1936035000001</v>
      </c>
      <c r="J348">
        <v>1313.6903076000001</v>
      </c>
      <c r="K348">
        <v>1650</v>
      </c>
      <c r="L348">
        <v>0</v>
      </c>
      <c r="M348">
        <v>0</v>
      </c>
      <c r="N348">
        <v>1650</v>
      </c>
    </row>
    <row r="349" spans="1:14" x14ac:dyDescent="0.25">
      <c r="A349">
        <v>58.926515999999999</v>
      </c>
      <c r="B349" s="1">
        <f>DATE(2010,6,28) + TIME(22,14,10)</f>
        <v>40357.926504629628</v>
      </c>
      <c r="C349">
        <v>80</v>
      </c>
      <c r="D349">
        <v>79.913749695000007</v>
      </c>
      <c r="E349">
        <v>40</v>
      </c>
      <c r="F349">
        <v>14.999781608999999</v>
      </c>
      <c r="G349">
        <v>1342.347168</v>
      </c>
      <c r="H349">
        <v>1339.3532714999999</v>
      </c>
      <c r="I349">
        <v>1319.1951904</v>
      </c>
      <c r="J349">
        <v>1313.6914062000001</v>
      </c>
      <c r="K349">
        <v>1650</v>
      </c>
      <c r="L349">
        <v>0</v>
      </c>
      <c r="M349">
        <v>0</v>
      </c>
      <c r="N349">
        <v>1650</v>
      </c>
    </row>
    <row r="350" spans="1:14" x14ac:dyDescent="0.25">
      <c r="A350">
        <v>59.213557999999999</v>
      </c>
      <c r="B350" s="1">
        <f>DATE(2010,6,29) + TIME(5,7,31)</f>
        <v>40358.213553240741</v>
      </c>
      <c r="C350">
        <v>80</v>
      </c>
      <c r="D350">
        <v>79.913749695000007</v>
      </c>
      <c r="E350">
        <v>40</v>
      </c>
      <c r="F350">
        <v>14.999786377</v>
      </c>
      <c r="G350">
        <v>1342.3419189000001</v>
      </c>
      <c r="H350">
        <v>1339.3493652</v>
      </c>
      <c r="I350">
        <v>1319.1966553</v>
      </c>
      <c r="J350">
        <v>1313.6923827999999</v>
      </c>
      <c r="K350">
        <v>1650</v>
      </c>
      <c r="L350">
        <v>0</v>
      </c>
      <c r="M350">
        <v>0</v>
      </c>
      <c r="N350">
        <v>1650</v>
      </c>
    </row>
    <row r="351" spans="1:14" x14ac:dyDescent="0.25">
      <c r="A351">
        <v>59.500436999999998</v>
      </c>
      <c r="B351" s="1">
        <f>DATE(2010,6,29) + TIME(12,0,37)</f>
        <v>40358.500428240739</v>
      </c>
      <c r="C351">
        <v>80</v>
      </c>
      <c r="D351">
        <v>79.913749695000007</v>
      </c>
      <c r="E351">
        <v>40</v>
      </c>
      <c r="F351">
        <v>14.999791145</v>
      </c>
      <c r="G351">
        <v>1342.3365478999999</v>
      </c>
      <c r="H351">
        <v>1339.3454589999999</v>
      </c>
      <c r="I351">
        <v>1319.1981201000001</v>
      </c>
      <c r="J351">
        <v>1313.6933594</v>
      </c>
      <c r="K351">
        <v>1650</v>
      </c>
      <c r="L351">
        <v>0</v>
      </c>
      <c r="M351">
        <v>0</v>
      </c>
      <c r="N351">
        <v>1650</v>
      </c>
    </row>
    <row r="352" spans="1:14" x14ac:dyDescent="0.25">
      <c r="A352">
        <v>59.787311000000003</v>
      </c>
      <c r="B352" s="1">
        <f>DATE(2010,6,29) + TIME(18,53,43)</f>
        <v>40358.787303240744</v>
      </c>
      <c r="C352">
        <v>80</v>
      </c>
      <c r="D352">
        <v>79.913749695000007</v>
      </c>
      <c r="E352">
        <v>40</v>
      </c>
      <c r="F352">
        <v>14.999796867000001</v>
      </c>
      <c r="G352">
        <v>1342.3312988</v>
      </c>
      <c r="H352">
        <v>1339.3414307</v>
      </c>
      <c r="I352">
        <v>1319.1995850000001</v>
      </c>
      <c r="J352">
        <v>1313.6943358999999</v>
      </c>
      <c r="K352">
        <v>1650</v>
      </c>
      <c r="L352">
        <v>0</v>
      </c>
      <c r="M352">
        <v>0</v>
      </c>
      <c r="N352">
        <v>1650</v>
      </c>
    </row>
    <row r="353" spans="1:14" x14ac:dyDescent="0.25">
      <c r="A353">
        <v>60.074185</v>
      </c>
      <c r="B353" s="1">
        <f>DATE(2010,6,30) + TIME(1,46,49)</f>
        <v>40359.074178240742</v>
      </c>
      <c r="C353">
        <v>80</v>
      </c>
      <c r="D353">
        <v>79.913757324000002</v>
      </c>
      <c r="E353">
        <v>40</v>
      </c>
      <c r="F353">
        <v>14.999802589</v>
      </c>
      <c r="G353">
        <v>1342.3260498</v>
      </c>
      <c r="H353">
        <v>1339.3375243999999</v>
      </c>
      <c r="I353">
        <v>1319.2011719</v>
      </c>
      <c r="J353">
        <v>1313.6954346</v>
      </c>
      <c r="K353">
        <v>1650</v>
      </c>
      <c r="L353">
        <v>0</v>
      </c>
      <c r="M353">
        <v>0</v>
      </c>
      <c r="N353">
        <v>1650</v>
      </c>
    </row>
    <row r="354" spans="1:14" x14ac:dyDescent="0.25">
      <c r="A354">
        <v>60.361058999999997</v>
      </c>
      <c r="B354" s="1">
        <f>DATE(2010,6,30) + TIME(8,39,55)</f>
        <v>40359.36105324074</v>
      </c>
      <c r="C354">
        <v>80</v>
      </c>
      <c r="D354">
        <v>79.913757324000002</v>
      </c>
      <c r="E354">
        <v>40</v>
      </c>
      <c r="F354">
        <v>14.999808311000001</v>
      </c>
      <c r="G354">
        <v>1342.3208007999999</v>
      </c>
      <c r="H354">
        <v>1339.3337402</v>
      </c>
      <c r="I354">
        <v>1319.2026367000001</v>
      </c>
      <c r="J354">
        <v>1313.6964111</v>
      </c>
      <c r="K354">
        <v>1650</v>
      </c>
      <c r="L354">
        <v>0</v>
      </c>
      <c r="M354">
        <v>0</v>
      </c>
      <c r="N354">
        <v>1650</v>
      </c>
    </row>
    <row r="355" spans="1:14" x14ac:dyDescent="0.25">
      <c r="A355">
        <v>60.647933000000002</v>
      </c>
      <c r="B355" s="1">
        <f>DATE(2010,6,30) + TIME(15,33,1)</f>
        <v>40359.647928240738</v>
      </c>
      <c r="C355">
        <v>80</v>
      </c>
      <c r="D355">
        <v>79.913757324000002</v>
      </c>
      <c r="E355">
        <v>40</v>
      </c>
      <c r="F355">
        <v>14.999814987000001</v>
      </c>
      <c r="G355">
        <v>1342.3155518000001</v>
      </c>
      <c r="H355">
        <v>1339.3298339999999</v>
      </c>
      <c r="I355">
        <v>1319.2042236</v>
      </c>
      <c r="J355">
        <v>1313.6975098</v>
      </c>
      <c r="K355">
        <v>1650</v>
      </c>
      <c r="L355">
        <v>0</v>
      </c>
      <c r="M355">
        <v>0</v>
      </c>
      <c r="N355">
        <v>1650</v>
      </c>
    </row>
    <row r="356" spans="1:14" x14ac:dyDescent="0.25">
      <c r="A356">
        <v>61</v>
      </c>
      <c r="B356" s="1">
        <f>DATE(2010,7,1) + TIME(0,0,0)</f>
        <v>40360</v>
      </c>
      <c r="C356">
        <v>80</v>
      </c>
      <c r="D356">
        <v>79.913764954000001</v>
      </c>
      <c r="E356">
        <v>40</v>
      </c>
      <c r="F356">
        <v>14.99982357</v>
      </c>
      <c r="G356">
        <v>1342.3104248</v>
      </c>
      <c r="H356">
        <v>1339.3259277</v>
      </c>
      <c r="I356">
        <v>1319.2056885</v>
      </c>
      <c r="J356">
        <v>1313.6984863</v>
      </c>
      <c r="K356">
        <v>1650</v>
      </c>
      <c r="L356">
        <v>0</v>
      </c>
      <c r="M356">
        <v>0</v>
      </c>
      <c r="N356">
        <v>1650</v>
      </c>
    </row>
    <row r="357" spans="1:14" x14ac:dyDescent="0.25">
      <c r="A357">
        <v>61.286873999999997</v>
      </c>
      <c r="B357" s="1">
        <f>DATE(2010,7,1) + TIME(6,53,5)</f>
        <v>40360.286863425928</v>
      </c>
      <c r="C357">
        <v>80</v>
      </c>
      <c r="D357">
        <v>79.913772582999997</v>
      </c>
      <c r="E357">
        <v>40</v>
      </c>
      <c r="F357">
        <v>14.999831199999999</v>
      </c>
      <c r="G357">
        <v>1342.3040771000001</v>
      </c>
      <c r="H357">
        <v>1339.3211670000001</v>
      </c>
      <c r="I357">
        <v>1319.2076416</v>
      </c>
      <c r="J357">
        <v>1313.699707</v>
      </c>
      <c r="K357">
        <v>1650</v>
      </c>
      <c r="L357">
        <v>0</v>
      </c>
      <c r="M357">
        <v>0</v>
      </c>
      <c r="N357">
        <v>1650</v>
      </c>
    </row>
    <row r="358" spans="1:14" x14ac:dyDescent="0.25">
      <c r="A358">
        <v>61.860621999999999</v>
      </c>
      <c r="B358" s="1">
        <f>DATE(2010,7,1) + TIME(20,39,17)</f>
        <v>40360.860613425924</v>
      </c>
      <c r="C358">
        <v>80</v>
      </c>
      <c r="D358">
        <v>79.913795471</v>
      </c>
      <c r="E358">
        <v>40</v>
      </c>
      <c r="F358">
        <v>14.999845505</v>
      </c>
      <c r="G358">
        <v>1342.2989502</v>
      </c>
      <c r="H358">
        <v>1339.3175048999999</v>
      </c>
      <c r="I358">
        <v>1319.2092285000001</v>
      </c>
      <c r="J358">
        <v>1313.7008057</v>
      </c>
      <c r="K358">
        <v>1650</v>
      </c>
      <c r="L358">
        <v>0</v>
      </c>
      <c r="M358">
        <v>0</v>
      </c>
      <c r="N358">
        <v>1650</v>
      </c>
    </row>
    <row r="359" spans="1:14" x14ac:dyDescent="0.25">
      <c r="A359">
        <v>62.435827000000003</v>
      </c>
      <c r="B359" s="1">
        <f>DATE(2010,7,2) + TIME(10,27,35)</f>
        <v>40361.43582175926</v>
      </c>
      <c r="C359">
        <v>80</v>
      </c>
      <c r="D359">
        <v>79.913810729999994</v>
      </c>
      <c r="E359">
        <v>40</v>
      </c>
      <c r="F359">
        <v>14.999861717</v>
      </c>
      <c r="G359">
        <v>1342.2888184000001</v>
      </c>
      <c r="H359">
        <v>1339.3099365</v>
      </c>
      <c r="I359">
        <v>1319.2122803</v>
      </c>
      <c r="J359">
        <v>1313.7028809000001</v>
      </c>
      <c r="K359">
        <v>1650</v>
      </c>
      <c r="L359">
        <v>0</v>
      </c>
      <c r="M359">
        <v>0</v>
      </c>
      <c r="N359">
        <v>1650</v>
      </c>
    </row>
    <row r="360" spans="1:14" x14ac:dyDescent="0.25">
      <c r="A360">
        <v>63.017676999999999</v>
      </c>
      <c r="B360" s="1">
        <f>DATE(2010,7,3) + TIME(0,25,27)</f>
        <v>40362.01767361111</v>
      </c>
      <c r="C360">
        <v>80</v>
      </c>
      <c r="D360">
        <v>79.913825989000003</v>
      </c>
      <c r="E360">
        <v>40</v>
      </c>
      <c r="F360">
        <v>14.999881744</v>
      </c>
      <c r="G360">
        <v>1342.2785644999999</v>
      </c>
      <c r="H360">
        <v>1339.3023682</v>
      </c>
      <c r="I360">
        <v>1319.2154541</v>
      </c>
      <c r="J360">
        <v>1313.7050781</v>
      </c>
      <c r="K360">
        <v>1650</v>
      </c>
      <c r="L360">
        <v>0</v>
      </c>
      <c r="M360">
        <v>0</v>
      </c>
      <c r="N360">
        <v>1650</v>
      </c>
    </row>
    <row r="361" spans="1:14" x14ac:dyDescent="0.25">
      <c r="A361">
        <v>63.607487999999996</v>
      </c>
      <c r="B361" s="1">
        <f>DATE(2010,7,3) + TIME(14,34,46)</f>
        <v>40362.607476851852</v>
      </c>
      <c r="C361">
        <v>80</v>
      </c>
      <c r="D361">
        <v>79.913841247999997</v>
      </c>
      <c r="E361">
        <v>40</v>
      </c>
      <c r="F361">
        <v>14.999905586000001</v>
      </c>
      <c r="G361">
        <v>1342.2683105000001</v>
      </c>
      <c r="H361">
        <v>1339.2947998</v>
      </c>
      <c r="I361">
        <v>1319.2186279</v>
      </c>
      <c r="J361">
        <v>1313.7071533000001</v>
      </c>
      <c r="K361">
        <v>1650</v>
      </c>
      <c r="L361">
        <v>0</v>
      </c>
      <c r="M361">
        <v>0</v>
      </c>
      <c r="N361">
        <v>1650</v>
      </c>
    </row>
    <row r="362" spans="1:14" x14ac:dyDescent="0.25">
      <c r="A362">
        <v>64.206684999999993</v>
      </c>
      <c r="B362" s="1">
        <f>DATE(2010,7,4) + TIME(4,57,37)</f>
        <v>40363.206678240742</v>
      </c>
      <c r="C362">
        <v>80</v>
      </c>
      <c r="D362">
        <v>79.913856506000002</v>
      </c>
      <c r="E362">
        <v>40</v>
      </c>
      <c r="F362">
        <v>14.999934196</v>
      </c>
      <c r="G362">
        <v>1342.2580565999999</v>
      </c>
      <c r="H362">
        <v>1339.2871094</v>
      </c>
      <c r="I362">
        <v>1319.2219238</v>
      </c>
      <c r="J362">
        <v>1313.7093506000001</v>
      </c>
      <c r="K362">
        <v>1650</v>
      </c>
      <c r="L362">
        <v>0</v>
      </c>
      <c r="M362">
        <v>0</v>
      </c>
      <c r="N362">
        <v>1650</v>
      </c>
    </row>
    <row r="363" spans="1:14" x14ac:dyDescent="0.25">
      <c r="A363">
        <v>64.816796999999994</v>
      </c>
      <c r="B363" s="1">
        <f>DATE(2010,7,4) + TIME(19,36,11)</f>
        <v>40363.816793981481</v>
      </c>
      <c r="C363">
        <v>80</v>
      </c>
      <c r="D363">
        <v>79.913871764999996</v>
      </c>
      <c r="E363">
        <v>40</v>
      </c>
      <c r="F363">
        <v>14.999967574999999</v>
      </c>
      <c r="G363">
        <v>1342.2476807</v>
      </c>
      <c r="H363">
        <v>1339.2794189000001</v>
      </c>
      <c r="I363">
        <v>1319.2253418</v>
      </c>
      <c r="J363">
        <v>1313.7116699000001</v>
      </c>
      <c r="K363">
        <v>1650</v>
      </c>
      <c r="L363">
        <v>0</v>
      </c>
      <c r="M363">
        <v>0</v>
      </c>
      <c r="N363">
        <v>1650</v>
      </c>
    </row>
    <row r="364" spans="1:14" x14ac:dyDescent="0.25">
      <c r="A364">
        <v>65.435423999999998</v>
      </c>
      <c r="B364" s="1">
        <f>DATE(2010,7,5) + TIME(10,27,0)</f>
        <v>40364.435416666667</v>
      </c>
      <c r="C364">
        <v>80</v>
      </c>
      <c r="D364">
        <v>79.913879394999995</v>
      </c>
      <c r="E364">
        <v>40</v>
      </c>
      <c r="F364">
        <v>15.000006676</v>
      </c>
      <c r="G364">
        <v>1342.2373047000001</v>
      </c>
      <c r="H364">
        <v>1339.2716064000001</v>
      </c>
      <c r="I364">
        <v>1319.2287598</v>
      </c>
      <c r="J364">
        <v>1313.7138672000001</v>
      </c>
      <c r="K364">
        <v>1650</v>
      </c>
      <c r="L364">
        <v>0</v>
      </c>
      <c r="M364">
        <v>0</v>
      </c>
      <c r="N364">
        <v>1650</v>
      </c>
    </row>
    <row r="365" spans="1:14" x14ac:dyDescent="0.25">
      <c r="A365">
        <v>65.747076000000007</v>
      </c>
      <c r="B365" s="1">
        <f>DATE(2010,7,5) + TIME(17,55,47)</f>
        <v>40364.747071759259</v>
      </c>
      <c r="C365">
        <v>80</v>
      </c>
      <c r="D365">
        <v>79.913879394999995</v>
      </c>
      <c r="E365">
        <v>40</v>
      </c>
      <c r="F365">
        <v>15.000034332</v>
      </c>
      <c r="G365">
        <v>1342.2265625</v>
      </c>
      <c r="H365">
        <v>1339.2636719</v>
      </c>
      <c r="I365">
        <v>1319.2322998</v>
      </c>
      <c r="J365">
        <v>1313.7161865</v>
      </c>
      <c r="K365">
        <v>1650</v>
      </c>
      <c r="L365">
        <v>0</v>
      </c>
      <c r="M365">
        <v>0</v>
      </c>
      <c r="N365">
        <v>1650</v>
      </c>
    </row>
    <row r="366" spans="1:14" x14ac:dyDescent="0.25">
      <c r="A366">
        <v>66.058201999999994</v>
      </c>
      <c r="B366" s="1">
        <f>DATE(2010,7,6) + TIME(1,23,48)</f>
        <v>40365.058194444442</v>
      </c>
      <c r="C366">
        <v>80</v>
      </c>
      <c r="D366">
        <v>79.913871764999996</v>
      </c>
      <c r="E366">
        <v>40</v>
      </c>
      <c r="F366">
        <v>15.000063896</v>
      </c>
      <c r="G366">
        <v>1342.2213135</v>
      </c>
      <c r="H366">
        <v>1339.2596435999999</v>
      </c>
      <c r="I366">
        <v>1319.2341309000001</v>
      </c>
      <c r="J366">
        <v>1313.7174072</v>
      </c>
      <c r="K366">
        <v>1650</v>
      </c>
      <c r="L366">
        <v>0</v>
      </c>
      <c r="M366">
        <v>0</v>
      </c>
      <c r="N366">
        <v>1650</v>
      </c>
    </row>
    <row r="367" spans="1:14" x14ac:dyDescent="0.25">
      <c r="A367">
        <v>66.368620000000007</v>
      </c>
      <c r="B367" s="1">
        <f>DATE(2010,7,6) + TIME(8,50,48)</f>
        <v>40365.368611111109</v>
      </c>
      <c r="C367">
        <v>80</v>
      </c>
      <c r="D367">
        <v>79.913879394999995</v>
      </c>
      <c r="E367">
        <v>40</v>
      </c>
      <c r="F367">
        <v>15.000094413999999</v>
      </c>
      <c r="G367">
        <v>1342.2160644999999</v>
      </c>
      <c r="H367">
        <v>1339.2557373</v>
      </c>
      <c r="I367">
        <v>1319.2359618999999</v>
      </c>
      <c r="J367">
        <v>1313.7186279</v>
      </c>
      <c r="K367">
        <v>1650</v>
      </c>
      <c r="L367">
        <v>0</v>
      </c>
      <c r="M367">
        <v>0</v>
      </c>
      <c r="N367">
        <v>1650</v>
      </c>
    </row>
    <row r="368" spans="1:14" x14ac:dyDescent="0.25">
      <c r="A368">
        <v>66.678522000000001</v>
      </c>
      <c r="B368" s="1">
        <f>DATE(2010,7,6) + TIME(16,17,4)</f>
        <v>40365.678518518522</v>
      </c>
      <c r="C368">
        <v>80</v>
      </c>
      <c r="D368">
        <v>79.913879394999995</v>
      </c>
      <c r="E368">
        <v>40</v>
      </c>
      <c r="F368">
        <v>15.000126839</v>
      </c>
      <c r="G368">
        <v>1342.2108154</v>
      </c>
      <c r="H368">
        <v>1339.2518310999999</v>
      </c>
      <c r="I368">
        <v>1319.237793</v>
      </c>
      <c r="J368">
        <v>1313.7198486</v>
      </c>
      <c r="K368">
        <v>1650</v>
      </c>
      <c r="L368">
        <v>0</v>
      </c>
      <c r="M368">
        <v>0</v>
      </c>
      <c r="N368">
        <v>1650</v>
      </c>
    </row>
    <row r="369" spans="1:14" x14ac:dyDescent="0.25">
      <c r="A369">
        <v>66.988104000000007</v>
      </c>
      <c r="B369" s="1">
        <f>DATE(2010,7,6) + TIME(23,42,52)</f>
        <v>40365.98810185185</v>
      </c>
      <c r="C369">
        <v>80</v>
      </c>
      <c r="D369">
        <v>79.913887024000005</v>
      </c>
      <c r="E369">
        <v>40</v>
      </c>
      <c r="F369">
        <v>15.000162124999999</v>
      </c>
      <c r="G369">
        <v>1342.2056885</v>
      </c>
      <c r="H369">
        <v>1339.2480469</v>
      </c>
      <c r="I369">
        <v>1319.239624</v>
      </c>
      <c r="J369">
        <v>1313.7210693</v>
      </c>
      <c r="K369">
        <v>1650</v>
      </c>
      <c r="L369">
        <v>0</v>
      </c>
      <c r="M369">
        <v>0</v>
      </c>
      <c r="N369">
        <v>1650</v>
      </c>
    </row>
    <row r="370" spans="1:14" x14ac:dyDescent="0.25">
      <c r="A370">
        <v>67.297555000000003</v>
      </c>
      <c r="B370" s="1">
        <f>DATE(2010,7,7) + TIME(7,8,28)</f>
        <v>40366.297546296293</v>
      </c>
      <c r="C370">
        <v>80</v>
      </c>
      <c r="D370">
        <v>79.913887024000005</v>
      </c>
      <c r="E370">
        <v>40</v>
      </c>
      <c r="F370">
        <v>15.000199318</v>
      </c>
      <c r="G370">
        <v>1342.2005615</v>
      </c>
      <c r="H370">
        <v>1339.2441406</v>
      </c>
      <c r="I370">
        <v>1319.2414550999999</v>
      </c>
      <c r="J370">
        <v>1313.7222899999999</v>
      </c>
      <c r="K370">
        <v>1650</v>
      </c>
      <c r="L370">
        <v>0</v>
      </c>
      <c r="M370">
        <v>0</v>
      </c>
      <c r="N370">
        <v>1650</v>
      </c>
    </row>
    <row r="371" spans="1:14" x14ac:dyDescent="0.25">
      <c r="A371">
        <v>67.607005000000001</v>
      </c>
      <c r="B371" s="1">
        <f>DATE(2010,7,7) + TIME(14,34,5)</f>
        <v>40366.607002314813</v>
      </c>
      <c r="C371">
        <v>80</v>
      </c>
      <c r="D371">
        <v>79.913894653</v>
      </c>
      <c r="E371">
        <v>40</v>
      </c>
      <c r="F371">
        <v>15.000239371999999</v>
      </c>
      <c r="G371">
        <v>1342.1954346</v>
      </c>
      <c r="H371">
        <v>1339.2403564000001</v>
      </c>
      <c r="I371">
        <v>1319.2434082</v>
      </c>
      <c r="J371">
        <v>1313.7235106999999</v>
      </c>
      <c r="K371">
        <v>1650</v>
      </c>
      <c r="L371">
        <v>0</v>
      </c>
      <c r="M371">
        <v>0</v>
      </c>
      <c r="N371">
        <v>1650</v>
      </c>
    </row>
    <row r="372" spans="1:14" x14ac:dyDescent="0.25">
      <c r="A372">
        <v>67.916455999999997</v>
      </c>
      <c r="B372" s="1">
        <f>DATE(2010,7,7) + TIME(21,59,41)</f>
        <v>40366.916446759256</v>
      </c>
      <c r="C372">
        <v>80</v>
      </c>
      <c r="D372">
        <v>79.913902282999999</v>
      </c>
      <c r="E372">
        <v>40</v>
      </c>
      <c r="F372">
        <v>15.000282287999999</v>
      </c>
      <c r="G372">
        <v>1342.1903076000001</v>
      </c>
      <c r="H372">
        <v>1339.2364502</v>
      </c>
      <c r="I372">
        <v>1319.2452393000001</v>
      </c>
      <c r="J372">
        <v>1313.7247314000001</v>
      </c>
      <c r="K372">
        <v>1650</v>
      </c>
      <c r="L372">
        <v>0</v>
      </c>
      <c r="M372">
        <v>0</v>
      </c>
      <c r="N372">
        <v>1650</v>
      </c>
    </row>
    <row r="373" spans="1:14" x14ac:dyDescent="0.25">
      <c r="A373">
        <v>68.225907000000007</v>
      </c>
      <c r="B373" s="1">
        <f>DATE(2010,7,8) + TIME(5,25,18)</f>
        <v>40367.225902777776</v>
      </c>
      <c r="C373">
        <v>80</v>
      </c>
      <c r="D373">
        <v>79.913909911999994</v>
      </c>
      <c r="E373">
        <v>40</v>
      </c>
      <c r="F373">
        <v>15.000329018</v>
      </c>
      <c r="G373">
        <v>1342.1851807</v>
      </c>
      <c r="H373">
        <v>1339.2326660000001</v>
      </c>
      <c r="I373">
        <v>1319.2470702999999</v>
      </c>
      <c r="J373">
        <v>1313.7259521000001</v>
      </c>
      <c r="K373">
        <v>1650</v>
      </c>
      <c r="L373">
        <v>0</v>
      </c>
      <c r="M373">
        <v>0</v>
      </c>
      <c r="N373">
        <v>1650</v>
      </c>
    </row>
    <row r="374" spans="1:14" x14ac:dyDescent="0.25">
      <c r="A374">
        <v>68.535357000000005</v>
      </c>
      <c r="B374" s="1">
        <f>DATE(2010,7,8) + TIME(12,50,54)</f>
        <v>40367.53534722222</v>
      </c>
      <c r="C374">
        <v>80</v>
      </c>
      <c r="D374">
        <v>79.913917541999993</v>
      </c>
      <c r="E374">
        <v>40</v>
      </c>
      <c r="F374">
        <v>15.000378609</v>
      </c>
      <c r="G374">
        <v>1342.1801757999999</v>
      </c>
      <c r="H374">
        <v>1339.2288818</v>
      </c>
      <c r="I374">
        <v>1319.2490233999999</v>
      </c>
      <c r="J374">
        <v>1313.7271728999999</v>
      </c>
      <c r="K374">
        <v>1650</v>
      </c>
      <c r="L374">
        <v>0</v>
      </c>
      <c r="M374">
        <v>0</v>
      </c>
      <c r="N374">
        <v>1650</v>
      </c>
    </row>
    <row r="375" spans="1:14" x14ac:dyDescent="0.25">
      <c r="A375">
        <v>68.844808</v>
      </c>
      <c r="B375" s="1">
        <f>DATE(2010,7,8) + TIME(20,16,31)</f>
        <v>40367.84480324074</v>
      </c>
      <c r="C375">
        <v>80</v>
      </c>
      <c r="D375">
        <v>79.913925171000002</v>
      </c>
      <c r="E375">
        <v>40</v>
      </c>
      <c r="F375">
        <v>15.000432013999999</v>
      </c>
      <c r="G375">
        <v>1342.1750488</v>
      </c>
      <c r="H375">
        <v>1339.2250977000001</v>
      </c>
      <c r="I375">
        <v>1319.2508545000001</v>
      </c>
      <c r="J375">
        <v>1313.7283935999999</v>
      </c>
      <c r="K375">
        <v>1650</v>
      </c>
      <c r="L375">
        <v>0</v>
      </c>
      <c r="M375">
        <v>0</v>
      </c>
      <c r="N375">
        <v>1650</v>
      </c>
    </row>
    <row r="376" spans="1:14" x14ac:dyDescent="0.25">
      <c r="A376">
        <v>69.154258999999996</v>
      </c>
      <c r="B376" s="1">
        <f>DATE(2010,7,9) + TIME(3,42,7)</f>
        <v>40368.154247685183</v>
      </c>
      <c r="C376">
        <v>80</v>
      </c>
      <c r="D376">
        <v>79.913932799999998</v>
      </c>
      <c r="E376">
        <v>40</v>
      </c>
      <c r="F376">
        <v>15.000490189000001</v>
      </c>
      <c r="G376">
        <v>1342.1700439000001</v>
      </c>
      <c r="H376">
        <v>1339.2213135</v>
      </c>
      <c r="I376">
        <v>1319.2528076000001</v>
      </c>
      <c r="J376">
        <v>1313.7296143000001</v>
      </c>
      <c r="K376">
        <v>1650</v>
      </c>
      <c r="L376">
        <v>0</v>
      </c>
      <c r="M376">
        <v>0</v>
      </c>
      <c r="N376">
        <v>1650</v>
      </c>
    </row>
    <row r="377" spans="1:14" x14ac:dyDescent="0.25">
      <c r="A377">
        <v>69.773160000000004</v>
      </c>
      <c r="B377" s="1">
        <f>DATE(2010,7,9) + TIME(18,33,21)</f>
        <v>40368.773159722223</v>
      </c>
      <c r="C377">
        <v>80</v>
      </c>
      <c r="D377">
        <v>79.913970946999996</v>
      </c>
      <c r="E377">
        <v>40</v>
      </c>
      <c r="F377">
        <v>15.000594139</v>
      </c>
      <c r="G377">
        <v>1342.1651611</v>
      </c>
      <c r="H377">
        <v>1339.2176514</v>
      </c>
      <c r="I377">
        <v>1319.2547606999999</v>
      </c>
      <c r="J377">
        <v>1313.730957</v>
      </c>
      <c r="K377">
        <v>1650</v>
      </c>
      <c r="L377">
        <v>0</v>
      </c>
      <c r="M377">
        <v>0</v>
      </c>
      <c r="N377">
        <v>1650</v>
      </c>
    </row>
    <row r="378" spans="1:14" x14ac:dyDescent="0.25">
      <c r="A378">
        <v>70.393748000000002</v>
      </c>
      <c r="B378" s="1">
        <f>DATE(2010,7,10) + TIME(9,26,59)</f>
        <v>40369.393738425926</v>
      </c>
      <c r="C378">
        <v>80</v>
      </c>
      <c r="D378">
        <v>79.913993834999999</v>
      </c>
      <c r="E378">
        <v>40</v>
      </c>
      <c r="F378">
        <v>15.000720978</v>
      </c>
      <c r="G378">
        <v>1342.1551514</v>
      </c>
      <c r="H378">
        <v>1339.2102050999999</v>
      </c>
      <c r="I378">
        <v>1319.2586670000001</v>
      </c>
      <c r="J378">
        <v>1313.7335204999999</v>
      </c>
      <c r="K378">
        <v>1650</v>
      </c>
      <c r="L378">
        <v>0</v>
      </c>
      <c r="M378">
        <v>0</v>
      </c>
      <c r="N378">
        <v>1650</v>
      </c>
    </row>
    <row r="379" spans="1:14" x14ac:dyDescent="0.25">
      <c r="A379">
        <v>71.021669000000003</v>
      </c>
      <c r="B379" s="1">
        <f>DATE(2010,7,11) + TIME(0,31,12)</f>
        <v>40370.021666666667</v>
      </c>
      <c r="C379">
        <v>80</v>
      </c>
      <c r="D379">
        <v>79.914016724000007</v>
      </c>
      <c r="E379">
        <v>40</v>
      </c>
      <c r="F379">
        <v>15.000874519</v>
      </c>
      <c r="G379">
        <v>1342.1452637</v>
      </c>
      <c r="H379">
        <v>1339.2027588000001</v>
      </c>
      <c r="I379">
        <v>1319.2625731999999</v>
      </c>
      <c r="J379">
        <v>1313.7360839999999</v>
      </c>
      <c r="K379">
        <v>1650</v>
      </c>
      <c r="L379">
        <v>0</v>
      </c>
      <c r="M379">
        <v>0</v>
      </c>
      <c r="N379">
        <v>1650</v>
      </c>
    </row>
    <row r="380" spans="1:14" x14ac:dyDescent="0.25">
      <c r="A380">
        <v>71.658383000000001</v>
      </c>
      <c r="B380" s="1">
        <f>DATE(2010,7,11) + TIME(15,48,4)</f>
        <v>40370.658379629633</v>
      </c>
      <c r="C380">
        <v>80</v>
      </c>
      <c r="D380">
        <v>79.914039611999996</v>
      </c>
      <c r="E380">
        <v>40</v>
      </c>
      <c r="F380">
        <v>15.001055717</v>
      </c>
      <c r="G380">
        <v>1342.135376</v>
      </c>
      <c r="H380">
        <v>1339.1953125</v>
      </c>
      <c r="I380">
        <v>1319.2666016000001</v>
      </c>
      <c r="J380">
        <v>1313.7386475000001</v>
      </c>
      <c r="K380">
        <v>1650</v>
      </c>
      <c r="L380">
        <v>0</v>
      </c>
      <c r="M380">
        <v>0</v>
      </c>
      <c r="N380">
        <v>1650</v>
      </c>
    </row>
    <row r="381" spans="1:14" x14ac:dyDescent="0.25">
      <c r="A381">
        <v>72.305482999999995</v>
      </c>
      <c r="B381" s="1">
        <f>DATE(2010,7,12) + TIME(7,19,53)</f>
        <v>40371.305474537039</v>
      </c>
      <c r="C381">
        <v>80</v>
      </c>
      <c r="D381">
        <v>79.9140625</v>
      </c>
      <c r="E381">
        <v>40</v>
      </c>
      <c r="F381">
        <v>15.001270293999999</v>
      </c>
      <c r="G381">
        <v>1342.1252440999999</v>
      </c>
      <c r="H381">
        <v>1339.1878661999999</v>
      </c>
      <c r="I381">
        <v>1319.2707519999999</v>
      </c>
      <c r="J381">
        <v>1313.7413329999999</v>
      </c>
      <c r="K381">
        <v>1650</v>
      </c>
      <c r="L381">
        <v>0</v>
      </c>
      <c r="M381">
        <v>0</v>
      </c>
      <c r="N381">
        <v>1650</v>
      </c>
    </row>
    <row r="382" spans="1:14" x14ac:dyDescent="0.25">
      <c r="A382">
        <v>72.962689999999995</v>
      </c>
      <c r="B382" s="1">
        <f>DATE(2010,7,12) + TIME(23,6,16)</f>
        <v>40371.962685185186</v>
      </c>
      <c r="C382">
        <v>80</v>
      </c>
      <c r="D382">
        <v>79.914085388000004</v>
      </c>
      <c r="E382">
        <v>40</v>
      </c>
      <c r="F382">
        <v>15.001523971999999</v>
      </c>
      <c r="G382">
        <v>1342.1152344</v>
      </c>
      <c r="H382">
        <v>1339.1801757999999</v>
      </c>
      <c r="I382">
        <v>1319.2750243999999</v>
      </c>
      <c r="J382">
        <v>1313.7440185999999</v>
      </c>
      <c r="K382">
        <v>1650</v>
      </c>
      <c r="L382">
        <v>0</v>
      </c>
      <c r="M382">
        <v>0</v>
      </c>
      <c r="N382">
        <v>1650</v>
      </c>
    </row>
    <row r="383" spans="1:14" x14ac:dyDescent="0.25">
      <c r="A383">
        <v>73.626727000000002</v>
      </c>
      <c r="B383" s="1">
        <f>DATE(2010,7,13) + TIME(15,2,29)</f>
        <v>40372.62672453704</v>
      </c>
      <c r="C383">
        <v>80</v>
      </c>
      <c r="D383">
        <v>79.914108275999993</v>
      </c>
      <c r="E383">
        <v>40</v>
      </c>
      <c r="F383">
        <v>15.001822472000001</v>
      </c>
      <c r="G383">
        <v>1342.1049805</v>
      </c>
      <c r="H383">
        <v>1339.1726074000001</v>
      </c>
      <c r="I383">
        <v>1319.2794189000001</v>
      </c>
      <c r="J383">
        <v>1313.7468262</v>
      </c>
      <c r="K383">
        <v>1650</v>
      </c>
      <c r="L383">
        <v>0</v>
      </c>
      <c r="M383">
        <v>0</v>
      </c>
      <c r="N383">
        <v>1650</v>
      </c>
    </row>
    <row r="384" spans="1:14" x14ac:dyDescent="0.25">
      <c r="A384">
        <v>73.961434999999994</v>
      </c>
      <c r="B384" s="1">
        <f>DATE(2010,7,13) + TIME(23,4,28)</f>
        <v>40372.961435185185</v>
      </c>
      <c r="C384">
        <v>80</v>
      </c>
      <c r="D384">
        <v>79.914108275999993</v>
      </c>
      <c r="E384">
        <v>40</v>
      </c>
      <c r="F384">
        <v>15.002033234000001</v>
      </c>
      <c r="G384">
        <v>1342.0946045000001</v>
      </c>
      <c r="H384">
        <v>1339.1647949000001</v>
      </c>
      <c r="I384">
        <v>1319.2839355000001</v>
      </c>
      <c r="J384">
        <v>1313.7497559000001</v>
      </c>
      <c r="K384">
        <v>1650</v>
      </c>
      <c r="L384">
        <v>0</v>
      </c>
      <c r="M384">
        <v>0</v>
      </c>
      <c r="N384">
        <v>1650</v>
      </c>
    </row>
    <row r="385" spans="1:14" x14ac:dyDescent="0.25">
      <c r="A385">
        <v>74.296143999999998</v>
      </c>
      <c r="B385" s="1">
        <f>DATE(2010,7,14) + TIME(7,6,26)</f>
        <v>40373.296134259261</v>
      </c>
      <c r="C385">
        <v>80</v>
      </c>
      <c r="D385">
        <v>79.914108275999993</v>
      </c>
      <c r="E385">
        <v>40</v>
      </c>
      <c r="F385">
        <v>15.002253531999999</v>
      </c>
      <c r="G385">
        <v>1342.0894774999999</v>
      </c>
      <c r="H385">
        <v>1339.1608887</v>
      </c>
      <c r="I385">
        <v>1319.2862548999999</v>
      </c>
      <c r="J385">
        <v>1313.7512207</v>
      </c>
      <c r="K385">
        <v>1650</v>
      </c>
      <c r="L385">
        <v>0</v>
      </c>
      <c r="M385">
        <v>0</v>
      </c>
      <c r="N385">
        <v>1650</v>
      </c>
    </row>
    <row r="386" spans="1:14" x14ac:dyDescent="0.25">
      <c r="A386">
        <v>74.630626000000007</v>
      </c>
      <c r="B386" s="1">
        <f>DATE(2010,7,14) + TIME(15,8,6)</f>
        <v>40373.630624999998</v>
      </c>
      <c r="C386">
        <v>80</v>
      </c>
      <c r="D386">
        <v>79.914115906000006</v>
      </c>
      <c r="E386">
        <v>40</v>
      </c>
      <c r="F386">
        <v>15.002486229000001</v>
      </c>
      <c r="G386">
        <v>1342.0843506000001</v>
      </c>
      <c r="H386">
        <v>1339.1569824000001</v>
      </c>
      <c r="I386">
        <v>1319.2885742000001</v>
      </c>
      <c r="J386">
        <v>1313.7526855000001</v>
      </c>
      <c r="K386">
        <v>1650</v>
      </c>
      <c r="L386">
        <v>0</v>
      </c>
      <c r="M386">
        <v>0</v>
      </c>
      <c r="N386">
        <v>1650</v>
      </c>
    </row>
    <row r="387" spans="1:14" x14ac:dyDescent="0.25">
      <c r="A387">
        <v>74.964552999999995</v>
      </c>
      <c r="B387" s="1">
        <f>DATE(2010,7,14) + TIME(23,8,57)</f>
        <v>40373.964548611111</v>
      </c>
      <c r="C387">
        <v>80</v>
      </c>
      <c r="D387">
        <v>79.914123535000002</v>
      </c>
      <c r="E387">
        <v>40</v>
      </c>
      <c r="F387">
        <v>15.002731323000001</v>
      </c>
      <c r="G387">
        <v>1342.0793457</v>
      </c>
      <c r="H387">
        <v>1339.1531981999999</v>
      </c>
      <c r="I387">
        <v>1319.2908935999999</v>
      </c>
      <c r="J387">
        <v>1313.7541504000001</v>
      </c>
      <c r="K387">
        <v>1650</v>
      </c>
      <c r="L387">
        <v>0</v>
      </c>
      <c r="M387">
        <v>0</v>
      </c>
      <c r="N387">
        <v>1650</v>
      </c>
    </row>
    <row r="388" spans="1:14" x14ac:dyDescent="0.25">
      <c r="A388">
        <v>75.298136999999997</v>
      </c>
      <c r="B388" s="1">
        <f>DATE(2010,7,15) + TIME(7,9,19)</f>
        <v>40374.298136574071</v>
      </c>
      <c r="C388">
        <v>80</v>
      </c>
      <c r="D388">
        <v>79.914138793999996</v>
      </c>
      <c r="E388">
        <v>40</v>
      </c>
      <c r="F388">
        <v>15.002991676000001</v>
      </c>
      <c r="G388">
        <v>1342.0743408000001</v>
      </c>
      <c r="H388">
        <v>1339.1494141000001</v>
      </c>
      <c r="I388">
        <v>1319.2932129000001</v>
      </c>
      <c r="J388">
        <v>1313.7556152</v>
      </c>
      <c r="K388">
        <v>1650</v>
      </c>
      <c r="L388">
        <v>0</v>
      </c>
      <c r="M388">
        <v>0</v>
      </c>
      <c r="N388">
        <v>1650</v>
      </c>
    </row>
    <row r="389" spans="1:14" x14ac:dyDescent="0.25">
      <c r="A389">
        <v>75.631586999999996</v>
      </c>
      <c r="B389" s="1">
        <f>DATE(2010,7,15) + TIME(15,9,29)</f>
        <v>40374.631585648145</v>
      </c>
      <c r="C389">
        <v>80</v>
      </c>
      <c r="D389">
        <v>79.914146423000005</v>
      </c>
      <c r="E389">
        <v>40</v>
      </c>
      <c r="F389">
        <v>15.003270149</v>
      </c>
      <c r="G389">
        <v>1342.0692139</v>
      </c>
      <c r="H389">
        <v>1339.1456298999999</v>
      </c>
      <c r="I389">
        <v>1319.2956543</v>
      </c>
      <c r="J389">
        <v>1313.7572021000001</v>
      </c>
      <c r="K389">
        <v>1650</v>
      </c>
      <c r="L389">
        <v>0</v>
      </c>
      <c r="M389">
        <v>0</v>
      </c>
      <c r="N389">
        <v>1650</v>
      </c>
    </row>
    <row r="390" spans="1:14" x14ac:dyDescent="0.25">
      <c r="A390">
        <v>75.965038000000007</v>
      </c>
      <c r="B390" s="1">
        <f>DATE(2010,7,15) + TIME(23,9,39)</f>
        <v>40374.96503472222</v>
      </c>
      <c r="C390">
        <v>80</v>
      </c>
      <c r="D390">
        <v>79.914154053000004</v>
      </c>
      <c r="E390">
        <v>40</v>
      </c>
      <c r="F390">
        <v>15.003566742</v>
      </c>
      <c r="G390">
        <v>1342.0642089999999</v>
      </c>
      <c r="H390">
        <v>1339.1418457</v>
      </c>
      <c r="I390">
        <v>1319.2979736</v>
      </c>
      <c r="J390">
        <v>1313.7586670000001</v>
      </c>
      <c r="K390">
        <v>1650</v>
      </c>
      <c r="L390">
        <v>0</v>
      </c>
      <c r="M390">
        <v>0</v>
      </c>
      <c r="N390">
        <v>1650</v>
      </c>
    </row>
    <row r="391" spans="1:14" x14ac:dyDescent="0.25">
      <c r="A391">
        <v>76.298488000000006</v>
      </c>
      <c r="B391" s="1">
        <f>DATE(2010,7,16) + TIME(7,9,49)</f>
        <v>40375.298483796294</v>
      </c>
      <c r="C391">
        <v>80</v>
      </c>
      <c r="D391">
        <v>79.914169311999999</v>
      </c>
      <c r="E391">
        <v>40</v>
      </c>
      <c r="F391">
        <v>15.003885269</v>
      </c>
      <c r="G391">
        <v>1342.0592041</v>
      </c>
      <c r="H391">
        <v>1339.1380615</v>
      </c>
      <c r="I391">
        <v>1319.3004149999999</v>
      </c>
      <c r="J391">
        <v>1313.7601318</v>
      </c>
      <c r="K391">
        <v>1650</v>
      </c>
      <c r="L391">
        <v>0</v>
      </c>
      <c r="M391">
        <v>0</v>
      </c>
      <c r="N391">
        <v>1650</v>
      </c>
    </row>
    <row r="392" spans="1:14" x14ac:dyDescent="0.25">
      <c r="A392">
        <v>76.631938000000005</v>
      </c>
      <c r="B392" s="1">
        <f>DATE(2010,7,16) + TIME(15,9,59)</f>
        <v>40375.631932870368</v>
      </c>
      <c r="C392">
        <v>80</v>
      </c>
      <c r="D392">
        <v>79.914184570000003</v>
      </c>
      <c r="E392">
        <v>40</v>
      </c>
      <c r="F392">
        <v>15.004225731</v>
      </c>
      <c r="G392">
        <v>1342.0543213000001</v>
      </c>
      <c r="H392">
        <v>1339.1342772999999</v>
      </c>
      <c r="I392">
        <v>1319.3028564000001</v>
      </c>
      <c r="J392">
        <v>1313.7617187999999</v>
      </c>
      <c r="K392">
        <v>1650</v>
      </c>
      <c r="L392">
        <v>0</v>
      </c>
      <c r="M392">
        <v>0</v>
      </c>
      <c r="N392">
        <v>1650</v>
      </c>
    </row>
    <row r="393" spans="1:14" x14ac:dyDescent="0.25">
      <c r="A393">
        <v>76.965388000000004</v>
      </c>
      <c r="B393" s="1">
        <f>DATE(2010,7,16) + TIME(23,10,9)</f>
        <v>40375.965381944443</v>
      </c>
      <c r="C393">
        <v>80</v>
      </c>
      <c r="D393">
        <v>79.914192200000002</v>
      </c>
      <c r="E393">
        <v>40</v>
      </c>
      <c r="F393">
        <v>15.004590988</v>
      </c>
      <c r="G393">
        <v>1342.0493164</v>
      </c>
      <c r="H393">
        <v>1339.1304932</v>
      </c>
      <c r="I393">
        <v>1319.3052978999999</v>
      </c>
      <c r="J393">
        <v>1313.7633057</v>
      </c>
      <c r="K393">
        <v>1650</v>
      </c>
      <c r="L393">
        <v>0</v>
      </c>
      <c r="M393">
        <v>0</v>
      </c>
      <c r="N393">
        <v>1650</v>
      </c>
    </row>
    <row r="394" spans="1:14" x14ac:dyDescent="0.25">
      <c r="A394">
        <v>77.298839000000001</v>
      </c>
      <c r="B394" s="1">
        <f>DATE(2010,7,17) + TIME(7,10,19)</f>
        <v>40376.298831018517</v>
      </c>
      <c r="C394">
        <v>80</v>
      </c>
      <c r="D394">
        <v>79.914207458000007</v>
      </c>
      <c r="E394">
        <v>40</v>
      </c>
      <c r="F394">
        <v>15.004982948</v>
      </c>
      <c r="G394">
        <v>1342.0444336</v>
      </c>
      <c r="H394">
        <v>1339.1268310999999</v>
      </c>
      <c r="I394">
        <v>1319.3077393000001</v>
      </c>
      <c r="J394">
        <v>1313.7647704999999</v>
      </c>
      <c r="K394">
        <v>1650</v>
      </c>
      <c r="L394">
        <v>0</v>
      </c>
      <c r="M394">
        <v>0</v>
      </c>
      <c r="N394">
        <v>1650</v>
      </c>
    </row>
    <row r="395" spans="1:14" x14ac:dyDescent="0.25">
      <c r="A395">
        <v>77.965738999999999</v>
      </c>
      <c r="B395" s="1">
        <f>DATE(2010,7,17) + TIME(23,10,39)</f>
        <v>40376.965729166666</v>
      </c>
      <c r="C395">
        <v>80</v>
      </c>
      <c r="D395">
        <v>79.914253235000004</v>
      </c>
      <c r="E395">
        <v>40</v>
      </c>
      <c r="F395">
        <v>15.005677222999999</v>
      </c>
      <c r="G395">
        <v>1342.0395507999999</v>
      </c>
      <c r="H395">
        <v>1339.1231689000001</v>
      </c>
      <c r="I395">
        <v>1319.3103027</v>
      </c>
      <c r="J395">
        <v>1313.7664795000001</v>
      </c>
      <c r="K395">
        <v>1650</v>
      </c>
      <c r="L395">
        <v>0</v>
      </c>
      <c r="M395">
        <v>0</v>
      </c>
      <c r="N395">
        <v>1650</v>
      </c>
    </row>
    <row r="396" spans="1:14" x14ac:dyDescent="0.25">
      <c r="A396">
        <v>78.633180999999993</v>
      </c>
      <c r="B396" s="1">
        <f>DATE(2010,7,18) + TIME(15,11,46)</f>
        <v>40377.633171296293</v>
      </c>
      <c r="C396">
        <v>80</v>
      </c>
      <c r="D396">
        <v>79.914283752000003</v>
      </c>
      <c r="E396">
        <v>40</v>
      </c>
      <c r="F396">
        <v>15.006524086000001</v>
      </c>
      <c r="G396">
        <v>1342.0297852000001</v>
      </c>
      <c r="H396">
        <v>1339.1158447</v>
      </c>
      <c r="I396">
        <v>1319.3153076000001</v>
      </c>
      <c r="J396">
        <v>1313.7695312000001</v>
      </c>
      <c r="K396">
        <v>1650</v>
      </c>
      <c r="L396">
        <v>0</v>
      </c>
      <c r="M396">
        <v>0</v>
      </c>
      <c r="N396">
        <v>1650</v>
      </c>
    </row>
    <row r="397" spans="1:14" x14ac:dyDescent="0.25">
      <c r="A397">
        <v>79.308228999999997</v>
      </c>
      <c r="B397" s="1">
        <f>DATE(2010,7,19) + TIME(7,23,50)</f>
        <v>40378.308217592596</v>
      </c>
      <c r="C397">
        <v>80</v>
      </c>
      <c r="D397">
        <v>79.914314270000006</v>
      </c>
      <c r="E397">
        <v>40</v>
      </c>
      <c r="F397">
        <v>15.007534027</v>
      </c>
      <c r="G397">
        <v>1342.0201416</v>
      </c>
      <c r="H397">
        <v>1339.1083983999999</v>
      </c>
      <c r="I397">
        <v>1319.3204346</v>
      </c>
      <c r="J397">
        <v>1313.7728271000001</v>
      </c>
      <c r="K397">
        <v>1650</v>
      </c>
      <c r="L397">
        <v>0</v>
      </c>
      <c r="M397">
        <v>0</v>
      </c>
      <c r="N397">
        <v>1650</v>
      </c>
    </row>
    <row r="398" spans="1:14" x14ac:dyDescent="0.25">
      <c r="A398">
        <v>79.992475999999996</v>
      </c>
      <c r="B398" s="1">
        <f>DATE(2010,7,19) + TIME(23,49,9)</f>
        <v>40378.992465277777</v>
      </c>
      <c r="C398">
        <v>80</v>
      </c>
      <c r="D398">
        <v>79.914344787999994</v>
      </c>
      <c r="E398">
        <v>40</v>
      </c>
      <c r="F398">
        <v>15.008725166</v>
      </c>
      <c r="G398">
        <v>1342.010376</v>
      </c>
      <c r="H398">
        <v>1339.1010742000001</v>
      </c>
      <c r="I398">
        <v>1319.3256836</v>
      </c>
      <c r="J398">
        <v>1313.7761230000001</v>
      </c>
      <c r="K398">
        <v>1650</v>
      </c>
      <c r="L398">
        <v>0</v>
      </c>
      <c r="M398">
        <v>0</v>
      </c>
      <c r="N398">
        <v>1650</v>
      </c>
    </row>
    <row r="399" spans="1:14" x14ac:dyDescent="0.25">
      <c r="A399">
        <v>80.687687999999994</v>
      </c>
      <c r="B399" s="1">
        <f>DATE(2010,7,20) + TIME(16,30,16)</f>
        <v>40379.687685185185</v>
      </c>
      <c r="C399">
        <v>80</v>
      </c>
      <c r="D399">
        <v>79.914375304999993</v>
      </c>
      <c r="E399">
        <v>40</v>
      </c>
      <c r="F399">
        <v>15.010123253</v>
      </c>
      <c r="G399">
        <v>1342.0004882999999</v>
      </c>
      <c r="H399">
        <v>1339.0936279</v>
      </c>
      <c r="I399">
        <v>1319.3310547000001</v>
      </c>
      <c r="J399">
        <v>1313.7794189000001</v>
      </c>
      <c r="K399">
        <v>1650</v>
      </c>
      <c r="L399">
        <v>0</v>
      </c>
      <c r="M399">
        <v>0</v>
      </c>
      <c r="N399">
        <v>1650</v>
      </c>
    </row>
    <row r="400" spans="1:14" x14ac:dyDescent="0.25">
      <c r="A400">
        <v>81.390686000000002</v>
      </c>
      <c r="B400" s="1">
        <f>DATE(2010,7,21) + TIME(9,22,35)</f>
        <v>40380.390682870369</v>
      </c>
      <c r="C400">
        <v>80</v>
      </c>
      <c r="D400">
        <v>79.914405822999996</v>
      </c>
      <c r="E400">
        <v>40</v>
      </c>
      <c r="F400">
        <v>15.01175499</v>
      </c>
      <c r="G400">
        <v>1341.9906006000001</v>
      </c>
      <c r="H400">
        <v>1339.0860596</v>
      </c>
      <c r="I400">
        <v>1319.3366699000001</v>
      </c>
      <c r="J400">
        <v>1313.7829589999999</v>
      </c>
      <c r="K400">
        <v>1650</v>
      </c>
      <c r="L400">
        <v>0</v>
      </c>
      <c r="M400">
        <v>0</v>
      </c>
      <c r="N400">
        <v>1650</v>
      </c>
    </row>
    <row r="401" spans="1:14" x14ac:dyDescent="0.25">
      <c r="A401">
        <v>82.098461</v>
      </c>
      <c r="B401" s="1">
        <f>DATE(2010,7,22) + TIME(2,21,47)</f>
        <v>40381.098460648151</v>
      </c>
      <c r="C401">
        <v>80</v>
      </c>
      <c r="D401">
        <v>79.914443969999994</v>
      </c>
      <c r="E401">
        <v>40</v>
      </c>
      <c r="F401">
        <v>15.013647079</v>
      </c>
      <c r="G401">
        <v>1341.9805908000001</v>
      </c>
      <c r="H401">
        <v>1339.0784911999999</v>
      </c>
      <c r="I401">
        <v>1319.3425293</v>
      </c>
      <c r="J401">
        <v>1313.786499</v>
      </c>
      <c r="K401">
        <v>1650</v>
      </c>
      <c r="L401">
        <v>0</v>
      </c>
      <c r="M401">
        <v>0</v>
      </c>
      <c r="N401">
        <v>1650</v>
      </c>
    </row>
    <row r="402" spans="1:14" x14ac:dyDescent="0.25">
      <c r="A402">
        <v>82.811651999999995</v>
      </c>
      <c r="B402" s="1">
        <f>DATE(2010,7,22) + TIME(19,28,46)</f>
        <v>40381.811643518522</v>
      </c>
      <c r="C402">
        <v>80</v>
      </c>
      <c r="D402">
        <v>79.914474487000007</v>
      </c>
      <c r="E402">
        <v>40</v>
      </c>
      <c r="F402">
        <v>15.015838623</v>
      </c>
      <c r="G402">
        <v>1341.9707031</v>
      </c>
      <c r="H402">
        <v>1339.0709228999999</v>
      </c>
      <c r="I402">
        <v>1319.3483887</v>
      </c>
      <c r="J402">
        <v>1313.7901611</v>
      </c>
      <c r="K402">
        <v>1650</v>
      </c>
      <c r="L402">
        <v>0</v>
      </c>
      <c r="M402">
        <v>0</v>
      </c>
      <c r="N402">
        <v>1650</v>
      </c>
    </row>
    <row r="403" spans="1:14" x14ac:dyDescent="0.25">
      <c r="A403">
        <v>83.170278999999994</v>
      </c>
      <c r="B403" s="1">
        <f>DATE(2010,7,23) + TIME(4,5,12)</f>
        <v>40382.170277777775</v>
      </c>
      <c r="C403">
        <v>80</v>
      </c>
      <c r="D403">
        <v>79.914474487000007</v>
      </c>
      <c r="E403">
        <v>40</v>
      </c>
      <c r="F403">
        <v>15.01738739</v>
      </c>
      <c r="G403">
        <v>1341.9606934000001</v>
      </c>
      <c r="H403">
        <v>1339.0632324000001</v>
      </c>
      <c r="I403">
        <v>1319.3546143000001</v>
      </c>
      <c r="J403">
        <v>1313.7938231999999</v>
      </c>
      <c r="K403">
        <v>1650</v>
      </c>
      <c r="L403">
        <v>0</v>
      </c>
      <c r="M403">
        <v>0</v>
      </c>
      <c r="N403">
        <v>1650</v>
      </c>
    </row>
    <row r="404" spans="1:14" x14ac:dyDescent="0.25">
      <c r="A404">
        <v>83.527805000000001</v>
      </c>
      <c r="B404" s="1">
        <f>DATE(2010,7,23) + TIME(12,40,2)</f>
        <v>40382.527800925927</v>
      </c>
      <c r="C404">
        <v>80</v>
      </c>
      <c r="D404">
        <v>79.914482117000006</v>
      </c>
      <c r="E404">
        <v>40</v>
      </c>
      <c r="F404">
        <v>15.018983841000001</v>
      </c>
      <c r="G404">
        <v>1341.9556885</v>
      </c>
      <c r="H404">
        <v>1339.0593262</v>
      </c>
      <c r="I404">
        <v>1319.3576660000001</v>
      </c>
      <c r="J404">
        <v>1313.7957764</v>
      </c>
      <c r="K404">
        <v>1650</v>
      </c>
      <c r="L404">
        <v>0</v>
      </c>
      <c r="M404">
        <v>0</v>
      </c>
      <c r="N404">
        <v>1650</v>
      </c>
    </row>
    <row r="405" spans="1:14" x14ac:dyDescent="0.25">
      <c r="A405">
        <v>83.885183999999995</v>
      </c>
      <c r="B405" s="1">
        <f>DATE(2010,7,23) + TIME(21,14,39)</f>
        <v>40382.88517361111</v>
      </c>
      <c r="C405">
        <v>80</v>
      </c>
      <c r="D405">
        <v>79.914497374999996</v>
      </c>
      <c r="E405">
        <v>40</v>
      </c>
      <c r="F405">
        <v>15.020648003</v>
      </c>
      <c r="G405">
        <v>1341.9506836</v>
      </c>
      <c r="H405">
        <v>1339.0555420000001</v>
      </c>
      <c r="I405">
        <v>1319.3608397999999</v>
      </c>
      <c r="J405">
        <v>1313.7977295000001</v>
      </c>
      <c r="K405">
        <v>1650</v>
      </c>
      <c r="L405">
        <v>0</v>
      </c>
      <c r="M405">
        <v>0</v>
      </c>
      <c r="N405">
        <v>1650</v>
      </c>
    </row>
    <row r="406" spans="1:14" x14ac:dyDescent="0.25">
      <c r="A406">
        <v>84.242562000000007</v>
      </c>
      <c r="B406" s="1">
        <f>DATE(2010,7,24) + TIME(5,49,17)</f>
        <v>40383.24255787037</v>
      </c>
      <c r="C406">
        <v>80</v>
      </c>
      <c r="D406">
        <v>79.914512634000005</v>
      </c>
      <c r="E406">
        <v>40</v>
      </c>
      <c r="F406">
        <v>15.022396088000001</v>
      </c>
      <c r="G406">
        <v>1341.9458007999999</v>
      </c>
      <c r="H406">
        <v>1339.0518798999999</v>
      </c>
      <c r="I406">
        <v>1319.3640137</v>
      </c>
      <c r="J406">
        <v>1313.7996826000001</v>
      </c>
      <c r="K406">
        <v>1650</v>
      </c>
      <c r="L406">
        <v>0</v>
      </c>
      <c r="M406">
        <v>0</v>
      </c>
      <c r="N406">
        <v>1650</v>
      </c>
    </row>
    <row r="407" spans="1:14" x14ac:dyDescent="0.25">
      <c r="A407">
        <v>84.599940000000004</v>
      </c>
      <c r="B407" s="1">
        <f>DATE(2010,7,24) + TIME(14,23,54)</f>
        <v>40383.599930555552</v>
      </c>
      <c r="C407">
        <v>80</v>
      </c>
      <c r="D407">
        <v>79.914527892999999</v>
      </c>
      <c r="E407">
        <v>40</v>
      </c>
      <c r="F407">
        <v>15.024240494000001</v>
      </c>
      <c r="G407">
        <v>1341.940918</v>
      </c>
      <c r="H407">
        <v>1339.0480957</v>
      </c>
      <c r="I407">
        <v>1319.3671875</v>
      </c>
      <c r="J407">
        <v>1313.8016356999999</v>
      </c>
      <c r="K407">
        <v>1650</v>
      </c>
      <c r="L407">
        <v>0</v>
      </c>
      <c r="M407">
        <v>0</v>
      </c>
      <c r="N407">
        <v>1650</v>
      </c>
    </row>
    <row r="408" spans="1:14" x14ac:dyDescent="0.25">
      <c r="A408">
        <v>84.957318000000001</v>
      </c>
      <c r="B408" s="1">
        <f>DATE(2010,7,24) + TIME(22,58,32)</f>
        <v>40383.957314814812</v>
      </c>
      <c r="C408">
        <v>80</v>
      </c>
      <c r="D408">
        <v>79.914543151999993</v>
      </c>
      <c r="E408">
        <v>40</v>
      </c>
      <c r="F408">
        <v>15.026193619000001</v>
      </c>
      <c r="G408">
        <v>1341.9359131000001</v>
      </c>
      <c r="H408">
        <v>1339.0443115</v>
      </c>
      <c r="I408">
        <v>1319.3704834</v>
      </c>
      <c r="J408">
        <v>1313.8037108999999</v>
      </c>
      <c r="K408">
        <v>1650</v>
      </c>
      <c r="L408">
        <v>0</v>
      </c>
      <c r="M408">
        <v>0</v>
      </c>
      <c r="N408">
        <v>1650</v>
      </c>
    </row>
    <row r="409" spans="1:14" x14ac:dyDescent="0.25">
      <c r="A409">
        <v>85.314695999999998</v>
      </c>
      <c r="B409" s="1">
        <f>DATE(2010,7,25) + TIME(7,33,9)</f>
        <v>40384.314687500002</v>
      </c>
      <c r="C409">
        <v>80</v>
      </c>
      <c r="D409">
        <v>79.914558411000002</v>
      </c>
      <c r="E409">
        <v>40</v>
      </c>
      <c r="F409">
        <v>15.02826786</v>
      </c>
      <c r="G409">
        <v>1341.9311522999999</v>
      </c>
      <c r="H409">
        <v>1339.0405272999999</v>
      </c>
      <c r="I409">
        <v>1319.3737793</v>
      </c>
      <c r="J409">
        <v>1313.8056641000001</v>
      </c>
      <c r="K409">
        <v>1650</v>
      </c>
      <c r="L409">
        <v>0</v>
      </c>
      <c r="M409">
        <v>0</v>
      </c>
      <c r="N409">
        <v>1650</v>
      </c>
    </row>
    <row r="410" spans="1:14" x14ac:dyDescent="0.25">
      <c r="A410">
        <v>85.672073999999995</v>
      </c>
      <c r="B410" s="1">
        <f>DATE(2010,7,25) + TIME(16,7,47)</f>
        <v>40384.672071759262</v>
      </c>
      <c r="C410">
        <v>80</v>
      </c>
      <c r="D410">
        <v>79.914573669000006</v>
      </c>
      <c r="E410">
        <v>40</v>
      </c>
      <c r="F410">
        <v>15.030473709000001</v>
      </c>
      <c r="G410">
        <v>1341.9262695</v>
      </c>
      <c r="H410">
        <v>1339.0368652</v>
      </c>
      <c r="I410">
        <v>1319.3770752</v>
      </c>
      <c r="J410">
        <v>1313.8077393000001</v>
      </c>
      <c r="K410">
        <v>1650</v>
      </c>
      <c r="L410">
        <v>0</v>
      </c>
      <c r="M410">
        <v>0</v>
      </c>
      <c r="N410">
        <v>1650</v>
      </c>
    </row>
    <row r="411" spans="1:14" x14ac:dyDescent="0.25">
      <c r="A411">
        <v>86.386830000000003</v>
      </c>
      <c r="B411" s="1">
        <f>DATE(2010,7,26) + TIME(9,17,2)</f>
        <v>40385.386828703704</v>
      </c>
      <c r="C411">
        <v>80</v>
      </c>
      <c r="D411">
        <v>79.914627074999999</v>
      </c>
      <c r="E411">
        <v>40</v>
      </c>
      <c r="F411">
        <v>15.034316063</v>
      </c>
      <c r="G411">
        <v>1341.9215088000001</v>
      </c>
      <c r="H411">
        <v>1339.0332031</v>
      </c>
      <c r="I411">
        <v>1319.3803711</v>
      </c>
      <c r="J411">
        <v>1313.8099365</v>
      </c>
      <c r="K411">
        <v>1650</v>
      </c>
      <c r="L411">
        <v>0</v>
      </c>
      <c r="M411">
        <v>0</v>
      </c>
      <c r="N411">
        <v>1650</v>
      </c>
    </row>
    <row r="412" spans="1:14" x14ac:dyDescent="0.25">
      <c r="A412">
        <v>87.102796999999995</v>
      </c>
      <c r="B412" s="1">
        <f>DATE(2010,7,27) + TIME(2,28,1)</f>
        <v>40386.102789351855</v>
      </c>
      <c r="C412">
        <v>80</v>
      </c>
      <c r="D412">
        <v>79.914672851999995</v>
      </c>
      <c r="E412">
        <v>40</v>
      </c>
      <c r="F412">
        <v>15.038980484</v>
      </c>
      <c r="G412">
        <v>1341.9118652</v>
      </c>
      <c r="H412">
        <v>1339.0258789</v>
      </c>
      <c r="I412">
        <v>1319.387207</v>
      </c>
      <c r="J412">
        <v>1313.8140868999999</v>
      </c>
      <c r="K412">
        <v>1650</v>
      </c>
      <c r="L412">
        <v>0</v>
      </c>
      <c r="M412">
        <v>0</v>
      </c>
      <c r="N412">
        <v>1650</v>
      </c>
    </row>
    <row r="413" spans="1:14" x14ac:dyDescent="0.25">
      <c r="A413">
        <v>87.826055999999994</v>
      </c>
      <c r="B413" s="1">
        <f>DATE(2010,7,27) + TIME(19,49,31)</f>
        <v>40386.826053240744</v>
      </c>
      <c r="C413">
        <v>80</v>
      </c>
      <c r="D413">
        <v>79.914710998999993</v>
      </c>
      <c r="E413">
        <v>40</v>
      </c>
      <c r="F413">
        <v>15.044502258</v>
      </c>
      <c r="G413">
        <v>1341.9023437999999</v>
      </c>
      <c r="H413">
        <v>1339.0184326000001</v>
      </c>
      <c r="I413">
        <v>1319.3942870999999</v>
      </c>
      <c r="J413">
        <v>1313.8183594</v>
      </c>
      <c r="K413">
        <v>1650</v>
      </c>
      <c r="L413">
        <v>0</v>
      </c>
      <c r="M413">
        <v>0</v>
      </c>
      <c r="N413">
        <v>1650</v>
      </c>
    </row>
    <row r="414" spans="1:14" x14ac:dyDescent="0.25">
      <c r="A414">
        <v>88.558383000000006</v>
      </c>
      <c r="B414" s="1">
        <f>DATE(2010,7,28) + TIME(13,24,4)</f>
        <v>40387.558379629627</v>
      </c>
      <c r="C414">
        <v>80</v>
      </c>
      <c r="D414">
        <v>79.914749146000005</v>
      </c>
      <c r="E414">
        <v>40</v>
      </c>
      <c r="F414">
        <v>15.05095768</v>
      </c>
      <c r="G414">
        <v>1341.8927002</v>
      </c>
      <c r="H414">
        <v>1339.0111084</v>
      </c>
      <c r="I414">
        <v>1319.4014893000001</v>
      </c>
      <c r="J414">
        <v>1313.8227539</v>
      </c>
      <c r="K414">
        <v>1650</v>
      </c>
      <c r="L414">
        <v>0</v>
      </c>
      <c r="M414">
        <v>0</v>
      </c>
      <c r="N414">
        <v>1650</v>
      </c>
    </row>
    <row r="415" spans="1:14" x14ac:dyDescent="0.25">
      <c r="A415">
        <v>89.298681999999999</v>
      </c>
      <c r="B415" s="1">
        <f>DATE(2010,7,29) + TIME(7,10,6)</f>
        <v>40388.298680555556</v>
      </c>
      <c r="C415">
        <v>80</v>
      </c>
      <c r="D415">
        <v>79.914787292</v>
      </c>
      <c r="E415">
        <v>40</v>
      </c>
      <c r="F415">
        <v>15.058442116</v>
      </c>
      <c r="G415">
        <v>1341.8829346</v>
      </c>
      <c r="H415">
        <v>1339.0036620999999</v>
      </c>
      <c r="I415">
        <v>1319.4089355000001</v>
      </c>
      <c r="J415">
        <v>1313.8273925999999</v>
      </c>
      <c r="K415">
        <v>1650</v>
      </c>
      <c r="L415">
        <v>0</v>
      </c>
      <c r="M415">
        <v>0</v>
      </c>
      <c r="N415">
        <v>1650</v>
      </c>
    </row>
    <row r="416" spans="1:14" x14ac:dyDescent="0.25">
      <c r="A416">
        <v>90.044128000000001</v>
      </c>
      <c r="B416" s="1">
        <f>DATE(2010,7,30) + TIME(1,3,32)</f>
        <v>40389.044120370374</v>
      </c>
      <c r="C416">
        <v>80</v>
      </c>
      <c r="D416">
        <v>79.914825438999998</v>
      </c>
      <c r="E416">
        <v>40</v>
      </c>
      <c r="F416">
        <v>15.067062377999999</v>
      </c>
      <c r="G416">
        <v>1341.8732910000001</v>
      </c>
      <c r="H416">
        <v>1338.9960937999999</v>
      </c>
      <c r="I416">
        <v>1319.416626</v>
      </c>
      <c r="J416">
        <v>1313.8320312000001</v>
      </c>
      <c r="K416">
        <v>1650</v>
      </c>
      <c r="L416">
        <v>0</v>
      </c>
      <c r="M416">
        <v>0</v>
      </c>
      <c r="N416">
        <v>1650</v>
      </c>
    </row>
    <row r="417" spans="1:14" x14ac:dyDescent="0.25">
      <c r="A417">
        <v>90.793255000000002</v>
      </c>
      <c r="B417" s="1">
        <f>DATE(2010,7,30) + TIME(19,2,17)</f>
        <v>40389.793252314812</v>
      </c>
      <c r="C417">
        <v>80</v>
      </c>
      <c r="D417">
        <v>79.914871215999995</v>
      </c>
      <c r="E417">
        <v>40</v>
      </c>
      <c r="F417">
        <v>15.076946259</v>
      </c>
      <c r="G417">
        <v>1341.8635254000001</v>
      </c>
      <c r="H417">
        <v>1338.9886475000001</v>
      </c>
      <c r="I417">
        <v>1319.4245605000001</v>
      </c>
      <c r="J417">
        <v>1313.8370361</v>
      </c>
      <c r="K417">
        <v>1650</v>
      </c>
      <c r="L417">
        <v>0</v>
      </c>
      <c r="M417">
        <v>0</v>
      </c>
      <c r="N417">
        <v>1650</v>
      </c>
    </row>
    <row r="418" spans="1:14" x14ac:dyDescent="0.25">
      <c r="A418">
        <v>91.546192000000005</v>
      </c>
      <c r="B418" s="1">
        <f>DATE(2010,7,31) + TIME(13,6,30)</f>
        <v>40390.546180555553</v>
      </c>
      <c r="C418">
        <v>80</v>
      </c>
      <c r="D418">
        <v>79.914909363000007</v>
      </c>
      <c r="E418">
        <v>40</v>
      </c>
      <c r="F418">
        <v>15.088250159999999</v>
      </c>
      <c r="G418">
        <v>1341.8538818</v>
      </c>
      <c r="H418">
        <v>1338.9812012</v>
      </c>
      <c r="I418">
        <v>1319.4328613</v>
      </c>
      <c r="J418">
        <v>1313.8420410000001</v>
      </c>
      <c r="K418">
        <v>1650</v>
      </c>
      <c r="L418">
        <v>0</v>
      </c>
      <c r="M418">
        <v>0</v>
      </c>
      <c r="N418">
        <v>1650</v>
      </c>
    </row>
    <row r="419" spans="1:14" x14ac:dyDescent="0.25">
      <c r="A419">
        <v>92</v>
      </c>
      <c r="B419" s="1">
        <f>DATE(2010,8,1) + TIME(0,0,0)</f>
        <v>40391</v>
      </c>
      <c r="C419">
        <v>80</v>
      </c>
      <c r="D419">
        <v>79.914924622000001</v>
      </c>
      <c r="E419">
        <v>40</v>
      </c>
      <c r="F419">
        <v>15.097374916</v>
      </c>
      <c r="G419">
        <v>1341.8441161999999</v>
      </c>
      <c r="H419">
        <v>1338.9736327999999</v>
      </c>
      <c r="I419">
        <v>1319.4415283000001</v>
      </c>
      <c r="J419">
        <v>1313.847168</v>
      </c>
      <c r="K419">
        <v>1650</v>
      </c>
      <c r="L419">
        <v>0</v>
      </c>
      <c r="M419">
        <v>0</v>
      </c>
      <c r="N419">
        <v>1650</v>
      </c>
    </row>
    <row r="420" spans="1:14" x14ac:dyDescent="0.25">
      <c r="A420">
        <v>92.753991999999997</v>
      </c>
      <c r="B420" s="1">
        <f>DATE(2010,8,1) + TIME(18,5,44)</f>
        <v>40391.753981481481</v>
      </c>
      <c r="C420">
        <v>80</v>
      </c>
      <c r="D420">
        <v>79.914970397999994</v>
      </c>
      <c r="E420">
        <v>40</v>
      </c>
      <c r="F420">
        <v>15.11078167</v>
      </c>
      <c r="G420">
        <v>1341.8382568</v>
      </c>
      <c r="H420">
        <v>1338.9691161999999</v>
      </c>
      <c r="I420">
        <v>1319.4465332</v>
      </c>
      <c r="J420">
        <v>1313.8505858999999</v>
      </c>
      <c r="K420">
        <v>1650</v>
      </c>
      <c r="L420">
        <v>0</v>
      </c>
      <c r="M420">
        <v>0</v>
      </c>
      <c r="N420">
        <v>1650</v>
      </c>
    </row>
    <row r="421" spans="1:14" x14ac:dyDescent="0.25">
      <c r="A421">
        <v>93.133842999999999</v>
      </c>
      <c r="B421" s="1">
        <f>DATE(2010,8,2) + TIME(3,12,44)</f>
        <v>40392.133842592593</v>
      </c>
      <c r="C421">
        <v>80</v>
      </c>
      <c r="D421">
        <v>79.914978027000004</v>
      </c>
      <c r="E421">
        <v>40</v>
      </c>
      <c r="F421">
        <v>15.120382309</v>
      </c>
      <c r="G421">
        <v>1341.8286132999999</v>
      </c>
      <c r="H421">
        <v>1338.9616699000001</v>
      </c>
      <c r="I421">
        <v>1319.4558105000001</v>
      </c>
      <c r="J421">
        <v>1313.8560791</v>
      </c>
      <c r="K421">
        <v>1650</v>
      </c>
      <c r="L421">
        <v>0</v>
      </c>
      <c r="M421">
        <v>0</v>
      </c>
      <c r="N421">
        <v>1650</v>
      </c>
    </row>
    <row r="422" spans="1:14" x14ac:dyDescent="0.25">
      <c r="A422">
        <v>93.513694000000001</v>
      </c>
      <c r="B422" s="1">
        <f>DATE(2010,8,2) + TIME(12,19,43)</f>
        <v>40392.513692129629</v>
      </c>
      <c r="C422">
        <v>80</v>
      </c>
      <c r="D422">
        <v>79.914993285999998</v>
      </c>
      <c r="E422">
        <v>40</v>
      </c>
      <c r="F422">
        <v>15.130247116</v>
      </c>
      <c r="G422">
        <v>1341.8237305</v>
      </c>
      <c r="H422">
        <v>1338.9578856999999</v>
      </c>
      <c r="I422">
        <v>1319.4603271000001</v>
      </c>
      <c r="J422">
        <v>1313.8588867000001</v>
      </c>
      <c r="K422">
        <v>1650</v>
      </c>
      <c r="L422">
        <v>0</v>
      </c>
      <c r="M422">
        <v>0</v>
      </c>
      <c r="N422">
        <v>1650</v>
      </c>
    </row>
    <row r="423" spans="1:14" x14ac:dyDescent="0.25">
      <c r="A423">
        <v>93.893545000000003</v>
      </c>
      <c r="B423" s="1">
        <f>DATE(2010,8,2) + TIME(21,26,42)</f>
        <v>40392.893541666665</v>
      </c>
      <c r="C423">
        <v>80</v>
      </c>
      <c r="D423">
        <v>79.915008545000006</v>
      </c>
      <c r="E423">
        <v>40</v>
      </c>
      <c r="F423">
        <v>15.14047718</v>
      </c>
      <c r="G423">
        <v>1341.8189697</v>
      </c>
      <c r="H423">
        <v>1338.9541016000001</v>
      </c>
      <c r="I423">
        <v>1319.4649658000001</v>
      </c>
      <c r="J423">
        <v>1313.8619385</v>
      </c>
      <c r="K423">
        <v>1650</v>
      </c>
      <c r="L423">
        <v>0</v>
      </c>
      <c r="M423">
        <v>0</v>
      </c>
      <c r="N423">
        <v>1650</v>
      </c>
    </row>
    <row r="424" spans="1:14" x14ac:dyDescent="0.25">
      <c r="A424">
        <v>94.273396000000005</v>
      </c>
      <c r="B424" s="1">
        <f>DATE(2010,8,3) + TIME(6,33,41)</f>
        <v>40393.2733912037</v>
      </c>
      <c r="C424">
        <v>80</v>
      </c>
      <c r="D424">
        <v>79.915031432999996</v>
      </c>
      <c r="E424">
        <v>40</v>
      </c>
      <c r="F424">
        <v>15.151157379000001</v>
      </c>
      <c r="G424">
        <v>1341.8142089999999</v>
      </c>
      <c r="H424">
        <v>1338.9504394999999</v>
      </c>
      <c r="I424">
        <v>1319.4696045000001</v>
      </c>
      <c r="J424">
        <v>1313.8648682</v>
      </c>
      <c r="K424">
        <v>1650</v>
      </c>
      <c r="L424">
        <v>0</v>
      </c>
      <c r="M424">
        <v>0</v>
      </c>
      <c r="N424">
        <v>1650</v>
      </c>
    </row>
    <row r="425" spans="1:14" x14ac:dyDescent="0.25">
      <c r="A425">
        <v>94.653248000000005</v>
      </c>
      <c r="B425" s="1">
        <f>DATE(2010,8,3) + TIME(15,40,40)</f>
        <v>40393.653240740743</v>
      </c>
      <c r="C425">
        <v>80</v>
      </c>
      <c r="D425">
        <v>79.915054321</v>
      </c>
      <c r="E425">
        <v>40</v>
      </c>
      <c r="F425">
        <v>15.162363052</v>
      </c>
      <c r="G425">
        <v>1341.8094481999999</v>
      </c>
      <c r="H425">
        <v>1338.9466553</v>
      </c>
      <c r="I425">
        <v>1319.4743652</v>
      </c>
      <c r="J425">
        <v>1313.8679199000001</v>
      </c>
      <c r="K425">
        <v>1650</v>
      </c>
      <c r="L425">
        <v>0</v>
      </c>
      <c r="M425">
        <v>0</v>
      </c>
      <c r="N425">
        <v>1650</v>
      </c>
    </row>
    <row r="426" spans="1:14" x14ac:dyDescent="0.25">
      <c r="A426">
        <v>95.033099000000007</v>
      </c>
      <c r="B426" s="1">
        <f>DATE(2010,8,4) + TIME(0,47,39)</f>
        <v>40394.033090277779</v>
      </c>
      <c r="C426">
        <v>80</v>
      </c>
      <c r="D426">
        <v>79.915069579999994</v>
      </c>
      <c r="E426">
        <v>40</v>
      </c>
      <c r="F426">
        <v>15.174160004000001</v>
      </c>
      <c r="G426">
        <v>1341.8046875</v>
      </c>
      <c r="H426">
        <v>1338.9429932</v>
      </c>
      <c r="I426">
        <v>1319.479126</v>
      </c>
      <c r="J426">
        <v>1313.8709716999999</v>
      </c>
      <c r="K426">
        <v>1650</v>
      </c>
      <c r="L426">
        <v>0</v>
      </c>
      <c r="M426">
        <v>0</v>
      </c>
      <c r="N426">
        <v>1650</v>
      </c>
    </row>
    <row r="427" spans="1:14" x14ac:dyDescent="0.25">
      <c r="A427">
        <v>95.412949999999995</v>
      </c>
      <c r="B427" s="1">
        <f>DATE(2010,8,4) + TIME(9,54,38)</f>
        <v>40394.412939814814</v>
      </c>
      <c r="C427">
        <v>80</v>
      </c>
      <c r="D427">
        <v>79.915092467999997</v>
      </c>
      <c r="E427">
        <v>40</v>
      </c>
      <c r="F427">
        <v>15.186611176</v>
      </c>
      <c r="G427">
        <v>1341.7999268000001</v>
      </c>
      <c r="H427">
        <v>1338.9393310999999</v>
      </c>
      <c r="I427">
        <v>1319.4840088000001</v>
      </c>
      <c r="J427">
        <v>1313.8741454999999</v>
      </c>
      <c r="K427">
        <v>1650</v>
      </c>
      <c r="L427">
        <v>0</v>
      </c>
      <c r="M427">
        <v>0</v>
      </c>
      <c r="N427">
        <v>1650</v>
      </c>
    </row>
    <row r="428" spans="1:14" x14ac:dyDescent="0.25">
      <c r="A428">
        <v>95.792800999999997</v>
      </c>
      <c r="B428" s="1">
        <f>DATE(2010,8,4) + TIME(19,1,38)</f>
        <v>40394.792800925927</v>
      </c>
      <c r="C428">
        <v>80</v>
      </c>
      <c r="D428">
        <v>79.915115356000001</v>
      </c>
      <c r="E428">
        <v>40</v>
      </c>
      <c r="F428">
        <v>15.199774742000001</v>
      </c>
      <c r="G428">
        <v>1341.7951660000001</v>
      </c>
      <c r="H428">
        <v>1338.9355469</v>
      </c>
      <c r="I428">
        <v>1319.4890137</v>
      </c>
      <c r="J428">
        <v>1313.8774414</v>
      </c>
      <c r="K428">
        <v>1650</v>
      </c>
      <c r="L428">
        <v>0</v>
      </c>
      <c r="M428">
        <v>0</v>
      </c>
      <c r="N428">
        <v>1650</v>
      </c>
    </row>
    <row r="429" spans="1:14" x14ac:dyDescent="0.25">
      <c r="A429">
        <v>96.552503999999999</v>
      </c>
      <c r="B429" s="1">
        <f>DATE(2010,8,5) + TIME(13,15,36)</f>
        <v>40395.552499999998</v>
      </c>
      <c r="C429">
        <v>80</v>
      </c>
      <c r="D429">
        <v>79.915176392000006</v>
      </c>
      <c r="E429">
        <v>40</v>
      </c>
      <c r="F429">
        <v>15.222318649</v>
      </c>
      <c r="G429">
        <v>1341.7905272999999</v>
      </c>
      <c r="H429">
        <v>1338.9320068</v>
      </c>
      <c r="I429">
        <v>1319.4934082</v>
      </c>
      <c r="J429">
        <v>1313.8808594</v>
      </c>
      <c r="K429">
        <v>1650</v>
      </c>
      <c r="L429">
        <v>0</v>
      </c>
      <c r="M429">
        <v>0</v>
      </c>
      <c r="N429">
        <v>1650</v>
      </c>
    </row>
    <row r="430" spans="1:14" x14ac:dyDescent="0.25">
      <c r="A430">
        <v>97.312774000000005</v>
      </c>
      <c r="B430" s="1">
        <f>DATE(2010,8,6) + TIME(7,30,23)</f>
        <v>40396.3127662037</v>
      </c>
      <c r="C430">
        <v>80</v>
      </c>
      <c r="D430">
        <v>79.915222168</v>
      </c>
      <c r="E430">
        <v>40</v>
      </c>
      <c r="F430">
        <v>15.249572754000001</v>
      </c>
      <c r="G430">
        <v>1341.7811279</v>
      </c>
      <c r="H430">
        <v>1338.9246826000001</v>
      </c>
      <c r="I430">
        <v>1319.5036620999999</v>
      </c>
      <c r="J430">
        <v>1313.8874512</v>
      </c>
      <c r="K430">
        <v>1650</v>
      </c>
      <c r="L430">
        <v>0</v>
      </c>
      <c r="M430">
        <v>0</v>
      </c>
      <c r="N430">
        <v>1650</v>
      </c>
    </row>
    <row r="431" spans="1:14" x14ac:dyDescent="0.25">
      <c r="A431">
        <v>98.082592000000005</v>
      </c>
      <c r="B431" s="1">
        <f>DATE(2010,8,7) + TIME(1,58,55)</f>
        <v>40397.08258101852</v>
      </c>
      <c r="C431">
        <v>80</v>
      </c>
      <c r="D431">
        <v>79.915275574000006</v>
      </c>
      <c r="E431">
        <v>40</v>
      </c>
      <c r="F431">
        <v>15.281604766999999</v>
      </c>
      <c r="G431">
        <v>1341.7717285000001</v>
      </c>
      <c r="H431">
        <v>1338.9173584</v>
      </c>
      <c r="I431">
        <v>1319.5141602000001</v>
      </c>
      <c r="J431">
        <v>1313.8942870999999</v>
      </c>
      <c r="K431">
        <v>1650</v>
      </c>
      <c r="L431">
        <v>0</v>
      </c>
      <c r="M431">
        <v>0</v>
      </c>
      <c r="N431">
        <v>1650</v>
      </c>
    </row>
    <row r="432" spans="1:14" x14ac:dyDescent="0.25">
      <c r="A432">
        <v>98.863853000000006</v>
      </c>
      <c r="B432" s="1">
        <f>DATE(2010,8,7) + TIME(20,43,56)</f>
        <v>40397.863842592589</v>
      </c>
      <c r="C432">
        <v>80</v>
      </c>
      <c r="D432">
        <v>79.915321349999999</v>
      </c>
      <c r="E432">
        <v>40</v>
      </c>
      <c r="F432">
        <v>15.318724632</v>
      </c>
      <c r="G432">
        <v>1341.7623291</v>
      </c>
      <c r="H432">
        <v>1338.9100341999999</v>
      </c>
      <c r="I432">
        <v>1319.5250243999999</v>
      </c>
      <c r="J432">
        <v>1313.9014893000001</v>
      </c>
      <c r="K432">
        <v>1650</v>
      </c>
      <c r="L432">
        <v>0</v>
      </c>
      <c r="M432">
        <v>0</v>
      </c>
      <c r="N432">
        <v>1650</v>
      </c>
    </row>
    <row r="433" spans="1:14" x14ac:dyDescent="0.25">
      <c r="A433">
        <v>99.645210000000006</v>
      </c>
      <c r="B433" s="1">
        <f>DATE(2010,8,8) + TIME(15,29,6)</f>
        <v>40398.645208333335</v>
      </c>
      <c r="C433">
        <v>80</v>
      </c>
      <c r="D433">
        <v>79.915367126000007</v>
      </c>
      <c r="E433">
        <v>40</v>
      </c>
      <c r="F433">
        <v>15.361030578999999</v>
      </c>
      <c r="G433">
        <v>1341.7528076000001</v>
      </c>
      <c r="H433">
        <v>1338.9025879000001</v>
      </c>
      <c r="I433">
        <v>1319.5363769999999</v>
      </c>
      <c r="J433">
        <v>1313.9091797000001</v>
      </c>
      <c r="K433">
        <v>1650</v>
      </c>
      <c r="L433">
        <v>0</v>
      </c>
      <c r="M433">
        <v>0</v>
      </c>
      <c r="N433">
        <v>1650</v>
      </c>
    </row>
    <row r="434" spans="1:14" x14ac:dyDescent="0.25">
      <c r="A434">
        <v>100.427713</v>
      </c>
      <c r="B434" s="1">
        <f>DATE(2010,8,9) + TIME(10,15,54)</f>
        <v>40399.427708333336</v>
      </c>
      <c r="C434">
        <v>80</v>
      </c>
      <c r="D434">
        <v>79.915420531999999</v>
      </c>
      <c r="E434">
        <v>40</v>
      </c>
      <c r="F434">
        <v>15.408909798</v>
      </c>
      <c r="G434">
        <v>1341.7434082</v>
      </c>
      <c r="H434">
        <v>1338.8952637</v>
      </c>
      <c r="I434">
        <v>1319.5479736</v>
      </c>
      <c r="J434">
        <v>1313.9172363</v>
      </c>
      <c r="K434">
        <v>1650</v>
      </c>
      <c r="L434">
        <v>0</v>
      </c>
      <c r="M434">
        <v>0</v>
      </c>
      <c r="N434">
        <v>1650</v>
      </c>
    </row>
    <row r="435" spans="1:14" x14ac:dyDescent="0.25">
      <c r="A435">
        <v>100.82057</v>
      </c>
      <c r="B435" s="1">
        <f>DATE(2010,8,9) + TIME(19,41,37)</f>
        <v>40399.820567129631</v>
      </c>
      <c r="C435">
        <v>80</v>
      </c>
      <c r="D435">
        <v>79.915428161999998</v>
      </c>
      <c r="E435">
        <v>40</v>
      </c>
      <c r="F435">
        <v>15.442517281000001</v>
      </c>
      <c r="G435">
        <v>1341.7338867000001</v>
      </c>
      <c r="H435">
        <v>1338.8876952999999</v>
      </c>
      <c r="I435">
        <v>1319.5612793</v>
      </c>
      <c r="J435">
        <v>1313.925293</v>
      </c>
      <c r="K435">
        <v>1650</v>
      </c>
      <c r="L435">
        <v>0</v>
      </c>
      <c r="M435">
        <v>0</v>
      </c>
      <c r="N435">
        <v>1650</v>
      </c>
    </row>
    <row r="436" spans="1:14" x14ac:dyDescent="0.25">
      <c r="A436">
        <v>101.21342799999999</v>
      </c>
      <c r="B436" s="1">
        <f>DATE(2010,8,10) + TIME(5,7,20)</f>
        <v>40400.213425925926</v>
      </c>
      <c r="C436">
        <v>80</v>
      </c>
      <c r="D436">
        <v>79.915451050000001</v>
      </c>
      <c r="E436">
        <v>40</v>
      </c>
      <c r="F436">
        <v>15.476567268</v>
      </c>
      <c r="G436">
        <v>1341.729126</v>
      </c>
      <c r="H436">
        <v>1338.8840332</v>
      </c>
      <c r="I436">
        <v>1319.5671387</v>
      </c>
      <c r="J436">
        <v>1313.9298096</v>
      </c>
      <c r="K436">
        <v>1650</v>
      </c>
      <c r="L436">
        <v>0</v>
      </c>
      <c r="M436">
        <v>0</v>
      </c>
      <c r="N436">
        <v>1650</v>
      </c>
    </row>
    <row r="437" spans="1:14" x14ac:dyDescent="0.25">
      <c r="A437">
        <v>101.606285</v>
      </c>
      <c r="B437" s="1">
        <f>DATE(2010,8,10) + TIME(14,33,3)</f>
        <v>40400.60628472222</v>
      </c>
      <c r="C437">
        <v>80</v>
      </c>
      <c r="D437">
        <v>79.915466308999996</v>
      </c>
      <c r="E437">
        <v>40</v>
      </c>
      <c r="F437">
        <v>15.511443138000001</v>
      </c>
      <c r="G437">
        <v>1341.7244873</v>
      </c>
      <c r="H437">
        <v>1338.880249</v>
      </c>
      <c r="I437">
        <v>1319.5732422000001</v>
      </c>
      <c r="J437">
        <v>1313.9344481999999</v>
      </c>
      <c r="K437">
        <v>1650</v>
      </c>
      <c r="L437">
        <v>0</v>
      </c>
      <c r="M437">
        <v>0</v>
      </c>
      <c r="N437">
        <v>1650</v>
      </c>
    </row>
    <row r="438" spans="1:14" x14ac:dyDescent="0.25">
      <c r="A438">
        <v>101.999143</v>
      </c>
      <c r="B438" s="1">
        <f>DATE(2010,8,10) + TIME(23,58,45)</f>
        <v>40400.999131944445</v>
      </c>
      <c r="C438">
        <v>80</v>
      </c>
      <c r="D438">
        <v>79.915489196999999</v>
      </c>
      <c r="E438">
        <v>40</v>
      </c>
      <c r="F438">
        <v>15.547456741</v>
      </c>
      <c r="G438">
        <v>1341.7197266000001</v>
      </c>
      <c r="H438">
        <v>1338.8765868999999</v>
      </c>
      <c r="I438">
        <v>1319.5793457</v>
      </c>
      <c r="J438">
        <v>1313.9390868999999</v>
      </c>
      <c r="K438">
        <v>1650</v>
      </c>
      <c r="L438">
        <v>0</v>
      </c>
      <c r="M438">
        <v>0</v>
      </c>
      <c r="N438">
        <v>1650</v>
      </c>
    </row>
    <row r="439" spans="1:14" x14ac:dyDescent="0.25">
      <c r="A439">
        <v>102.392</v>
      </c>
      <c r="B439" s="1">
        <f>DATE(2010,8,11) + TIME(9,24,28)</f>
        <v>40401.39199074074</v>
      </c>
      <c r="C439">
        <v>80</v>
      </c>
      <c r="D439">
        <v>79.915512085000003</v>
      </c>
      <c r="E439">
        <v>40</v>
      </c>
      <c r="F439">
        <v>15.584867477</v>
      </c>
      <c r="G439">
        <v>1341.7150879000001</v>
      </c>
      <c r="H439">
        <v>1338.8729248</v>
      </c>
      <c r="I439">
        <v>1319.5855713000001</v>
      </c>
      <c r="J439">
        <v>1313.9439697</v>
      </c>
      <c r="K439">
        <v>1650</v>
      </c>
      <c r="L439">
        <v>0</v>
      </c>
      <c r="M439">
        <v>0</v>
      </c>
      <c r="N439">
        <v>1650</v>
      </c>
    </row>
    <row r="440" spans="1:14" x14ac:dyDescent="0.25">
      <c r="A440">
        <v>102.784857</v>
      </c>
      <c r="B440" s="1">
        <f>DATE(2010,8,11) + TIME(18,50,11)</f>
        <v>40401.784849537034</v>
      </c>
      <c r="C440">
        <v>80</v>
      </c>
      <c r="D440">
        <v>79.915534973000007</v>
      </c>
      <c r="E440">
        <v>40</v>
      </c>
      <c r="F440">
        <v>15.623895644999999</v>
      </c>
      <c r="G440">
        <v>1341.7104492000001</v>
      </c>
      <c r="H440">
        <v>1338.8691406</v>
      </c>
      <c r="I440">
        <v>1319.5919189000001</v>
      </c>
      <c r="J440">
        <v>1313.9488524999999</v>
      </c>
      <c r="K440">
        <v>1650</v>
      </c>
      <c r="L440">
        <v>0</v>
      </c>
      <c r="M440">
        <v>0</v>
      </c>
      <c r="N440">
        <v>1650</v>
      </c>
    </row>
    <row r="441" spans="1:14" x14ac:dyDescent="0.25">
      <c r="A441">
        <v>103.17771500000001</v>
      </c>
      <c r="B441" s="1">
        <f>DATE(2010,8,12) + TIME(4,15,54)</f>
        <v>40402.177708333336</v>
      </c>
      <c r="C441">
        <v>80</v>
      </c>
      <c r="D441">
        <v>79.915557860999996</v>
      </c>
      <c r="E441">
        <v>40</v>
      </c>
      <c r="F441">
        <v>15.664732933</v>
      </c>
      <c r="G441">
        <v>1341.7058105000001</v>
      </c>
      <c r="H441">
        <v>1338.8654785000001</v>
      </c>
      <c r="I441">
        <v>1319.5982666</v>
      </c>
      <c r="J441">
        <v>1313.9538574000001</v>
      </c>
      <c r="K441">
        <v>1650</v>
      </c>
      <c r="L441">
        <v>0</v>
      </c>
      <c r="M441">
        <v>0</v>
      </c>
      <c r="N441">
        <v>1650</v>
      </c>
    </row>
    <row r="442" spans="1:14" x14ac:dyDescent="0.25">
      <c r="A442">
        <v>103.570572</v>
      </c>
      <c r="B442" s="1">
        <f>DATE(2010,8,12) + TIME(13,41,37)</f>
        <v>40402.570567129631</v>
      </c>
      <c r="C442">
        <v>80</v>
      </c>
      <c r="D442">
        <v>79.915588378999999</v>
      </c>
      <c r="E442">
        <v>40</v>
      </c>
      <c r="F442">
        <v>15.707550049</v>
      </c>
      <c r="G442">
        <v>1341.7011719</v>
      </c>
      <c r="H442">
        <v>1338.8618164</v>
      </c>
      <c r="I442">
        <v>1319.6048584</v>
      </c>
      <c r="J442">
        <v>1313.9589844</v>
      </c>
      <c r="K442">
        <v>1650</v>
      </c>
      <c r="L442">
        <v>0</v>
      </c>
      <c r="M442">
        <v>0</v>
      </c>
      <c r="N442">
        <v>1650</v>
      </c>
    </row>
    <row r="443" spans="1:14" x14ac:dyDescent="0.25">
      <c r="A443">
        <v>103.963429</v>
      </c>
      <c r="B443" s="1">
        <f>DATE(2010,8,12) + TIME(23,7,20)</f>
        <v>40402.963425925926</v>
      </c>
      <c r="C443">
        <v>80</v>
      </c>
      <c r="D443">
        <v>79.915611267000003</v>
      </c>
      <c r="E443">
        <v>40</v>
      </c>
      <c r="F443">
        <v>15.752502441000001</v>
      </c>
      <c r="G443">
        <v>1341.6965332</v>
      </c>
      <c r="H443">
        <v>1338.8581543</v>
      </c>
      <c r="I443">
        <v>1319.6113281</v>
      </c>
      <c r="J443">
        <v>1313.9642334</v>
      </c>
      <c r="K443">
        <v>1650</v>
      </c>
      <c r="L443">
        <v>0</v>
      </c>
      <c r="M443">
        <v>0</v>
      </c>
      <c r="N443">
        <v>1650</v>
      </c>
    </row>
    <row r="444" spans="1:14" x14ac:dyDescent="0.25">
      <c r="A444">
        <v>104.35628699999999</v>
      </c>
      <c r="B444" s="1">
        <f>DATE(2010,8,13) + TIME(8,33,3)</f>
        <v>40403.35628472222</v>
      </c>
      <c r="C444">
        <v>80</v>
      </c>
      <c r="D444">
        <v>79.915634155000006</v>
      </c>
      <c r="E444">
        <v>40</v>
      </c>
      <c r="F444">
        <v>15.799732208</v>
      </c>
      <c r="G444">
        <v>1341.6918945</v>
      </c>
      <c r="H444">
        <v>1338.8544922000001</v>
      </c>
      <c r="I444">
        <v>1319.6180420000001</v>
      </c>
      <c r="J444">
        <v>1313.9696045000001</v>
      </c>
      <c r="K444">
        <v>1650</v>
      </c>
      <c r="L444">
        <v>0</v>
      </c>
      <c r="M444">
        <v>0</v>
      </c>
      <c r="N444">
        <v>1650</v>
      </c>
    </row>
    <row r="445" spans="1:14" x14ac:dyDescent="0.25">
      <c r="A445">
        <v>104.749144</v>
      </c>
      <c r="B445" s="1">
        <f>DATE(2010,8,13) + TIME(17,58,46)</f>
        <v>40403.749143518522</v>
      </c>
      <c r="C445">
        <v>80</v>
      </c>
      <c r="D445">
        <v>79.915664672999995</v>
      </c>
      <c r="E445">
        <v>40</v>
      </c>
      <c r="F445">
        <v>15.849375725</v>
      </c>
      <c r="G445">
        <v>1341.6873779</v>
      </c>
      <c r="H445">
        <v>1338.8508300999999</v>
      </c>
      <c r="I445">
        <v>1319.6247559000001</v>
      </c>
      <c r="J445">
        <v>1313.9750977000001</v>
      </c>
      <c r="K445">
        <v>1650</v>
      </c>
      <c r="L445">
        <v>0</v>
      </c>
      <c r="M445">
        <v>0</v>
      </c>
      <c r="N445">
        <v>1650</v>
      </c>
    </row>
    <row r="446" spans="1:14" x14ac:dyDescent="0.25">
      <c r="A446">
        <v>105.534859</v>
      </c>
      <c r="B446" s="1">
        <f>DATE(2010,8,14) + TIME(12,50,11)</f>
        <v>40404.534849537034</v>
      </c>
      <c r="C446">
        <v>80</v>
      </c>
      <c r="D446">
        <v>79.915725707999997</v>
      </c>
      <c r="E446">
        <v>40</v>
      </c>
      <c r="F446">
        <v>15.933060645999999</v>
      </c>
      <c r="G446">
        <v>1341.6828613</v>
      </c>
      <c r="H446">
        <v>1338.8472899999999</v>
      </c>
      <c r="I446">
        <v>1319.6292725000001</v>
      </c>
      <c r="J446">
        <v>1313.9813231999999</v>
      </c>
      <c r="K446">
        <v>1650</v>
      </c>
      <c r="L446">
        <v>0</v>
      </c>
      <c r="M446">
        <v>0</v>
      </c>
      <c r="N446">
        <v>1650</v>
      </c>
    </row>
    <row r="447" spans="1:14" x14ac:dyDescent="0.25">
      <c r="A447">
        <v>106.323244</v>
      </c>
      <c r="B447" s="1">
        <f>DATE(2010,8,15) + TIME(7,45,28)</f>
        <v>40405.323240740741</v>
      </c>
      <c r="C447">
        <v>80</v>
      </c>
      <c r="D447">
        <v>79.915786742999998</v>
      </c>
      <c r="E447">
        <v>40</v>
      </c>
      <c r="F447">
        <v>16.033737183</v>
      </c>
      <c r="G447">
        <v>1341.6737060999999</v>
      </c>
      <c r="H447">
        <v>1338.8400879000001</v>
      </c>
      <c r="I447">
        <v>1319.6434326000001</v>
      </c>
      <c r="J447">
        <v>1313.9926757999999</v>
      </c>
      <c r="K447">
        <v>1650</v>
      </c>
      <c r="L447">
        <v>0</v>
      </c>
      <c r="M447">
        <v>0</v>
      </c>
      <c r="N447">
        <v>1650</v>
      </c>
    </row>
    <row r="448" spans="1:14" x14ac:dyDescent="0.25">
      <c r="A448">
        <v>107.126226</v>
      </c>
      <c r="B448" s="1">
        <f>DATE(2010,8,16) + TIME(3,1,45)</f>
        <v>40406.126215277778</v>
      </c>
      <c r="C448">
        <v>80</v>
      </c>
      <c r="D448">
        <v>79.915840149000005</v>
      </c>
      <c r="E448">
        <v>40</v>
      </c>
      <c r="F448">
        <v>16.151018143000002</v>
      </c>
      <c r="G448">
        <v>1341.6645507999999</v>
      </c>
      <c r="H448">
        <v>1338.8327637</v>
      </c>
      <c r="I448">
        <v>1319.6574707</v>
      </c>
      <c r="J448">
        <v>1314.0046387</v>
      </c>
      <c r="K448">
        <v>1650</v>
      </c>
      <c r="L448">
        <v>0</v>
      </c>
      <c r="M448">
        <v>0</v>
      </c>
      <c r="N448">
        <v>1650</v>
      </c>
    </row>
    <row r="449" spans="1:14" x14ac:dyDescent="0.25">
      <c r="A449">
        <v>107.93834</v>
      </c>
      <c r="B449" s="1">
        <f>DATE(2010,8,16) + TIME(22,31,12)</f>
        <v>40406.938333333332</v>
      </c>
      <c r="C449">
        <v>80</v>
      </c>
      <c r="D449">
        <v>79.915901184000006</v>
      </c>
      <c r="E449">
        <v>40</v>
      </c>
      <c r="F449">
        <v>16.284662247</v>
      </c>
      <c r="G449">
        <v>1341.6552733999999</v>
      </c>
      <c r="H449">
        <v>1338.8254394999999</v>
      </c>
      <c r="I449">
        <v>1319.671875</v>
      </c>
      <c r="J449">
        <v>1314.0175781</v>
      </c>
      <c r="K449">
        <v>1650</v>
      </c>
      <c r="L449">
        <v>0</v>
      </c>
      <c r="M449">
        <v>0</v>
      </c>
      <c r="N449">
        <v>1650</v>
      </c>
    </row>
    <row r="450" spans="1:14" x14ac:dyDescent="0.25">
      <c r="A450">
        <v>108.34549699999999</v>
      </c>
      <c r="B450" s="1">
        <f>DATE(2010,8,17) + TIME(8,17,30)</f>
        <v>40407.345486111109</v>
      </c>
      <c r="C450">
        <v>80</v>
      </c>
      <c r="D450">
        <v>79.915916443</v>
      </c>
      <c r="E450">
        <v>40</v>
      </c>
      <c r="F450">
        <v>16.378761292</v>
      </c>
      <c r="G450">
        <v>1341.645874</v>
      </c>
      <c r="H450">
        <v>1338.8178711</v>
      </c>
      <c r="I450">
        <v>1319.6904297000001</v>
      </c>
      <c r="J450">
        <v>1314.0302733999999</v>
      </c>
      <c r="K450">
        <v>1650</v>
      </c>
      <c r="L450">
        <v>0</v>
      </c>
      <c r="M450">
        <v>0</v>
      </c>
      <c r="N450">
        <v>1650</v>
      </c>
    </row>
    <row r="451" spans="1:14" x14ac:dyDescent="0.25">
      <c r="A451">
        <v>108.752655</v>
      </c>
      <c r="B451" s="1">
        <f>DATE(2010,8,17) + TIME(18,3,49)</f>
        <v>40407.752650462964</v>
      </c>
      <c r="C451">
        <v>80</v>
      </c>
      <c r="D451">
        <v>79.915939331000004</v>
      </c>
      <c r="E451">
        <v>40</v>
      </c>
      <c r="F451">
        <v>16.472961426000001</v>
      </c>
      <c r="G451">
        <v>1341.6412353999999</v>
      </c>
      <c r="H451">
        <v>1338.8140868999999</v>
      </c>
      <c r="I451">
        <v>1319.6971435999999</v>
      </c>
      <c r="J451">
        <v>1314.0378418</v>
      </c>
      <c r="K451">
        <v>1650</v>
      </c>
      <c r="L451">
        <v>0</v>
      </c>
      <c r="M451">
        <v>0</v>
      </c>
      <c r="N451">
        <v>1650</v>
      </c>
    </row>
    <row r="452" spans="1:14" x14ac:dyDescent="0.25">
      <c r="A452">
        <v>109.159812</v>
      </c>
      <c r="B452" s="1">
        <f>DATE(2010,8,18) + TIME(3,50,7)</f>
        <v>40408.159803240742</v>
      </c>
      <c r="C452">
        <v>80</v>
      </c>
      <c r="D452">
        <v>79.915962218999994</v>
      </c>
      <c r="E452">
        <v>40</v>
      </c>
      <c r="F452">
        <v>16.568313599</v>
      </c>
      <c r="G452">
        <v>1341.6365966999999</v>
      </c>
      <c r="H452">
        <v>1338.8104248</v>
      </c>
      <c r="I452">
        <v>1319.7041016000001</v>
      </c>
      <c r="J452">
        <v>1314.0456543</v>
      </c>
      <c r="K452">
        <v>1650</v>
      </c>
      <c r="L452">
        <v>0</v>
      </c>
      <c r="M452">
        <v>0</v>
      </c>
      <c r="N452">
        <v>1650</v>
      </c>
    </row>
    <row r="453" spans="1:14" x14ac:dyDescent="0.25">
      <c r="A453">
        <v>109.566969</v>
      </c>
      <c r="B453" s="1">
        <f>DATE(2010,8,18) + TIME(13,36,26)</f>
        <v>40408.566967592589</v>
      </c>
      <c r="C453">
        <v>80</v>
      </c>
      <c r="D453">
        <v>79.915985106999997</v>
      </c>
      <c r="E453">
        <v>40</v>
      </c>
      <c r="F453">
        <v>16.665645599000001</v>
      </c>
      <c r="G453">
        <v>1341.6319579999999</v>
      </c>
      <c r="H453">
        <v>1338.8066406</v>
      </c>
      <c r="I453">
        <v>1319.7111815999999</v>
      </c>
      <c r="J453">
        <v>1314.0535889</v>
      </c>
      <c r="K453">
        <v>1650</v>
      </c>
      <c r="L453">
        <v>0</v>
      </c>
      <c r="M453">
        <v>0</v>
      </c>
      <c r="N453">
        <v>1650</v>
      </c>
    </row>
    <row r="454" spans="1:14" x14ac:dyDescent="0.25">
      <c r="A454">
        <v>109.974127</v>
      </c>
      <c r="B454" s="1">
        <f>DATE(2010,8,18) + TIME(23,22,44)</f>
        <v>40408.974120370367</v>
      </c>
      <c r="C454">
        <v>80</v>
      </c>
      <c r="D454">
        <v>79.916015625</v>
      </c>
      <c r="E454">
        <v>40</v>
      </c>
      <c r="F454">
        <v>16.765605926999999</v>
      </c>
      <c r="G454">
        <v>1341.6273193</v>
      </c>
      <c r="H454">
        <v>1338.8029785000001</v>
      </c>
      <c r="I454">
        <v>1319.7183838000001</v>
      </c>
      <c r="J454">
        <v>1314.0615233999999</v>
      </c>
      <c r="K454">
        <v>1650</v>
      </c>
      <c r="L454">
        <v>0</v>
      </c>
      <c r="M454">
        <v>0</v>
      </c>
      <c r="N454">
        <v>1650</v>
      </c>
    </row>
    <row r="455" spans="1:14" x14ac:dyDescent="0.25">
      <c r="A455">
        <v>110.38128399999999</v>
      </c>
      <c r="B455" s="1">
        <f>DATE(2010,8,19) + TIME(9,9,2)</f>
        <v>40409.381273148145</v>
      </c>
      <c r="C455">
        <v>80</v>
      </c>
      <c r="D455">
        <v>79.916038513000004</v>
      </c>
      <c r="E455">
        <v>40</v>
      </c>
      <c r="F455">
        <v>16.868692398</v>
      </c>
      <c r="G455">
        <v>1341.6226807</v>
      </c>
      <c r="H455">
        <v>1338.7991943</v>
      </c>
      <c r="I455">
        <v>1319.7257079999999</v>
      </c>
      <c r="J455">
        <v>1314.0698242000001</v>
      </c>
      <c r="K455">
        <v>1650</v>
      </c>
      <c r="L455">
        <v>0</v>
      </c>
      <c r="M455">
        <v>0</v>
      </c>
      <c r="N455">
        <v>1650</v>
      </c>
    </row>
    <row r="456" spans="1:14" x14ac:dyDescent="0.25">
      <c r="A456">
        <v>110.788442</v>
      </c>
      <c r="B456" s="1">
        <f>DATE(2010,8,19) + TIME(18,55,21)</f>
        <v>40409.788437499999</v>
      </c>
      <c r="C456">
        <v>80</v>
      </c>
      <c r="D456">
        <v>79.916069031000006</v>
      </c>
      <c r="E456">
        <v>40</v>
      </c>
      <c r="F456">
        <v>16.975320816</v>
      </c>
      <c r="G456">
        <v>1341.6180420000001</v>
      </c>
      <c r="H456">
        <v>1338.7955322</v>
      </c>
      <c r="I456">
        <v>1319.7330322</v>
      </c>
      <c r="J456">
        <v>1314.078125</v>
      </c>
      <c r="K456">
        <v>1650</v>
      </c>
      <c r="L456">
        <v>0</v>
      </c>
      <c r="M456">
        <v>0</v>
      </c>
      <c r="N456">
        <v>1650</v>
      </c>
    </row>
    <row r="457" spans="1:14" x14ac:dyDescent="0.25">
      <c r="A457">
        <v>111.195599</v>
      </c>
      <c r="B457" s="1">
        <f>DATE(2010,8,20) + TIME(4,41,39)</f>
        <v>40410.195590277777</v>
      </c>
      <c r="C457">
        <v>80</v>
      </c>
      <c r="D457">
        <v>79.916091918999996</v>
      </c>
      <c r="E457">
        <v>40</v>
      </c>
      <c r="F457">
        <v>17.085817337000002</v>
      </c>
      <c r="G457">
        <v>1341.6135254000001</v>
      </c>
      <c r="H457">
        <v>1338.7918701000001</v>
      </c>
      <c r="I457">
        <v>1319.7404785000001</v>
      </c>
      <c r="J457">
        <v>1314.0867920000001</v>
      </c>
      <c r="K457">
        <v>1650</v>
      </c>
      <c r="L457">
        <v>0</v>
      </c>
      <c r="M457">
        <v>0</v>
      </c>
      <c r="N457">
        <v>1650</v>
      </c>
    </row>
    <row r="458" spans="1:14" x14ac:dyDescent="0.25">
      <c r="A458">
        <v>111.602756</v>
      </c>
      <c r="B458" s="1">
        <f>DATE(2010,8,20) + TIME(14,27,58)</f>
        <v>40410.602754629632</v>
      </c>
      <c r="C458">
        <v>80</v>
      </c>
      <c r="D458">
        <v>79.916122436999999</v>
      </c>
      <c r="E458">
        <v>40</v>
      </c>
      <c r="F458">
        <v>17.200435637999998</v>
      </c>
      <c r="G458">
        <v>1341.6088867000001</v>
      </c>
      <c r="H458">
        <v>1338.7880858999999</v>
      </c>
      <c r="I458">
        <v>1319.7478027</v>
      </c>
      <c r="J458">
        <v>1314.0955810999999</v>
      </c>
      <c r="K458">
        <v>1650</v>
      </c>
      <c r="L458">
        <v>0</v>
      </c>
      <c r="M458">
        <v>0</v>
      </c>
      <c r="N458">
        <v>1650</v>
      </c>
    </row>
    <row r="459" spans="1:14" x14ac:dyDescent="0.25">
      <c r="A459">
        <v>112.00991399999999</v>
      </c>
      <c r="B459" s="1">
        <f>DATE(2010,8,21) + TIME(0,14,16)</f>
        <v>40411.00990740741</v>
      </c>
      <c r="C459">
        <v>80</v>
      </c>
      <c r="D459">
        <v>79.916152953999998</v>
      </c>
      <c r="E459">
        <v>40</v>
      </c>
      <c r="F459">
        <v>17.319375992000001</v>
      </c>
      <c r="G459">
        <v>1341.6043701000001</v>
      </c>
      <c r="H459">
        <v>1338.7844238</v>
      </c>
      <c r="I459">
        <v>1319.755249</v>
      </c>
      <c r="J459">
        <v>1314.1044922000001</v>
      </c>
      <c r="K459">
        <v>1650</v>
      </c>
      <c r="L459">
        <v>0</v>
      </c>
      <c r="M459">
        <v>0</v>
      </c>
      <c r="N459">
        <v>1650</v>
      </c>
    </row>
    <row r="460" spans="1:14" x14ac:dyDescent="0.25">
      <c r="A460">
        <v>112.41707100000001</v>
      </c>
      <c r="B460" s="1">
        <f>DATE(2010,8,21) + TIME(10,0,34)</f>
        <v>40411.417060185187</v>
      </c>
      <c r="C460">
        <v>80</v>
      </c>
      <c r="D460">
        <v>79.916183472</v>
      </c>
      <c r="E460">
        <v>40</v>
      </c>
      <c r="F460">
        <v>17.442787169999999</v>
      </c>
      <c r="G460">
        <v>1341.5998535000001</v>
      </c>
      <c r="H460">
        <v>1338.7807617000001</v>
      </c>
      <c r="I460">
        <v>1319.7625731999999</v>
      </c>
      <c r="J460">
        <v>1314.1136475000001</v>
      </c>
      <c r="K460">
        <v>1650</v>
      </c>
      <c r="L460">
        <v>0</v>
      </c>
      <c r="M460">
        <v>0</v>
      </c>
      <c r="N460">
        <v>1650</v>
      </c>
    </row>
    <row r="461" spans="1:14" x14ac:dyDescent="0.25">
      <c r="A461">
        <v>112.82422800000001</v>
      </c>
      <c r="B461" s="1">
        <f>DATE(2010,8,21) + TIME(19,46,53)</f>
        <v>40411.824224537035</v>
      </c>
      <c r="C461">
        <v>80</v>
      </c>
      <c r="D461">
        <v>79.916206360000004</v>
      </c>
      <c r="E461">
        <v>40</v>
      </c>
      <c r="F461">
        <v>17.570783615</v>
      </c>
      <c r="G461">
        <v>1341.5952147999999</v>
      </c>
      <c r="H461">
        <v>1338.7770995999999</v>
      </c>
      <c r="I461">
        <v>1319.7698975000001</v>
      </c>
      <c r="J461">
        <v>1314.1230469</v>
      </c>
      <c r="K461">
        <v>1650</v>
      </c>
      <c r="L461">
        <v>0</v>
      </c>
      <c r="M461">
        <v>0</v>
      </c>
      <c r="N461">
        <v>1650</v>
      </c>
    </row>
    <row r="462" spans="1:14" x14ac:dyDescent="0.25">
      <c r="A462">
        <v>113.231386</v>
      </c>
      <c r="B462" s="1">
        <f>DATE(2010,8,22) + TIME(5,33,11)</f>
        <v>40412.231377314813</v>
      </c>
      <c r="C462">
        <v>80</v>
      </c>
      <c r="D462">
        <v>79.916236877000003</v>
      </c>
      <c r="E462">
        <v>40</v>
      </c>
      <c r="F462">
        <v>17.703453064000001</v>
      </c>
      <c r="G462">
        <v>1341.5906981999999</v>
      </c>
      <c r="H462">
        <v>1338.7734375</v>
      </c>
      <c r="I462">
        <v>1319.7772216999999</v>
      </c>
      <c r="J462">
        <v>1314.1326904</v>
      </c>
      <c r="K462">
        <v>1650</v>
      </c>
      <c r="L462">
        <v>0</v>
      </c>
      <c r="M462">
        <v>0</v>
      </c>
      <c r="N462">
        <v>1650</v>
      </c>
    </row>
    <row r="463" spans="1:14" x14ac:dyDescent="0.25">
      <c r="A463">
        <v>114.04570099999999</v>
      </c>
      <c r="B463" s="1">
        <f>DATE(2010,8,23) + TIME(1,5,48)</f>
        <v>40413.045694444445</v>
      </c>
      <c r="C463">
        <v>80</v>
      </c>
      <c r="D463">
        <v>79.916305542000003</v>
      </c>
      <c r="E463">
        <v>40</v>
      </c>
      <c r="F463">
        <v>17.920778275</v>
      </c>
      <c r="G463">
        <v>1341.5863036999999</v>
      </c>
      <c r="H463">
        <v>1338.7698975000001</v>
      </c>
      <c r="I463">
        <v>1319.7794189000001</v>
      </c>
      <c r="J463">
        <v>1314.1441649999999</v>
      </c>
      <c r="K463">
        <v>1650</v>
      </c>
      <c r="L463">
        <v>0</v>
      </c>
      <c r="M463">
        <v>0</v>
      </c>
      <c r="N463">
        <v>1650</v>
      </c>
    </row>
    <row r="464" spans="1:14" x14ac:dyDescent="0.25">
      <c r="A464">
        <v>114.86201699999999</v>
      </c>
      <c r="B464" s="1">
        <f>DATE(2010,8,23) + TIME(20,41,18)</f>
        <v>40413.862013888887</v>
      </c>
      <c r="C464">
        <v>80</v>
      </c>
      <c r="D464">
        <v>79.916374207000004</v>
      </c>
      <c r="E464">
        <v>40</v>
      </c>
      <c r="F464">
        <v>18.177623748999999</v>
      </c>
      <c r="G464">
        <v>1341.5772704999999</v>
      </c>
      <c r="H464">
        <v>1338.7625731999999</v>
      </c>
      <c r="I464">
        <v>1319.7954102000001</v>
      </c>
      <c r="J464">
        <v>1314.1633300999999</v>
      </c>
      <c r="K464">
        <v>1650</v>
      </c>
      <c r="L464">
        <v>0</v>
      </c>
      <c r="M464">
        <v>0</v>
      </c>
      <c r="N464">
        <v>1650</v>
      </c>
    </row>
    <row r="465" spans="1:14" x14ac:dyDescent="0.25">
      <c r="A465">
        <v>115.700283</v>
      </c>
      <c r="B465" s="1">
        <f>DATE(2010,8,24) + TIME(16,48,24)</f>
        <v>40414.700277777774</v>
      </c>
      <c r="C465">
        <v>80</v>
      </c>
      <c r="D465">
        <v>79.916435242000006</v>
      </c>
      <c r="E465">
        <v>40</v>
      </c>
      <c r="F465">
        <v>18.470035552999999</v>
      </c>
      <c r="G465">
        <v>1341.5682373</v>
      </c>
      <c r="H465">
        <v>1338.755249</v>
      </c>
      <c r="I465">
        <v>1319.8103027</v>
      </c>
      <c r="J465">
        <v>1314.1838379000001</v>
      </c>
      <c r="K465">
        <v>1650</v>
      </c>
      <c r="L465">
        <v>0</v>
      </c>
      <c r="M465">
        <v>0</v>
      </c>
      <c r="N465">
        <v>1650</v>
      </c>
    </row>
    <row r="466" spans="1:14" x14ac:dyDescent="0.25">
      <c r="A466">
        <v>116.127347</v>
      </c>
      <c r="B466" s="1">
        <f>DATE(2010,8,25) + TIME(3,3,22)</f>
        <v>40415.127337962964</v>
      </c>
      <c r="C466">
        <v>80</v>
      </c>
      <c r="D466">
        <v>79.916458129999995</v>
      </c>
      <c r="E466">
        <v>40</v>
      </c>
      <c r="F466">
        <v>18.677152633999999</v>
      </c>
      <c r="G466">
        <v>1341.559082</v>
      </c>
      <c r="H466">
        <v>1338.7478027</v>
      </c>
      <c r="I466">
        <v>1319.8328856999999</v>
      </c>
      <c r="J466">
        <v>1314.2036132999999</v>
      </c>
      <c r="K466">
        <v>1650</v>
      </c>
      <c r="L466">
        <v>0</v>
      </c>
      <c r="M466">
        <v>0</v>
      </c>
      <c r="N466">
        <v>1650</v>
      </c>
    </row>
    <row r="467" spans="1:14" x14ac:dyDescent="0.25">
      <c r="A467">
        <v>116.941429</v>
      </c>
      <c r="B467" s="1">
        <f>DATE(2010,8,25) + TIME(22,35,39)</f>
        <v>40415.941423611112</v>
      </c>
      <c r="C467">
        <v>80</v>
      </c>
      <c r="D467">
        <v>79.916526794000006</v>
      </c>
      <c r="E467">
        <v>40</v>
      </c>
      <c r="F467">
        <v>18.985630035</v>
      </c>
      <c r="G467">
        <v>1341.5544434000001</v>
      </c>
      <c r="H467">
        <v>1338.7440185999999</v>
      </c>
      <c r="I467">
        <v>1319.8319091999999</v>
      </c>
      <c r="J467">
        <v>1314.2182617000001</v>
      </c>
      <c r="K467">
        <v>1650</v>
      </c>
      <c r="L467">
        <v>0</v>
      </c>
      <c r="M467">
        <v>0</v>
      </c>
      <c r="N467">
        <v>1650</v>
      </c>
    </row>
    <row r="468" spans="1:14" x14ac:dyDescent="0.25">
      <c r="A468">
        <v>117.781499</v>
      </c>
      <c r="B468" s="1">
        <f>DATE(2010,8,26) + TIME(18,45,21)</f>
        <v>40416.781493055554</v>
      </c>
      <c r="C468">
        <v>80</v>
      </c>
      <c r="D468">
        <v>79.916587829999997</v>
      </c>
      <c r="E468">
        <v>40</v>
      </c>
      <c r="F468">
        <v>19.329341887999998</v>
      </c>
      <c r="G468">
        <v>1341.5455322</v>
      </c>
      <c r="H468">
        <v>1338.7368164</v>
      </c>
      <c r="I468">
        <v>1319.8460693</v>
      </c>
      <c r="J468">
        <v>1314.2409668</v>
      </c>
      <c r="K468">
        <v>1650</v>
      </c>
      <c r="L468">
        <v>0</v>
      </c>
      <c r="M468">
        <v>0</v>
      </c>
      <c r="N468">
        <v>1650</v>
      </c>
    </row>
    <row r="469" spans="1:14" x14ac:dyDescent="0.25">
      <c r="A469">
        <v>118.624388</v>
      </c>
      <c r="B469" s="1">
        <f>DATE(2010,8,27) + TIME(14,59,7)</f>
        <v>40417.624386574076</v>
      </c>
      <c r="C469">
        <v>80</v>
      </c>
      <c r="D469">
        <v>79.916648864999999</v>
      </c>
      <c r="E469">
        <v>40</v>
      </c>
      <c r="F469">
        <v>19.699247360000001</v>
      </c>
      <c r="G469">
        <v>1341.536499</v>
      </c>
      <c r="H469">
        <v>1338.7294922000001</v>
      </c>
      <c r="I469">
        <v>1319.8605957</v>
      </c>
      <c r="J469">
        <v>1314.2652588000001</v>
      </c>
      <c r="K469">
        <v>1650</v>
      </c>
      <c r="L469">
        <v>0</v>
      </c>
      <c r="M469">
        <v>0</v>
      </c>
      <c r="N469">
        <v>1650</v>
      </c>
    </row>
    <row r="470" spans="1:14" x14ac:dyDescent="0.25">
      <c r="A470">
        <v>119.47462899999999</v>
      </c>
      <c r="B470" s="1">
        <f>DATE(2010,8,28) + TIME(11,23,27)</f>
        <v>40418.474618055552</v>
      </c>
      <c r="C470">
        <v>80</v>
      </c>
      <c r="D470">
        <v>79.916709900000001</v>
      </c>
      <c r="E470">
        <v>40</v>
      </c>
      <c r="F470">
        <v>20.092508316</v>
      </c>
      <c r="G470">
        <v>1341.5274658000001</v>
      </c>
      <c r="H470">
        <v>1338.7220459</v>
      </c>
      <c r="I470">
        <v>1319.8747559000001</v>
      </c>
      <c r="J470">
        <v>1314.2906493999999</v>
      </c>
      <c r="K470">
        <v>1650</v>
      </c>
      <c r="L470">
        <v>0</v>
      </c>
      <c r="M470">
        <v>0</v>
      </c>
      <c r="N470">
        <v>1650</v>
      </c>
    </row>
    <row r="471" spans="1:14" x14ac:dyDescent="0.25">
      <c r="A471">
        <v>120.336386</v>
      </c>
      <c r="B471" s="1">
        <f>DATE(2010,8,29) + TIME(8,4,23)</f>
        <v>40419.336377314816</v>
      </c>
      <c r="C471">
        <v>80</v>
      </c>
      <c r="D471">
        <v>79.916778563999998</v>
      </c>
      <c r="E471">
        <v>40</v>
      </c>
      <c r="F471">
        <v>20.509096146000001</v>
      </c>
      <c r="G471">
        <v>1341.5183105000001</v>
      </c>
      <c r="H471">
        <v>1338.7145995999999</v>
      </c>
      <c r="I471">
        <v>1319.8886719</v>
      </c>
      <c r="J471">
        <v>1314.3172606999999</v>
      </c>
      <c r="K471">
        <v>1650</v>
      </c>
      <c r="L471">
        <v>0</v>
      </c>
      <c r="M471">
        <v>0</v>
      </c>
      <c r="N471">
        <v>1650</v>
      </c>
    </row>
    <row r="472" spans="1:14" x14ac:dyDescent="0.25">
      <c r="A472">
        <v>121.20717999999999</v>
      </c>
      <c r="B472" s="1">
        <f>DATE(2010,8,30) + TIME(4,58,20)</f>
        <v>40420.207175925927</v>
      </c>
      <c r="C472">
        <v>80</v>
      </c>
      <c r="D472">
        <v>79.916839600000003</v>
      </c>
      <c r="E472">
        <v>40</v>
      </c>
      <c r="F472">
        <v>20.947835921999999</v>
      </c>
      <c r="G472">
        <v>1341.5091553</v>
      </c>
      <c r="H472">
        <v>1338.7071533000001</v>
      </c>
      <c r="I472">
        <v>1319.9027100000001</v>
      </c>
      <c r="J472">
        <v>1314.3449707</v>
      </c>
      <c r="K472">
        <v>1650</v>
      </c>
      <c r="L472">
        <v>0</v>
      </c>
      <c r="M472">
        <v>0</v>
      </c>
      <c r="N472">
        <v>1650</v>
      </c>
    </row>
    <row r="473" spans="1:14" x14ac:dyDescent="0.25">
      <c r="A473">
        <v>122.078372</v>
      </c>
      <c r="B473" s="1">
        <f>DATE(2010,8,31) + TIME(1,52,51)</f>
        <v>40421.078368055554</v>
      </c>
      <c r="C473">
        <v>80</v>
      </c>
      <c r="D473">
        <v>79.916908264</v>
      </c>
      <c r="E473">
        <v>40</v>
      </c>
      <c r="F473">
        <v>21.40571022</v>
      </c>
      <c r="G473">
        <v>1341.5</v>
      </c>
      <c r="H473">
        <v>1338.6995850000001</v>
      </c>
      <c r="I473">
        <v>1319.9168701000001</v>
      </c>
      <c r="J473">
        <v>1314.3737793</v>
      </c>
      <c r="K473">
        <v>1650</v>
      </c>
      <c r="L473">
        <v>0</v>
      </c>
      <c r="M473">
        <v>0</v>
      </c>
      <c r="N473">
        <v>1650</v>
      </c>
    </row>
    <row r="474" spans="1:14" x14ac:dyDescent="0.25">
      <c r="A474">
        <v>122.95389299999999</v>
      </c>
      <c r="B474" s="1">
        <f>DATE(2010,8,31) + TIME(22,53,36)</f>
        <v>40421.953888888886</v>
      </c>
      <c r="C474">
        <v>80</v>
      </c>
      <c r="D474">
        <v>79.916969299000002</v>
      </c>
      <c r="E474">
        <v>40</v>
      </c>
      <c r="F474">
        <v>21.881916046000001</v>
      </c>
      <c r="G474">
        <v>1341.4908447</v>
      </c>
      <c r="H474">
        <v>1338.6921387</v>
      </c>
      <c r="I474">
        <v>1319.9307861</v>
      </c>
      <c r="J474">
        <v>1314.4034423999999</v>
      </c>
      <c r="K474">
        <v>1650</v>
      </c>
      <c r="L474">
        <v>0</v>
      </c>
      <c r="M474">
        <v>0</v>
      </c>
      <c r="N474">
        <v>1650</v>
      </c>
    </row>
    <row r="475" spans="1:14" x14ac:dyDescent="0.25">
      <c r="A475">
        <v>123</v>
      </c>
      <c r="B475" s="1">
        <f>DATE(2010,9,1) + TIME(0,0,0)</f>
        <v>40422</v>
      </c>
      <c r="C475">
        <v>80</v>
      </c>
      <c r="D475">
        <v>79.916969299000002</v>
      </c>
      <c r="E475">
        <v>40</v>
      </c>
      <c r="F475">
        <v>21.927654266000001</v>
      </c>
      <c r="G475">
        <v>1341.4822998</v>
      </c>
      <c r="H475">
        <v>1338.6851807</v>
      </c>
      <c r="I475">
        <v>1319.9692382999999</v>
      </c>
      <c r="J475">
        <v>1314.4243164</v>
      </c>
      <c r="K475">
        <v>1650</v>
      </c>
      <c r="L475">
        <v>0</v>
      </c>
      <c r="M475">
        <v>0</v>
      </c>
      <c r="N475">
        <v>1650</v>
      </c>
    </row>
    <row r="476" spans="1:14" x14ac:dyDescent="0.25">
      <c r="A476">
        <v>123.88382</v>
      </c>
      <c r="B476" s="1">
        <f>DATE(2010,9,1) + TIME(21,12,42)</f>
        <v>40422.883819444447</v>
      </c>
      <c r="C476">
        <v>80</v>
      </c>
      <c r="D476">
        <v>79.917037964000002</v>
      </c>
      <c r="E476">
        <v>40</v>
      </c>
      <c r="F476">
        <v>22.413721084999999</v>
      </c>
      <c r="G476">
        <v>1341.4813231999999</v>
      </c>
      <c r="H476">
        <v>1338.6843262</v>
      </c>
      <c r="I476">
        <v>1319.9447021000001</v>
      </c>
      <c r="J476">
        <v>1314.4361572</v>
      </c>
      <c r="K476">
        <v>1650</v>
      </c>
      <c r="L476">
        <v>0</v>
      </c>
      <c r="M476">
        <v>0</v>
      </c>
      <c r="N476">
        <v>1650</v>
      </c>
    </row>
    <row r="477" spans="1:14" x14ac:dyDescent="0.25">
      <c r="A477">
        <v>124.780564</v>
      </c>
      <c r="B477" s="1">
        <f>DATE(2010,9,2) + TIME(18,44,0)</f>
        <v>40423.780555555553</v>
      </c>
      <c r="C477">
        <v>80</v>
      </c>
      <c r="D477">
        <v>79.917106627999999</v>
      </c>
      <c r="E477">
        <v>40</v>
      </c>
      <c r="F477">
        <v>22.922775268999999</v>
      </c>
      <c r="G477">
        <v>1341.472168</v>
      </c>
      <c r="H477">
        <v>1338.6767577999999</v>
      </c>
      <c r="I477">
        <v>1319.9587402</v>
      </c>
      <c r="J477">
        <v>1314.4677733999999</v>
      </c>
      <c r="K477">
        <v>1650</v>
      </c>
      <c r="L477">
        <v>0</v>
      </c>
      <c r="M477">
        <v>0</v>
      </c>
      <c r="N477">
        <v>1650</v>
      </c>
    </row>
    <row r="478" spans="1:14" x14ac:dyDescent="0.25">
      <c r="A478">
        <v>125.69368</v>
      </c>
      <c r="B478" s="1">
        <f>DATE(2010,9,3) + TIME(16,38,53)</f>
        <v>40424.693668981483</v>
      </c>
      <c r="C478">
        <v>80</v>
      </c>
      <c r="D478">
        <v>79.917182921999995</v>
      </c>
      <c r="E478">
        <v>40</v>
      </c>
      <c r="F478">
        <v>23.453311920000001</v>
      </c>
      <c r="G478">
        <v>1341.4630127</v>
      </c>
      <c r="H478">
        <v>1338.6693115</v>
      </c>
      <c r="I478">
        <v>1319.9726562000001</v>
      </c>
      <c r="J478">
        <v>1314.5006103999999</v>
      </c>
      <c r="K478">
        <v>1650</v>
      </c>
      <c r="L478">
        <v>0</v>
      </c>
      <c r="M478">
        <v>0</v>
      </c>
      <c r="N478">
        <v>1650</v>
      </c>
    </row>
    <row r="479" spans="1:14" x14ac:dyDescent="0.25">
      <c r="A479">
        <v>126.627622</v>
      </c>
      <c r="B479" s="1">
        <f>DATE(2010,9,4) + TIME(15,3,46)</f>
        <v>40425.627615740741</v>
      </c>
      <c r="C479">
        <v>80</v>
      </c>
      <c r="D479">
        <v>79.917251586999996</v>
      </c>
      <c r="E479">
        <v>40</v>
      </c>
      <c r="F479">
        <v>24.004796981999998</v>
      </c>
      <c r="G479">
        <v>1341.4537353999999</v>
      </c>
      <c r="H479">
        <v>1338.6616211</v>
      </c>
      <c r="I479">
        <v>1319.9868164</v>
      </c>
      <c r="J479">
        <v>1314.5347899999999</v>
      </c>
      <c r="K479">
        <v>1650</v>
      </c>
      <c r="L479">
        <v>0</v>
      </c>
      <c r="M479">
        <v>0</v>
      </c>
      <c r="N479">
        <v>1650</v>
      </c>
    </row>
    <row r="480" spans="1:14" x14ac:dyDescent="0.25">
      <c r="A480">
        <v>127.57737299999999</v>
      </c>
      <c r="B480" s="1">
        <f>DATE(2010,9,5) + TIME(13,51,25)</f>
        <v>40426.577372685184</v>
      </c>
      <c r="C480">
        <v>80</v>
      </c>
      <c r="D480">
        <v>79.917327881000006</v>
      </c>
      <c r="E480">
        <v>40</v>
      </c>
      <c r="F480">
        <v>24.573825836000001</v>
      </c>
      <c r="G480">
        <v>1341.4443358999999</v>
      </c>
      <c r="H480">
        <v>1338.6539307</v>
      </c>
      <c r="I480">
        <v>1320.0013428</v>
      </c>
      <c r="J480">
        <v>1314.5701904</v>
      </c>
      <c r="K480">
        <v>1650</v>
      </c>
      <c r="L480">
        <v>0</v>
      </c>
      <c r="M480">
        <v>0</v>
      </c>
      <c r="N480">
        <v>1650</v>
      </c>
    </row>
    <row r="481" spans="1:14" x14ac:dyDescent="0.25">
      <c r="A481">
        <v>128.537485</v>
      </c>
      <c r="B481" s="1">
        <f>DATE(2010,9,6) + TIME(12,53,58)</f>
        <v>40427.537476851852</v>
      </c>
      <c r="C481">
        <v>80</v>
      </c>
      <c r="D481">
        <v>79.917396545000003</v>
      </c>
      <c r="E481">
        <v>40</v>
      </c>
      <c r="F481">
        <v>25.156097412000001</v>
      </c>
      <c r="G481">
        <v>1341.4348144999999</v>
      </c>
      <c r="H481">
        <v>1338.6461182</v>
      </c>
      <c r="I481">
        <v>1320.0162353999999</v>
      </c>
      <c r="J481">
        <v>1314.6068115</v>
      </c>
      <c r="K481">
        <v>1650</v>
      </c>
      <c r="L481">
        <v>0</v>
      </c>
      <c r="M481">
        <v>0</v>
      </c>
      <c r="N481">
        <v>1650</v>
      </c>
    </row>
    <row r="482" spans="1:14" x14ac:dyDescent="0.25">
      <c r="A482">
        <v>129.510775</v>
      </c>
      <c r="B482" s="1">
        <f>DATE(2010,9,7) + TIME(12,15,30)</f>
        <v>40428.510763888888</v>
      </c>
      <c r="C482">
        <v>80</v>
      </c>
      <c r="D482">
        <v>79.917472838999998</v>
      </c>
      <c r="E482">
        <v>40</v>
      </c>
      <c r="F482">
        <v>25.748792647999998</v>
      </c>
      <c r="G482">
        <v>1341.425293</v>
      </c>
      <c r="H482">
        <v>1338.6381836</v>
      </c>
      <c r="I482">
        <v>1320.0311279</v>
      </c>
      <c r="J482">
        <v>1314.6444091999999</v>
      </c>
      <c r="K482">
        <v>1650</v>
      </c>
      <c r="L482">
        <v>0</v>
      </c>
      <c r="M482">
        <v>0</v>
      </c>
      <c r="N482">
        <v>1650</v>
      </c>
    </row>
    <row r="483" spans="1:14" x14ac:dyDescent="0.25">
      <c r="A483">
        <v>130.500147</v>
      </c>
      <c r="B483" s="1">
        <f>DATE(2010,9,8) + TIME(12,0,12)</f>
        <v>40429.500138888892</v>
      </c>
      <c r="C483">
        <v>80</v>
      </c>
      <c r="D483">
        <v>79.917549132999994</v>
      </c>
      <c r="E483">
        <v>40</v>
      </c>
      <c r="F483">
        <v>26.348037720000001</v>
      </c>
      <c r="G483">
        <v>1341.4157714999999</v>
      </c>
      <c r="H483">
        <v>1338.6303711</v>
      </c>
      <c r="I483">
        <v>1320.0465088000001</v>
      </c>
      <c r="J483">
        <v>1314.6828613</v>
      </c>
      <c r="K483">
        <v>1650</v>
      </c>
      <c r="L483">
        <v>0</v>
      </c>
      <c r="M483">
        <v>0</v>
      </c>
      <c r="N483">
        <v>1650</v>
      </c>
    </row>
    <row r="484" spans="1:14" x14ac:dyDescent="0.25">
      <c r="A484">
        <v>131.50867700000001</v>
      </c>
      <c r="B484" s="1">
        <f>DATE(2010,9,9) + TIME(12,12,29)</f>
        <v>40430.508668981478</v>
      </c>
      <c r="C484">
        <v>80</v>
      </c>
      <c r="D484">
        <v>79.917633057000003</v>
      </c>
      <c r="E484">
        <v>40</v>
      </c>
      <c r="F484">
        <v>26.951639175</v>
      </c>
      <c r="G484">
        <v>1341.4061279</v>
      </c>
      <c r="H484">
        <v>1338.6224365</v>
      </c>
      <c r="I484">
        <v>1320.0623779</v>
      </c>
      <c r="J484">
        <v>1314.7224120999999</v>
      </c>
      <c r="K484">
        <v>1650</v>
      </c>
      <c r="L484">
        <v>0</v>
      </c>
      <c r="M484">
        <v>0</v>
      </c>
      <c r="N484">
        <v>1650</v>
      </c>
    </row>
    <row r="485" spans="1:14" x14ac:dyDescent="0.25">
      <c r="A485">
        <v>132.01674800000001</v>
      </c>
      <c r="B485" s="1">
        <f>DATE(2010,9,10) + TIME(0,24,7)</f>
        <v>40431.016747685186</v>
      </c>
      <c r="C485">
        <v>80</v>
      </c>
      <c r="D485">
        <v>79.917655945000007</v>
      </c>
      <c r="E485">
        <v>40</v>
      </c>
      <c r="F485">
        <v>27.358753203999999</v>
      </c>
      <c r="G485">
        <v>1341.3964844</v>
      </c>
      <c r="H485">
        <v>1338.6145019999999</v>
      </c>
      <c r="I485">
        <v>1320.0889893000001</v>
      </c>
      <c r="J485">
        <v>1314.7581786999999</v>
      </c>
      <c r="K485">
        <v>1650</v>
      </c>
      <c r="L485">
        <v>0</v>
      </c>
      <c r="M485">
        <v>0</v>
      </c>
      <c r="N485">
        <v>1650</v>
      </c>
    </row>
    <row r="486" spans="1:14" x14ac:dyDescent="0.25">
      <c r="A486">
        <v>132.52283600000001</v>
      </c>
      <c r="B486" s="1">
        <f>DATE(2010,9,10) + TIME(12,32,53)</f>
        <v>40431.522835648146</v>
      </c>
      <c r="C486">
        <v>80</v>
      </c>
      <c r="D486">
        <v>79.917694092000005</v>
      </c>
      <c r="E486">
        <v>40</v>
      </c>
      <c r="F486">
        <v>27.725978851000001</v>
      </c>
      <c r="G486">
        <v>1341.3916016000001</v>
      </c>
      <c r="H486">
        <v>1338.6104736</v>
      </c>
      <c r="I486">
        <v>1320.0948486</v>
      </c>
      <c r="J486">
        <v>1314.7813721</v>
      </c>
      <c r="K486">
        <v>1650</v>
      </c>
      <c r="L486">
        <v>0</v>
      </c>
      <c r="M486">
        <v>0</v>
      </c>
      <c r="N486">
        <v>1650</v>
      </c>
    </row>
    <row r="487" spans="1:14" x14ac:dyDescent="0.25">
      <c r="A487">
        <v>133.02781899999999</v>
      </c>
      <c r="B487" s="1">
        <f>DATE(2010,9,11) + TIME(0,40,3)</f>
        <v>40432.027812499997</v>
      </c>
      <c r="C487">
        <v>80</v>
      </c>
      <c r="D487">
        <v>79.917732239000003</v>
      </c>
      <c r="E487">
        <v>40</v>
      </c>
      <c r="F487">
        <v>28.066240311000001</v>
      </c>
      <c r="G487">
        <v>1341.3868408000001</v>
      </c>
      <c r="H487">
        <v>1338.6065673999999</v>
      </c>
      <c r="I487">
        <v>1320.1018065999999</v>
      </c>
      <c r="J487">
        <v>1314.8037108999999</v>
      </c>
      <c r="K487">
        <v>1650</v>
      </c>
      <c r="L487">
        <v>0</v>
      </c>
      <c r="M487">
        <v>0</v>
      </c>
      <c r="N487">
        <v>1650</v>
      </c>
    </row>
    <row r="488" spans="1:14" x14ac:dyDescent="0.25">
      <c r="A488">
        <v>133.532096</v>
      </c>
      <c r="B488" s="1">
        <f>DATE(2010,9,11) + TIME(12,46,13)</f>
        <v>40432.532094907408</v>
      </c>
      <c r="C488">
        <v>80</v>
      </c>
      <c r="D488">
        <v>79.917762756000002</v>
      </c>
      <c r="E488">
        <v>40</v>
      </c>
      <c r="F488">
        <v>28.387899398999998</v>
      </c>
      <c r="G488">
        <v>1341.3820800999999</v>
      </c>
      <c r="H488">
        <v>1338.6025391000001</v>
      </c>
      <c r="I488">
        <v>1320.1094971</v>
      </c>
      <c r="J488">
        <v>1314.8255615</v>
      </c>
      <c r="K488">
        <v>1650</v>
      </c>
      <c r="L488">
        <v>0</v>
      </c>
      <c r="M488">
        <v>0</v>
      </c>
      <c r="N488">
        <v>1650</v>
      </c>
    </row>
    <row r="489" spans="1:14" x14ac:dyDescent="0.25">
      <c r="A489">
        <v>134.036056</v>
      </c>
      <c r="B489" s="1">
        <f>DATE(2010,9,12) + TIME(0,51,55)</f>
        <v>40433.036053240743</v>
      </c>
      <c r="C489">
        <v>80</v>
      </c>
      <c r="D489">
        <v>79.917800903</v>
      </c>
      <c r="E489">
        <v>40</v>
      </c>
      <c r="F489">
        <v>28.696506500000002</v>
      </c>
      <c r="G489">
        <v>1341.3773193</v>
      </c>
      <c r="H489">
        <v>1338.5986327999999</v>
      </c>
      <c r="I489">
        <v>1320.1177978999999</v>
      </c>
      <c r="J489">
        <v>1314.8470459</v>
      </c>
      <c r="K489">
        <v>1650</v>
      </c>
      <c r="L489">
        <v>0</v>
      </c>
      <c r="M489">
        <v>0</v>
      </c>
      <c r="N489">
        <v>1650</v>
      </c>
    </row>
    <row r="490" spans="1:14" x14ac:dyDescent="0.25">
      <c r="A490">
        <v>134.54001500000001</v>
      </c>
      <c r="B490" s="1">
        <f>DATE(2010,9,12) + TIME(12,57,37)</f>
        <v>40433.540011574078</v>
      </c>
      <c r="C490">
        <v>80</v>
      </c>
      <c r="D490">
        <v>79.917846679999997</v>
      </c>
      <c r="E490">
        <v>40</v>
      </c>
      <c r="F490">
        <v>28.995738982999999</v>
      </c>
      <c r="G490">
        <v>1341.3726807</v>
      </c>
      <c r="H490">
        <v>1338.5948486</v>
      </c>
      <c r="I490">
        <v>1320.1264647999999</v>
      </c>
      <c r="J490">
        <v>1314.8684082</v>
      </c>
      <c r="K490">
        <v>1650</v>
      </c>
      <c r="L490">
        <v>0</v>
      </c>
      <c r="M490">
        <v>0</v>
      </c>
      <c r="N490">
        <v>1650</v>
      </c>
    </row>
    <row r="491" spans="1:14" x14ac:dyDescent="0.25">
      <c r="A491">
        <v>135.04397499999999</v>
      </c>
      <c r="B491" s="1">
        <f>DATE(2010,9,13) + TIME(1,3,19)</f>
        <v>40434.043969907405</v>
      </c>
      <c r="C491">
        <v>80</v>
      </c>
      <c r="D491">
        <v>79.917884826999995</v>
      </c>
      <c r="E491">
        <v>40</v>
      </c>
      <c r="F491">
        <v>29.287950515999999</v>
      </c>
      <c r="G491">
        <v>1341.3679199000001</v>
      </c>
      <c r="H491">
        <v>1338.5909423999999</v>
      </c>
      <c r="I491">
        <v>1320.135376</v>
      </c>
      <c r="J491">
        <v>1314.8896483999999</v>
      </c>
      <c r="K491">
        <v>1650</v>
      </c>
      <c r="L491">
        <v>0</v>
      </c>
      <c r="M491">
        <v>0</v>
      </c>
      <c r="N491">
        <v>1650</v>
      </c>
    </row>
    <row r="492" spans="1:14" x14ac:dyDescent="0.25">
      <c r="A492">
        <v>135.547935</v>
      </c>
      <c r="B492" s="1">
        <f>DATE(2010,9,13) + TIME(13,9,1)</f>
        <v>40434.54792824074</v>
      </c>
      <c r="C492">
        <v>80</v>
      </c>
      <c r="D492">
        <v>79.917922974000007</v>
      </c>
      <c r="E492">
        <v>40</v>
      </c>
      <c r="F492">
        <v>29.57468605</v>
      </c>
      <c r="G492">
        <v>1341.3632812000001</v>
      </c>
      <c r="H492">
        <v>1338.5871582</v>
      </c>
      <c r="I492">
        <v>1320.1446533000001</v>
      </c>
      <c r="J492">
        <v>1314.9108887</v>
      </c>
      <c r="K492">
        <v>1650</v>
      </c>
      <c r="L492">
        <v>0</v>
      </c>
      <c r="M492">
        <v>0</v>
      </c>
      <c r="N492">
        <v>1650</v>
      </c>
    </row>
    <row r="493" spans="1:14" x14ac:dyDescent="0.25">
      <c r="A493">
        <v>136.051895</v>
      </c>
      <c r="B493" s="1">
        <f>DATE(2010,9,14) + TIME(1,14,43)</f>
        <v>40435.051886574074</v>
      </c>
      <c r="C493">
        <v>80</v>
      </c>
      <c r="D493">
        <v>79.917961121000005</v>
      </c>
      <c r="E493">
        <v>40</v>
      </c>
      <c r="F493">
        <v>29.856979370000001</v>
      </c>
      <c r="G493">
        <v>1341.3587646000001</v>
      </c>
      <c r="H493">
        <v>1338.583374</v>
      </c>
      <c r="I493">
        <v>1320.1540527</v>
      </c>
      <c r="J493">
        <v>1314.9321289</v>
      </c>
      <c r="K493">
        <v>1650</v>
      </c>
      <c r="L493">
        <v>0</v>
      </c>
      <c r="M493">
        <v>0</v>
      </c>
      <c r="N493">
        <v>1650</v>
      </c>
    </row>
    <row r="494" spans="1:14" x14ac:dyDescent="0.25">
      <c r="A494">
        <v>136.55585400000001</v>
      </c>
      <c r="B494" s="1">
        <f>DATE(2010,9,14) + TIME(13,20,25)</f>
        <v>40435.555844907409</v>
      </c>
      <c r="C494">
        <v>80</v>
      </c>
      <c r="D494">
        <v>79.917999268000003</v>
      </c>
      <c r="E494">
        <v>40</v>
      </c>
      <c r="F494">
        <v>30.135549545</v>
      </c>
      <c r="G494">
        <v>1341.354126</v>
      </c>
      <c r="H494">
        <v>1338.5795897999999</v>
      </c>
      <c r="I494">
        <v>1320.1635742000001</v>
      </c>
      <c r="J494">
        <v>1314.9532471</v>
      </c>
      <c r="K494">
        <v>1650</v>
      </c>
      <c r="L494">
        <v>0</v>
      </c>
      <c r="M494">
        <v>0</v>
      </c>
      <c r="N494">
        <v>1650</v>
      </c>
    </row>
    <row r="495" spans="1:14" x14ac:dyDescent="0.25">
      <c r="A495">
        <v>137.563774</v>
      </c>
      <c r="B495" s="1">
        <f>DATE(2010,9,15) + TIME(13,31,50)</f>
        <v>40436.563773148147</v>
      </c>
      <c r="C495">
        <v>80</v>
      </c>
      <c r="D495">
        <v>79.918098450000002</v>
      </c>
      <c r="E495">
        <v>40</v>
      </c>
      <c r="F495">
        <v>30.540740967000001</v>
      </c>
      <c r="G495">
        <v>1341.3496094</v>
      </c>
      <c r="H495">
        <v>1338.5758057</v>
      </c>
      <c r="I495">
        <v>1320.1673584</v>
      </c>
      <c r="J495">
        <v>1314.9781493999999</v>
      </c>
      <c r="K495">
        <v>1650</v>
      </c>
      <c r="L495">
        <v>0</v>
      </c>
      <c r="M495">
        <v>0</v>
      </c>
      <c r="N495">
        <v>1650</v>
      </c>
    </row>
    <row r="496" spans="1:14" x14ac:dyDescent="0.25">
      <c r="A496">
        <v>138.57257200000001</v>
      </c>
      <c r="B496" s="1">
        <f>DATE(2010,9,16) + TIME(13,44,30)</f>
        <v>40437.572569444441</v>
      </c>
      <c r="C496">
        <v>80</v>
      </c>
      <c r="D496">
        <v>79.918182372999993</v>
      </c>
      <c r="E496">
        <v>40</v>
      </c>
      <c r="F496">
        <v>31.013814925999998</v>
      </c>
      <c r="G496">
        <v>1341.3405762</v>
      </c>
      <c r="H496">
        <v>1338.5683594</v>
      </c>
      <c r="I496">
        <v>1320.1893310999999</v>
      </c>
      <c r="J496">
        <v>1315.0169678</v>
      </c>
      <c r="K496">
        <v>1650</v>
      </c>
      <c r="L496">
        <v>0</v>
      </c>
      <c r="M496">
        <v>0</v>
      </c>
      <c r="N496">
        <v>1650</v>
      </c>
    </row>
    <row r="497" spans="1:14" x14ac:dyDescent="0.25">
      <c r="A497">
        <v>139.596778</v>
      </c>
      <c r="B497" s="1">
        <f>DATE(2010,9,17) + TIME(14,19,21)</f>
        <v>40438.596770833334</v>
      </c>
      <c r="C497">
        <v>80</v>
      </c>
      <c r="D497">
        <v>79.918266295999999</v>
      </c>
      <c r="E497">
        <v>40</v>
      </c>
      <c r="F497">
        <v>31.517690658999999</v>
      </c>
      <c r="G497">
        <v>1341.331543</v>
      </c>
      <c r="H497">
        <v>1338.5610352000001</v>
      </c>
      <c r="I497">
        <v>1320.2103271000001</v>
      </c>
      <c r="J497">
        <v>1315.0577393000001</v>
      </c>
      <c r="K497">
        <v>1650</v>
      </c>
      <c r="L497">
        <v>0</v>
      </c>
      <c r="M497">
        <v>0</v>
      </c>
      <c r="N497">
        <v>1650</v>
      </c>
    </row>
    <row r="498" spans="1:14" x14ac:dyDescent="0.25">
      <c r="A498">
        <v>140.63932299999999</v>
      </c>
      <c r="B498" s="1">
        <f>DATE(2010,9,18) + TIME(15,20,37)</f>
        <v>40439.639317129629</v>
      </c>
      <c r="C498">
        <v>80</v>
      </c>
      <c r="D498">
        <v>79.918350219999994</v>
      </c>
      <c r="E498">
        <v>40</v>
      </c>
      <c r="F498">
        <v>32.036064148000001</v>
      </c>
      <c r="G498">
        <v>1341.3226318</v>
      </c>
      <c r="H498">
        <v>1338.5535889</v>
      </c>
      <c r="I498">
        <v>1320.2314452999999</v>
      </c>
      <c r="J498">
        <v>1315.1002197</v>
      </c>
      <c r="K498">
        <v>1650</v>
      </c>
      <c r="L498">
        <v>0</v>
      </c>
      <c r="M498">
        <v>0</v>
      </c>
      <c r="N498">
        <v>1650</v>
      </c>
    </row>
    <row r="499" spans="1:14" x14ac:dyDescent="0.25">
      <c r="A499">
        <v>141.70328499999999</v>
      </c>
      <c r="B499" s="1">
        <f>DATE(2010,9,19) + TIME(16,52,43)</f>
        <v>40440.703275462962</v>
      </c>
      <c r="C499">
        <v>80</v>
      </c>
      <c r="D499">
        <v>79.918434142999999</v>
      </c>
      <c r="E499">
        <v>40</v>
      </c>
      <c r="F499">
        <v>32.561630248999997</v>
      </c>
      <c r="G499">
        <v>1341.3135986</v>
      </c>
      <c r="H499">
        <v>1338.5461425999999</v>
      </c>
      <c r="I499">
        <v>1320.2529297000001</v>
      </c>
      <c r="J499">
        <v>1315.1437988</v>
      </c>
      <c r="K499">
        <v>1650</v>
      </c>
      <c r="L499">
        <v>0</v>
      </c>
      <c r="M499">
        <v>0</v>
      </c>
      <c r="N499">
        <v>1650</v>
      </c>
    </row>
    <row r="500" spans="1:14" x14ac:dyDescent="0.25">
      <c r="A500">
        <v>142.788184</v>
      </c>
      <c r="B500" s="1">
        <f>DATE(2010,9,20) + TIME(18,54,59)</f>
        <v>40441.788182870368</v>
      </c>
      <c r="C500">
        <v>80</v>
      </c>
      <c r="D500">
        <v>79.918518066000004</v>
      </c>
      <c r="E500">
        <v>40</v>
      </c>
      <c r="F500">
        <v>33.090652466000002</v>
      </c>
      <c r="G500">
        <v>1341.3044434000001</v>
      </c>
      <c r="H500">
        <v>1338.5386963000001</v>
      </c>
      <c r="I500">
        <v>1320.2751464999999</v>
      </c>
      <c r="J500">
        <v>1315.1885986</v>
      </c>
      <c r="K500">
        <v>1650</v>
      </c>
      <c r="L500">
        <v>0</v>
      </c>
      <c r="M500">
        <v>0</v>
      </c>
      <c r="N500">
        <v>1650</v>
      </c>
    </row>
    <row r="501" spans="1:14" x14ac:dyDescent="0.25">
      <c r="A501">
        <v>143.88933</v>
      </c>
      <c r="B501" s="1">
        <f>DATE(2010,9,21) + TIME(21,20,38)</f>
        <v>40442.889328703706</v>
      </c>
      <c r="C501">
        <v>80</v>
      </c>
      <c r="D501">
        <v>79.918609618999994</v>
      </c>
      <c r="E501">
        <v>40</v>
      </c>
      <c r="F501">
        <v>33.619983673</v>
      </c>
      <c r="G501">
        <v>1341.2952881000001</v>
      </c>
      <c r="H501">
        <v>1338.5311279</v>
      </c>
      <c r="I501">
        <v>1320.2979736</v>
      </c>
      <c r="J501">
        <v>1315.2342529</v>
      </c>
      <c r="K501">
        <v>1650</v>
      </c>
      <c r="L501">
        <v>0</v>
      </c>
      <c r="M501">
        <v>0</v>
      </c>
      <c r="N501">
        <v>1650</v>
      </c>
    </row>
    <row r="502" spans="1:14" x14ac:dyDescent="0.25">
      <c r="A502">
        <v>144.444941</v>
      </c>
      <c r="B502" s="1">
        <f>DATE(2010,9,22) + TIME(10,40,42)</f>
        <v>40443.444930555554</v>
      </c>
      <c r="C502">
        <v>80</v>
      </c>
      <c r="D502">
        <v>79.918640136999997</v>
      </c>
      <c r="E502">
        <v>40</v>
      </c>
      <c r="F502">
        <v>33.986568450999997</v>
      </c>
      <c r="G502">
        <v>1341.2861327999999</v>
      </c>
      <c r="H502">
        <v>1338.5235596</v>
      </c>
      <c r="I502">
        <v>1320.3280029</v>
      </c>
      <c r="J502">
        <v>1315.2753906</v>
      </c>
      <c r="K502">
        <v>1650</v>
      </c>
      <c r="L502">
        <v>0</v>
      </c>
      <c r="M502">
        <v>0</v>
      </c>
      <c r="N502">
        <v>1650</v>
      </c>
    </row>
    <row r="503" spans="1:14" x14ac:dyDescent="0.25">
      <c r="A503">
        <v>145.000551</v>
      </c>
      <c r="B503" s="1">
        <f>DATE(2010,9,23) + TIME(0,0,47)</f>
        <v>40444.000543981485</v>
      </c>
      <c r="C503">
        <v>80</v>
      </c>
      <c r="D503">
        <v>79.918685913000004</v>
      </c>
      <c r="E503">
        <v>40</v>
      </c>
      <c r="F503">
        <v>34.310203551999997</v>
      </c>
      <c r="G503">
        <v>1341.2814940999999</v>
      </c>
      <c r="H503">
        <v>1338.5197754000001</v>
      </c>
      <c r="I503">
        <v>1320.3381348</v>
      </c>
      <c r="J503">
        <v>1315.302124</v>
      </c>
      <c r="K503">
        <v>1650</v>
      </c>
      <c r="L503">
        <v>0</v>
      </c>
      <c r="M503">
        <v>0</v>
      </c>
      <c r="N503">
        <v>1650</v>
      </c>
    </row>
    <row r="504" spans="1:14" x14ac:dyDescent="0.25">
      <c r="A504">
        <v>145.55432200000001</v>
      </c>
      <c r="B504" s="1">
        <f>DATE(2010,9,23) + TIME(13,18,13)</f>
        <v>40444.55431712963</v>
      </c>
      <c r="C504">
        <v>80</v>
      </c>
      <c r="D504">
        <v>79.918724060000002</v>
      </c>
      <c r="E504">
        <v>40</v>
      </c>
      <c r="F504">
        <v>34.605968474999997</v>
      </c>
      <c r="G504">
        <v>1341.2768555</v>
      </c>
      <c r="H504">
        <v>1338.5159911999999</v>
      </c>
      <c r="I504">
        <v>1320.348999</v>
      </c>
      <c r="J504">
        <v>1315.3276367000001</v>
      </c>
      <c r="K504">
        <v>1650</v>
      </c>
      <c r="L504">
        <v>0</v>
      </c>
      <c r="M504">
        <v>0</v>
      </c>
      <c r="N504">
        <v>1650</v>
      </c>
    </row>
    <row r="505" spans="1:14" x14ac:dyDescent="0.25">
      <c r="A505">
        <v>146.106537</v>
      </c>
      <c r="B505" s="1">
        <f>DATE(2010,9,24) + TIME(2,33,24)</f>
        <v>40445.106527777774</v>
      </c>
      <c r="C505">
        <v>80</v>
      </c>
      <c r="D505">
        <v>79.918762207</v>
      </c>
      <c r="E505">
        <v>40</v>
      </c>
      <c r="F505">
        <v>34.883495330999999</v>
      </c>
      <c r="G505">
        <v>1341.2723389</v>
      </c>
      <c r="H505">
        <v>1338.5123291</v>
      </c>
      <c r="I505">
        <v>1320.3603516000001</v>
      </c>
      <c r="J505">
        <v>1315.3521728999999</v>
      </c>
      <c r="K505">
        <v>1650</v>
      </c>
      <c r="L505">
        <v>0</v>
      </c>
      <c r="M505">
        <v>0</v>
      </c>
      <c r="N505">
        <v>1650</v>
      </c>
    </row>
    <row r="506" spans="1:14" x14ac:dyDescent="0.25">
      <c r="A506">
        <v>146.65765400000001</v>
      </c>
      <c r="B506" s="1">
        <f>DATE(2010,9,24) + TIME(15,47,1)</f>
        <v>40445.657650462963</v>
      </c>
      <c r="C506">
        <v>80</v>
      </c>
      <c r="D506">
        <v>79.918807982999994</v>
      </c>
      <c r="E506">
        <v>40</v>
      </c>
      <c r="F506">
        <v>35.148723601999997</v>
      </c>
      <c r="G506">
        <v>1341.2679443</v>
      </c>
      <c r="H506">
        <v>1338.5086670000001</v>
      </c>
      <c r="I506">
        <v>1320.3720702999999</v>
      </c>
      <c r="J506">
        <v>1315.3762207</v>
      </c>
      <c r="K506">
        <v>1650</v>
      </c>
      <c r="L506">
        <v>0</v>
      </c>
      <c r="M506">
        <v>0</v>
      </c>
      <c r="N506">
        <v>1650</v>
      </c>
    </row>
    <row r="507" spans="1:14" x14ac:dyDescent="0.25">
      <c r="A507">
        <v>147.20812000000001</v>
      </c>
      <c r="B507" s="1">
        <f>DATE(2010,9,25) + TIME(4,59,41)</f>
        <v>40446.208113425928</v>
      </c>
      <c r="C507">
        <v>80</v>
      </c>
      <c r="D507">
        <v>79.918853760000005</v>
      </c>
      <c r="E507">
        <v>40</v>
      </c>
      <c r="F507">
        <v>35.405330657999997</v>
      </c>
      <c r="G507">
        <v>1341.2634277</v>
      </c>
      <c r="H507">
        <v>1338.5050048999999</v>
      </c>
      <c r="I507">
        <v>1320.3837891000001</v>
      </c>
      <c r="J507">
        <v>1315.3997803</v>
      </c>
      <c r="K507">
        <v>1650</v>
      </c>
      <c r="L507">
        <v>0</v>
      </c>
      <c r="M507">
        <v>0</v>
      </c>
      <c r="N507">
        <v>1650</v>
      </c>
    </row>
    <row r="508" spans="1:14" x14ac:dyDescent="0.25">
      <c r="A508">
        <v>147.758363</v>
      </c>
      <c r="B508" s="1">
        <f>DATE(2010,9,25) + TIME(18,12,2)</f>
        <v>40446.758356481485</v>
      </c>
      <c r="C508">
        <v>80</v>
      </c>
      <c r="D508">
        <v>79.918899535999998</v>
      </c>
      <c r="E508">
        <v>40</v>
      </c>
      <c r="F508">
        <v>35.65562439</v>
      </c>
      <c r="G508">
        <v>1341.2590332</v>
      </c>
      <c r="H508">
        <v>1338.5013428</v>
      </c>
      <c r="I508">
        <v>1320.3956298999999</v>
      </c>
      <c r="J508">
        <v>1315.4229736</v>
      </c>
      <c r="K508">
        <v>1650</v>
      </c>
      <c r="L508">
        <v>0</v>
      </c>
      <c r="M508">
        <v>0</v>
      </c>
      <c r="N508">
        <v>1650</v>
      </c>
    </row>
    <row r="509" spans="1:14" x14ac:dyDescent="0.25">
      <c r="A509">
        <v>148.30860699999999</v>
      </c>
      <c r="B509" s="1">
        <f>DATE(2010,9,26) + TIME(7,24,23)</f>
        <v>40447.308599537035</v>
      </c>
      <c r="C509">
        <v>80</v>
      </c>
      <c r="D509">
        <v>79.918937682999996</v>
      </c>
      <c r="E509">
        <v>40</v>
      </c>
      <c r="F509">
        <v>35.901000977000002</v>
      </c>
      <c r="G509">
        <v>1341.2547606999999</v>
      </c>
      <c r="H509">
        <v>1338.4978027</v>
      </c>
      <c r="I509">
        <v>1320.4075928</v>
      </c>
      <c r="J509">
        <v>1315.4460449000001</v>
      </c>
      <c r="K509">
        <v>1650</v>
      </c>
      <c r="L509">
        <v>0</v>
      </c>
      <c r="M509">
        <v>0</v>
      </c>
      <c r="N509">
        <v>1650</v>
      </c>
    </row>
    <row r="510" spans="1:14" x14ac:dyDescent="0.25">
      <c r="A510">
        <v>149.40909400000001</v>
      </c>
      <c r="B510" s="1">
        <f>DATE(2010,9,27) + TIME(9,49,5)</f>
        <v>40448.409085648149</v>
      </c>
      <c r="C510">
        <v>80</v>
      </c>
      <c r="D510">
        <v>79.919044494999994</v>
      </c>
      <c r="E510">
        <v>40</v>
      </c>
      <c r="F510">
        <v>36.246646880999997</v>
      </c>
      <c r="G510">
        <v>1341.2503661999999</v>
      </c>
      <c r="H510">
        <v>1338.4942627</v>
      </c>
      <c r="I510">
        <v>1320.4156493999999</v>
      </c>
      <c r="J510">
        <v>1315.4725341999999</v>
      </c>
      <c r="K510">
        <v>1650</v>
      </c>
      <c r="L510">
        <v>0</v>
      </c>
      <c r="M510">
        <v>0</v>
      </c>
      <c r="N510">
        <v>1650</v>
      </c>
    </row>
    <row r="511" spans="1:14" x14ac:dyDescent="0.25">
      <c r="A511">
        <v>150.51035999999999</v>
      </c>
      <c r="B511" s="1">
        <f>DATE(2010,9,28) + TIME(12,14,55)</f>
        <v>40449.510358796295</v>
      </c>
      <c r="C511">
        <v>80</v>
      </c>
      <c r="D511">
        <v>79.919136046999995</v>
      </c>
      <c r="E511">
        <v>40</v>
      </c>
      <c r="F511">
        <v>36.659648894999997</v>
      </c>
      <c r="G511">
        <v>1341.2418213000001</v>
      </c>
      <c r="H511">
        <v>1338.4871826000001</v>
      </c>
      <c r="I511">
        <v>1320.440918</v>
      </c>
      <c r="J511">
        <v>1315.5135498</v>
      </c>
      <c r="K511">
        <v>1650</v>
      </c>
      <c r="L511">
        <v>0</v>
      </c>
      <c r="M511">
        <v>0</v>
      </c>
      <c r="N511">
        <v>1650</v>
      </c>
    </row>
    <row r="512" spans="1:14" x14ac:dyDescent="0.25">
      <c r="A512">
        <v>151.62221099999999</v>
      </c>
      <c r="B512" s="1">
        <f>DATE(2010,9,29) + TIME(14,55,58)</f>
        <v>40450.622199074074</v>
      </c>
      <c r="C512">
        <v>80</v>
      </c>
      <c r="D512">
        <v>79.919227599999999</v>
      </c>
      <c r="E512">
        <v>40</v>
      </c>
      <c r="F512">
        <v>37.097610474</v>
      </c>
      <c r="G512">
        <v>1341.2333983999999</v>
      </c>
      <c r="H512">
        <v>1338.4802245999999</v>
      </c>
      <c r="I512">
        <v>1320.4654541</v>
      </c>
      <c r="J512">
        <v>1315.5565185999999</v>
      </c>
      <c r="K512">
        <v>1650</v>
      </c>
      <c r="L512">
        <v>0</v>
      </c>
      <c r="M512">
        <v>0</v>
      </c>
      <c r="N512">
        <v>1650</v>
      </c>
    </row>
    <row r="513" spans="1:14" x14ac:dyDescent="0.25">
      <c r="A513">
        <v>152.743921</v>
      </c>
      <c r="B513" s="1">
        <f>DATE(2010,9,30) + TIME(17,51,14)</f>
        <v>40451.74391203704</v>
      </c>
      <c r="C513">
        <v>80</v>
      </c>
      <c r="D513">
        <v>79.919319153000004</v>
      </c>
      <c r="E513">
        <v>40</v>
      </c>
      <c r="F513">
        <v>37.542781830000003</v>
      </c>
      <c r="G513">
        <v>1341.2248535000001</v>
      </c>
      <c r="H513">
        <v>1338.4733887</v>
      </c>
      <c r="I513">
        <v>1320.4902344</v>
      </c>
      <c r="J513">
        <v>1315.6005858999999</v>
      </c>
      <c r="K513">
        <v>1650</v>
      </c>
      <c r="L513">
        <v>0</v>
      </c>
      <c r="M513">
        <v>0</v>
      </c>
      <c r="N513">
        <v>1650</v>
      </c>
    </row>
    <row r="514" spans="1:14" x14ac:dyDescent="0.25">
      <c r="A514">
        <v>153</v>
      </c>
      <c r="B514" s="1">
        <f>DATE(2010,10,1) + TIME(0,0,0)</f>
        <v>40452</v>
      </c>
      <c r="C514">
        <v>80</v>
      </c>
      <c r="D514">
        <v>79.919334411999998</v>
      </c>
      <c r="E514">
        <v>40</v>
      </c>
      <c r="F514">
        <v>37.725246429000002</v>
      </c>
      <c r="G514">
        <v>1341.2166748</v>
      </c>
      <c r="H514">
        <v>1338.4666748</v>
      </c>
      <c r="I514">
        <v>1320.5245361</v>
      </c>
      <c r="J514">
        <v>1315.6363524999999</v>
      </c>
      <c r="K514">
        <v>1650</v>
      </c>
      <c r="L514">
        <v>0</v>
      </c>
      <c r="M514">
        <v>0</v>
      </c>
      <c r="N514">
        <v>1650</v>
      </c>
    </row>
    <row r="515" spans="1:14" x14ac:dyDescent="0.25">
      <c r="A515">
        <v>154.13679500000001</v>
      </c>
      <c r="B515" s="1">
        <f>DATE(2010,10,2) + TIME(3,16,59)</f>
        <v>40453.136793981481</v>
      </c>
      <c r="C515">
        <v>80</v>
      </c>
      <c r="D515">
        <v>79.919433593999997</v>
      </c>
      <c r="E515">
        <v>40</v>
      </c>
      <c r="F515">
        <v>38.122009276999997</v>
      </c>
      <c r="G515">
        <v>1341.2145995999999</v>
      </c>
      <c r="H515">
        <v>1338.4649658000001</v>
      </c>
      <c r="I515">
        <v>1320.5203856999999</v>
      </c>
      <c r="J515">
        <v>1315.6582031</v>
      </c>
      <c r="K515">
        <v>1650</v>
      </c>
      <c r="L515">
        <v>0</v>
      </c>
      <c r="M515">
        <v>0</v>
      </c>
      <c r="N515">
        <v>1650</v>
      </c>
    </row>
    <row r="516" spans="1:14" x14ac:dyDescent="0.25">
      <c r="A516">
        <v>155.297033</v>
      </c>
      <c r="B516" s="1">
        <f>DATE(2010,10,3) + TIME(7,7,43)</f>
        <v>40454.297025462962</v>
      </c>
      <c r="C516">
        <v>80</v>
      </c>
      <c r="D516">
        <v>79.919525145999998</v>
      </c>
      <c r="E516">
        <v>40</v>
      </c>
      <c r="F516">
        <v>38.544486999999997</v>
      </c>
      <c r="G516">
        <v>1341.2061768000001</v>
      </c>
      <c r="H516">
        <v>1338.4581298999999</v>
      </c>
      <c r="I516">
        <v>1320.5458983999999</v>
      </c>
      <c r="J516">
        <v>1315.7019043</v>
      </c>
      <c r="K516">
        <v>1650</v>
      </c>
      <c r="L516">
        <v>0</v>
      </c>
      <c r="M516">
        <v>0</v>
      </c>
      <c r="N516">
        <v>1650</v>
      </c>
    </row>
    <row r="517" spans="1:14" x14ac:dyDescent="0.25">
      <c r="A517">
        <v>156.48020199999999</v>
      </c>
      <c r="B517" s="1">
        <f>DATE(2010,10,4) + TIME(11,31,29)</f>
        <v>40455.480196759258</v>
      </c>
      <c r="C517">
        <v>80</v>
      </c>
      <c r="D517">
        <v>79.919624329000001</v>
      </c>
      <c r="E517">
        <v>40</v>
      </c>
      <c r="F517">
        <v>38.97687912</v>
      </c>
      <c r="G517">
        <v>1341.1977539</v>
      </c>
      <c r="H517">
        <v>1338.4511719</v>
      </c>
      <c r="I517">
        <v>1320.5717772999999</v>
      </c>
      <c r="J517">
        <v>1315.7470702999999</v>
      </c>
      <c r="K517">
        <v>1650</v>
      </c>
      <c r="L517">
        <v>0</v>
      </c>
      <c r="M517">
        <v>0</v>
      </c>
      <c r="N517">
        <v>1650</v>
      </c>
    </row>
    <row r="518" spans="1:14" x14ac:dyDescent="0.25">
      <c r="A518">
        <v>157.68129400000001</v>
      </c>
      <c r="B518" s="1">
        <f>DATE(2010,10,5) + TIME(16,21,3)</f>
        <v>40456.681284722225</v>
      </c>
      <c r="C518">
        <v>80</v>
      </c>
      <c r="D518">
        <v>79.919723511000001</v>
      </c>
      <c r="E518">
        <v>40</v>
      </c>
      <c r="F518">
        <v>39.411483765</v>
      </c>
      <c r="G518">
        <v>1341.1893310999999</v>
      </c>
      <c r="H518">
        <v>1338.4443358999999</v>
      </c>
      <c r="I518">
        <v>1320.5982666</v>
      </c>
      <c r="J518">
        <v>1315.7932129000001</v>
      </c>
      <c r="K518">
        <v>1650</v>
      </c>
      <c r="L518">
        <v>0</v>
      </c>
      <c r="M518">
        <v>0</v>
      </c>
      <c r="N518">
        <v>1650</v>
      </c>
    </row>
    <row r="519" spans="1:14" x14ac:dyDescent="0.25">
      <c r="A519">
        <v>158.289413</v>
      </c>
      <c r="B519" s="1">
        <f>DATE(2010,10,6) + TIME(6,56,45)</f>
        <v>40457.289409722223</v>
      </c>
      <c r="C519">
        <v>80</v>
      </c>
      <c r="D519">
        <v>79.919761657999999</v>
      </c>
      <c r="E519">
        <v>40</v>
      </c>
      <c r="F519">
        <v>39.721019745</v>
      </c>
      <c r="G519">
        <v>1341.1809082</v>
      </c>
      <c r="H519">
        <v>1338.4373779</v>
      </c>
      <c r="I519">
        <v>1320.6290283000001</v>
      </c>
      <c r="J519">
        <v>1315.8352050999999</v>
      </c>
      <c r="K519">
        <v>1650</v>
      </c>
      <c r="L519">
        <v>0</v>
      </c>
      <c r="M519">
        <v>0</v>
      </c>
      <c r="N519">
        <v>1650</v>
      </c>
    </row>
    <row r="520" spans="1:14" x14ac:dyDescent="0.25">
      <c r="A520">
        <v>158.89753099999999</v>
      </c>
      <c r="B520" s="1">
        <f>DATE(2010,10,6) + TIME(21,32,26)</f>
        <v>40457.897523148145</v>
      </c>
      <c r="C520">
        <v>80</v>
      </c>
      <c r="D520">
        <v>79.919807434000006</v>
      </c>
      <c r="E520">
        <v>40</v>
      </c>
      <c r="F520">
        <v>39.988594055</v>
      </c>
      <c r="G520">
        <v>1341.1766356999999</v>
      </c>
      <c r="H520">
        <v>1338.4339600000001</v>
      </c>
      <c r="I520">
        <v>1320.6418457</v>
      </c>
      <c r="J520">
        <v>1315.8624268000001</v>
      </c>
      <c r="K520">
        <v>1650</v>
      </c>
      <c r="L520">
        <v>0</v>
      </c>
      <c r="M520">
        <v>0</v>
      </c>
      <c r="N520">
        <v>1650</v>
      </c>
    </row>
    <row r="521" spans="1:14" x14ac:dyDescent="0.25">
      <c r="A521">
        <v>159.50565</v>
      </c>
      <c r="B521" s="1">
        <f>DATE(2010,10,7) + TIME(12,8,8)</f>
        <v>40458.505648148152</v>
      </c>
      <c r="C521">
        <v>80</v>
      </c>
      <c r="D521">
        <v>79.919853209999999</v>
      </c>
      <c r="E521">
        <v>40</v>
      </c>
      <c r="F521">
        <v>40.231231688999998</v>
      </c>
      <c r="G521">
        <v>1341.1723632999999</v>
      </c>
      <c r="H521">
        <v>1338.4304199000001</v>
      </c>
      <c r="I521">
        <v>1320.6551514</v>
      </c>
      <c r="J521">
        <v>1315.8883057</v>
      </c>
      <c r="K521">
        <v>1650</v>
      </c>
      <c r="L521">
        <v>0</v>
      </c>
      <c r="M521">
        <v>0</v>
      </c>
      <c r="N521">
        <v>1650</v>
      </c>
    </row>
    <row r="522" spans="1:14" x14ac:dyDescent="0.25">
      <c r="A522">
        <v>160.11376899999999</v>
      </c>
      <c r="B522" s="1">
        <f>DATE(2010,10,8) + TIME(2,43,49)</f>
        <v>40459.113761574074</v>
      </c>
      <c r="C522">
        <v>80</v>
      </c>
      <c r="D522">
        <v>79.919898986999996</v>
      </c>
      <c r="E522">
        <v>40</v>
      </c>
      <c r="F522">
        <v>40.458557128999999</v>
      </c>
      <c r="G522">
        <v>1341.1682129000001</v>
      </c>
      <c r="H522">
        <v>1338.4270019999999</v>
      </c>
      <c r="I522">
        <v>1320.6685791</v>
      </c>
      <c r="J522">
        <v>1315.9130858999999</v>
      </c>
      <c r="K522">
        <v>1650</v>
      </c>
      <c r="L522">
        <v>0</v>
      </c>
      <c r="M522">
        <v>0</v>
      </c>
      <c r="N522">
        <v>1650</v>
      </c>
    </row>
    <row r="523" spans="1:14" x14ac:dyDescent="0.25">
      <c r="A523">
        <v>160.72188800000001</v>
      </c>
      <c r="B523" s="1">
        <f>DATE(2010,10,8) + TIME(17,19,31)</f>
        <v>40459.721886574072</v>
      </c>
      <c r="C523">
        <v>80</v>
      </c>
      <c r="D523">
        <v>79.919944763000004</v>
      </c>
      <c r="E523">
        <v>40</v>
      </c>
      <c r="F523">
        <v>40.676105499000002</v>
      </c>
      <c r="G523">
        <v>1341.1640625</v>
      </c>
      <c r="H523">
        <v>1338.4237060999999</v>
      </c>
      <c r="I523">
        <v>1320.6821289</v>
      </c>
      <c r="J523">
        <v>1315.9372559000001</v>
      </c>
      <c r="K523">
        <v>1650</v>
      </c>
      <c r="L523">
        <v>0</v>
      </c>
      <c r="M523">
        <v>0</v>
      </c>
      <c r="N523">
        <v>1650</v>
      </c>
    </row>
    <row r="524" spans="1:14" x14ac:dyDescent="0.25">
      <c r="A524">
        <v>161.33000699999999</v>
      </c>
      <c r="B524" s="1">
        <f>DATE(2010,10,9) + TIME(7,55,12)</f>
        <v>40460.33</v>
      </c>
      <c r="C524">
        <v>80</v>
      </c>
      <c r="D524">
        <v>79.919998168999996</v>
      </c>
      <c r="E524">
        <v>40</v>
      </c>
      <c r="F524">
        <v>40.887050629000001</v>
      </c>
      <c r="G524">
        <v>1341.1599120999999</v>
      </c>
      <c r="H524">
        <v>1338.4202881000001</v>
      </c>
      <c r="I524">
        <v>1320.6956786999999</v>
      </c>
      <c r="J524">
        <v>1315.9610596</v>
      </c>
      <c r="K524">
        <v>1650</v>
      </c>
      <c r="L524">
        <v>0</v>
      </c>
      <c r="M524">
        <v>0</v>
      </c>
      <c r="N524">
        <v>1650</v>
      </c>
    </row>
    <row r="525" spans="1:14" x14ac:dyDescent="0.25">
      <c r="A525">
        <v>161.93812500000001</v>
      </c>
      <c r="B525" s="1">
        <f>DATE(2010,10,9) + TIME(22,30,54)</f>
        <v>40460.938125000001</v>
      </c>
      <c r="C525">
        <v>80</v>
      </c>
      <c r="D525">
        <v>79.920043945000003</v>
      </c>
      <c r="E525">
        <v>40</v>
      </c>
      <c r="F525">
        <v>41.093219757</v>
      </c>
      <c r="G525">
        <v>1341.1557617000001</v>
      </c>
      <c r="H525">
        <v>1338.4169922000001</v>
      </c>
      <c r="I525">
        <v>1320.7092285000001</v>
      </c>
      <c r="J525">
        <v>1315.9846190999999</v>
      </c>
      <c r="K525">
        <v>1650</v>
      </c>
      <c r="L525">
        <v>0</v>
      </c>
      <c r="M525">
        <v>0</v>
      </c>
      <c r="N525">
        <v>1650</v>
      </c>
    </row>
    <row r="526" spans="1:14" x14ac:dyDescent="0.25">
      <c r="A526">
        <v>162.546244</v>
      </c>
      <c r="B526" s="1">
        <f>DATE(2010,10,10) + TIME(13,6,35)</f>
        <v>40461.546238425923</v>
      </c>
      <c r="C526">
        <v>80</v>
      </c>
      <c r="D526">
        <v>79.920097350999995</v>
      </c>
      <c r="E526">
        <v>40</v>
      </c>
      <c r="F526">
        <v>41.295673370000003</v>
      </c>
      <c r="G526">
        <v>1341.1517334</v>
      </c>
      <c r="H526">
        <v>1338.4136963000001</v>
      </c>
      <c r="I526">
        <v>1320.7227783000001</v>
      </c>
      <c r="J526">
        <v>1316.0078125</v>
      </c>
      <c r="K526">
        <v>1650</v>
      </c>
      <c r="L526">
        <v>0</v>
      </c>
      <c r="M526">
        <v>0</v>
      </c>
      <c r="N526">
        <v>1650</v>
      </c>
    </row>
    <row r="527" spans="1:14" x14ac:dyDescent="0.25">
      <c r="A527">
        <v>163.15436299999999</v>
      </c>
      <c r="B527" s="1">
        <f>DATE(2010,10,11) + TIME(3,42,16)</f>
        <v>40462.154351851852</v>
      </c>
      <c r="C527">
        <v>80</v>
      </c>
      <c r="D527">
        <v>79.920143127000003</v>
      </c>
      <c r="E527">
        <v>40</v>
      </c>
      <c r="F527">
        <v>41.495018004999999</v>
      </c>
      <c r="G527">
        <v>1341.1477050999999</v>
      </c>
      <c r="H527">
        <v>1338.4104004000001</v>
      </c>
      <c r="I527">
        <v>1320.7363281</v>
      </c>
      <c r="J527">
        <v>1316.0308838000001</v>
      </c>
      <c r="K527">
        <v>1650</v>
      </c>
      <c r="L527">
        <v>0</v>
      </c>
      <c r="M527">
        <v>0</v>
      </c>
      <c r="N527">
        <v>1650</v>
      </c>
    </row>
    <row r="528" spans="1:14" x14ac:dyDescent="0.25">
      <c r="A528">
        <v>163.76248200000001</v>
      </c>
      <c r="B528" s="1">
        <f>DATE(2010,10,11) + TIME(18,17,58)</f>
        <v>40462.762476851851</v>
      </c>
      <c r="C528">
        <v>80</v>
      </c>
      <c r="D528">
        <v>79.920188904</v>
      </c>
      <c r="E528">
        <v>40</v>
      </c>
      <c r="F528">
        <v>41.691627502000003</v>
      </c>
      <c r="G528">
        <v>1341.1436768000001</v>
      </c>
      <c r="H528">
        <v>1338.4072266000001</v>
      </c>
      <c r="I528">
        <v>1320.7497559000001</v>
      </c>
      <c r="J528">
        <v>1316.0538329999999</v>
      </c>
      <c r="K528">
        <v>1650</v>
      </c>
      <c r="L528">
        <v>0</v>
      </c>
      <c r="M528">
        <v>0</v>
      </c>
      <c r="N528">
        <v>1650</v>
      </c>
    </row>
    <row r="529" spans="1:14" x14ac:dyDescent="0.25">
      <c r="A529">
        <v>164.37060099999999</v>
      </c>
      <c r="B529" s="1">
        <f>DATE(2010,10,12) + TIME(8,53,39)</f>
        <v>40463.37059027778</v>
      </c>
      <c r="C529">
        <v>80</v>
      </c>
      <c r="D529">
        <v>79.920242310000006</v>
      </c>
      <c r="E529">
        <v>40</v>
      </c>
      <c r="F529">
        <v>41.885715484999999</v>
      </c>
      <c r="G529">
        <v>1341.1397704999999</v>
      </c>
      <c r="H529">
        <v>1338.4039307</v>
      </c>
      <c r="I529">
        <v>1320.7633057</v>
      </c>
      <c r="J529">
        <v>1316.0766602000001</v>
      </c>
      <c r="K529">
        <v>1650</v>
      </c>
      <c r="L529">
        <v>0</v>
      </c>
      <c r="M529">
        <v>0</v>
      </c>
      <c r="N529">
        <v>1650</v>
      </c>
    </row>
    <row r="530" spans="1:14" x14ac:dyDescent="0.25">
      <c r="A530">
        <v>165.586838</v>
      </c>
      <c r="B530" s="1">
        <f>DATE(2010,10,13) + TIME(14,5,2)</f>
        <v>40464.586828703701</v>
      </c>
      <c r="C530">
        <v>80</v>
      </c>
      <c r="D530">
        <v>79.920356749999996</v>
      </c>
      <c r="E530">
        <v>40</v>
      </c>
      <c r="F530">
        <v>42.152961730999998</v>
      </c>
      <c r="G530">
        <v>1341.1358643000001</v>
      </c>
      <c r="H530">
        <v>1338.4007568</v>
      </c>
      <c r="I530">
        <v>1320.7745361</v>
      </c>
      <c r="J530">
        <v>1316.1024170000001</v>
      </c>
      <c r="K530">
        <v>1650</v>
      </c>
      <c r="L530">
        <v>0</v>
      </c>
      <c r="M530">
        <v>0</v>
      </c>
      <c r="N530">
        <v>1650</v>
      </c>
    </row>
    <row r="531" spans="1:14" x14ac:dyDescent="0.25">
      <c r="A531">
        <v>166.805758</v>
      </c>
      <c r="B531" s="1">
        <f>DATE(2010,10,14) + TIME(19,20,17)</f>
        <v>40465.805752314816</v>
      </c>
      <c r="C531">
        <v>80</v>
      </c>
      <c r="D531">
        <v>79.920455933</v>
      </c>
      <c r="E531">
        <v>40</v>
      </c>
      <c r="F531">
        <v>42.484249114999997</v>
      </c>
      <c r="G531">
        <v>1341.1280518000001</v>
      </c>
      <c r="H531">
        <v>1338.3944091999999</v>
      </c>
      <c r="I531">
        <v>1320.8011475000001</v>
      </c>
      <c r="J531">
        <v>1316.1427002</v>
      </c>
      <c r="K531">
        <v>1650</v>
      </c>
      <c r="L531">
        <v>0</v>
      </c>
      <c r="M531">
        <v>0</v>
      </c>
      <c r="N531">
        <v>1650</v>
      </c>
    </row>
    <row r="532" spans="1:14" x14ac:dyDescent="0.25">
      <c r="A532">
        <v>168.045637</v>
      </c>
      <c r="B532" s="1">
        <f>DATE(2010,10,16) + TIME(1,5,43)</f>
        <v>40467.045636574076</v>
      </c>
      <c r="C532">
        <v>80</v>
      </c>
      <c r="D532">
        <v>79.920562743999994</v>
      </c>
      <c r="E532">
        <v>40</v>
      </c>
      <c r="F532">
        <v>42.838283539000003</v>
      </c>
      <c r="G532">
        <v>1341.1202393000001</v>
      </c>
      <c r="H532">
        <v>1338.3881836</v>
      </c>
      <c r="I532">
        <v>1320.8276367000001</v>
      </c>
      <c r="J532">
        <v>1316.1851807</v>
      </c>
      <c r="K532">
        <v>1650</v>
      </c>
      <c r="L532">
        <v>0</v>
      </c>
      <c r="M532">
        <v>0</v>
      </c>
      <c r="N532">
        <v>1650</v>
      </c>
    </row>
    <row r="533" spans="1:14" x14ac:dyDescent="0.25">
      <c r="A533">
        <v>169.309203</v>
      </c>
      <c r="B533" s="1">
        <f>DATE(2010,10,17) + TIME(7,25,15)</f>
        <v>40468.309201388889</v>
      </c>
      <c r="C533">
        <v>80</v>
      </c>
      <c r="D533">
        <v>79.920661925999994</v>
      </c>
      <c r="E533">
        <v>40</v>
      </c>
      <c r="F533">
        <v>43.200374603</v>
      </c>
      <c r="G533">
        <v>1341.1125488</v>
      </c>
      <c r="H533">
        <v>1338.3819579999999</v>
      </c>
      <c r="I533">
        <v>1320.8544922000001</v>
      </c>
      <c r="J533">
        <v>1316.229126</v>
      </c>
      <c r="K533">
        <v>1650</v>
      </c>
      <c r="L533">
        <v>0</v>
      </c>
      <c r="M533">
        <v>0</v>
      </c>
      <c r="N533">
        <v>1650</v>
      </c>
    </row>
    <row r="534" spans="1:14" x14ac:dyDescent="0.25">
      <c r="A534">
        <v>170.59219300000001</v>
      </c>
      <c r="B534" s="1">
        <f>DATE(2010,10,18) + TIME(14,12,45)</f>
        <v>40469.592187499999</v>
      </c>
      <c r="C534">
        <v>80</v>
      </c>
      <c r="D534">
        <v>79.920768738000007</v>
      </c>
      <c r="E534">
        <v>40</v>
      </c>
      <c r="F534">
        <v>43.564224242999998</v>
      </c>
      <c r="G534">
        <v>1341.1047363</v>
      </c>
      <c r="H534">
        <v>1338.3756103999999</v>
      </c>
      <c r="I534">
        <v>1320.8817139</v>
      </c>
      <c r="J534">
        <v>1316.2738036999999</v>
      </c>
      <c r="K534">
        <v>1650</v>
      </c>
      <c r="L534">
        <v>0</v>
      </c>
      <c r="M534">
        <v>0</v>
      </c>
      <c r="N534">
        <v>1650</v>
      </c>
    </row>
    <row r="535" spans="1:14" x14ac:dyDescent="0.25">
      <c r="A535">
        <v>171.89520099999999</v>
      </c>
      <c r="B535" s="1">
        <f>DATE(2010,10,19) + TIME(21,29,5)</f>
        <v>40470.895196759258</v>
      </c>
      <c r="C535">
        <v>80</v>
      </c>
      <c r="D535">
        <v>79.920875549000002</v>
      </c>
      <c r="E535">
        <v>40</v>
      </c>
      <c r="F535">
        <v>43.926925658999998</v>
      </c>
      <c r="G535">
        <v>1341.0970459</v>
      </c>
      <c r="H535">
        <v>1338.3693848</v>
      </c>
      <c r="I535">
        <v>1320.9091797000001</v>
      </c>
      <c r="J535">
        <v>1316.3188477000001</v>
      </c>
      <c r="K535">
        <v>1650</v>
      </c>
      <c r="L535">
        <v>0</v>
      </c>
      <c r="M535">
        <v>0</v>
      </c>
      <c r="N535">
        <v>1650</v>
      </c>
    </row>
    <row r="536" spans="1:14" x14ac:dyDescent="0.25">
      <c r="A536">
        <v>173.21353300000001</v>
      </c>
      <c r="B536" s="1">
        <f>DATE(2010,10,21) + TIME(5,7,29)</f>
        <v>40472.213530092595</v>
      </c>
      <c r="C536">
        <v>80</v>
      </c>
      <c r="D536">
        <v>79.920982361</v>
      </c>
      <c r="E536">
        <v>40</v>
      </c>
      <c r="F536">
        <v>44.28679657</v>
      </c>
      <c r="G536">
        <v>1341.0892334</v>
      </c>
      <c r="H536">
        <v>1338.3631591999999</v>
      </c>
      <c r="I536">
        <v>1320.9370117000001</v>
      </c>
      <c r="J536">
        <v>1316.3641356999999</v>
      </c>
      <c r="K536">
        <v>1650</v>
      </c>
      <c r="L536">
        <v>0</v>
      </c>
      <c r="M536">
        <v>0</v>
      </c>
      <c r="N536">
        <v>1650</v>
      </c>
    </row>
    <row r="537" spans="1:14" x14ac:dyDescent="0.25">
      <c r="A537">
        <v>173.88259199999999</v>
      </c>
      <c r="B537" s="1">
        <f>DATE(2010,10,21) + TIME(21,10,55)</f>
        <v>40472.882581018515</v>
      </c>
      <c r="C537">
        <v>80</v>
      </c>
      <c r="D537">
        <v>79.921028136999993</v>
      </c>
      <c r="E537">
        <v>40</v>
      </c>
      <c r="F537">
        <v>44.547733307000001</v>
      </c>
      <c r="G537">
        <v>1341.081543</v>
      </c>
      <c r="H537">
        <v>1338.3569336</v>
      </c>
      <c r="I537">
        <v>1320.9674072</v>
      </c>
      <c r="J537">
        <v>1316.4053954999999</v>
      </c>
      <c r="K537">
        <v>1650</v>
      </c>
      <c r="L537">
        <v>0</v>
      </c>
      <c r="M537">
        <v>0</v>
      </c>
      <c r="N537">
        <v>1650</v>
      </c>
    </row>
    <row r="538" spans="1:14" x14ac:dyDescent="0.25">
      <c r="A538">
        <v>174.55165</v>
      </c>
      <c r="B538" s="1">
        <f>DATE(2010,10,22) + TIME(13,14,22)</f>
        <v>40473.55164351852</v>
      </c>
      <c r="C538">
        <v>80</v>
      </c>
      <c r="D538">
        <v>79.921073914000004</v>
      </c>
      <c r="E538">
        <v>40</v>
      </c>
      <c r="F538">
        <v>44.768550873000002</v>
      </c>
      <c r="G538">
        <v>1341.0776367000001</v>
      </c>
      <c r="H538">
        <v>1338.3537598</v>
      </c>
      <c r="I538">
        <v>1320.9815673999999</v>
      </c>
      <c r="J538">
        <v>1316.4321289</v>
      </c>
      <c r="K538">
        <v>1650</v>
      </c>
      <c r="L538">
        <v>0</v>
      </c>
      <c r="M538">
        <v>0</v>
      </c>
      <c r="N538">
        <v>1650</v>
      </c>
    </row>
    <row r="539" spans="1:14" x14ac:dyDescent="0.25">
      <c r="A539">
        <v>175.220709</v>
      </c>
      <c r="B539" s="1">
        <f>DATE(2010,10,23) + TIME(5,17,49)</f>
        <v>40474.220706018517</v>
      </c>
      <c r="C539">
        <v>80</v>
      </c>
      <c r="D539">
        <v>79.921127318999993</v>
      </c>
      <c r="E539">
        <v>40</v>
      </c>
      <c r="F539">
        <v>44.966880797999998</v>
      </c>
      <c r="G539">
        <v>1341.0737305</v>
      </c>
      <c r="H539">
        <v>1338.3505858999999</v>
      </c>
      <c r="I539">
        <v>1320.9957274999999</v>
      </c>
      <c r="J539">
        <v>1316.4571533000001</v>
      </c>
      <c r="K539">
        <v>1650</v>
      </c>
      <c r="L539">
        <v>0</v>
      </c>
      <c r="M539">
        <v>0</v>
      </c>
      <c r="N539">
        <v>1650</v>
      </c>
    </row>
    <row r="540" spans="1:14" x14ac:dyDescent="0.25">
      <c r="A540">
        <v>175.88976700000001</v>
      </c>
      <c r="B540" s="1">
        <f>DATE(2010,10,23) + TIME(21,21,15)</f>
        <v>40474.889756944445</v>
      </c>
      <c r="C540">
        <v>80</v>
      </c>
      <c r="D540">
        <v>79.921180724999999</v>
      </c>
      <c r="E540">
        <v>40</v>
      </c>
      <c r="F540">
        <v>45.152198792</v>
      </c>
      <c r="G540">
        <v>1341.0699463000001</v>
      </c>
      <c r="H540">
        <v>1338.3475341999999</v>
      </c>
      <c r="I540">
        <v>1321.0098877</v>
      </c>
      <c r="J540">
        <v>1316.4812012</v>
      </c>
      <c r="K540">
        <v>1650</v>
      </c>
      <c r="L540">
        <v>0</v>
      </c>
      <c r="M540">
        <v>0</v>
      </c>
      <c r="N540">
        <v>1650</v>
      </c>
    </row>
    <row r="541" spans="1:14" x14ac:dyDescent="0.25">
      <c r="A541">
        <v>176.55882600000001</v>
      </c>
      <c r="B541" s="1">
        <f>DATE(2010,10,24) + TIME(13,24,42)</f>
        <v>40475.558819444443</v>
      </c>
      <c r="C541">
        <v>80</v>
      </c>
      <c r="D541">
        <v>79.921234131000006</v>
      </c>
      <c r="E541">
        <v>40</v>
      </c>
      <c r="F541">
        <v>45.329597473</v>
      </c>
      <c r="G541">
        <v>1341.0661620999999</v>
      </c>
      <c r="H541">
        <v>1338.3444824000001</v>
      </c>
      <c r="I541">
        <v>1321.0239257999999</v>
      </c>
      <c r="J541">
        <v>1316.5043945</v>
      </c>
      <c r="K541">
        <v>1650</v>
      </c>
      <c r="L541">
        <v>0</v>
      </c>
      <c r="M541">
        <v>0</v>
      </c>
      <c r="N541">
        <v>1650</v>
      </c>
    </row>
    <row r="542" spans="1:14" x14ac:dyDescent="0.25">
      <c r="A542">
        <v>177.22788399999999</v>
      </c>
      <c r="B542" s="1">
        <f>DATE(2010,10,25) + TIME(5,28,9)</f>
        <v>40476.227881944447</v>
      </c>
      <c r="C542">
        <v>80</v>
      </c>
      <c r="D542">
        <v>79.921287536999998</v>
      </c>
      <c r="E542">
        <v>40</v>
      </c>
      <c r="F542">
        <v>45.501811981000003</v>
      </c>
      <c r="G542">
        <v>1341.0623779</v>
      </c>
      <c r="H542">
        <v>1338.3415527</v>
      </c>
      <c r="I542">
        <v>1321.0379639</v>
      </c>
      <c r="J542">
        <v>1316.5272216999999</v>
      </c>
      <c r="K542">
        <v>1650</v>
      </c>
      <c r="L542">
        <v>0</v>
      </c>
      <c r="M542">
        <v>0</v>
      </c>
      <c r="N542">
        <v>1650</v>
      </c>
    </row>
    <row r="543" spans="1:14" x14ac:dyDescent="0.25">
      <c r="A543">
        <v>177.89694299999999</v>
      </c>
      <c r="B543" s="1">
        <f>DATE(2010,10,25) + TIME(21,31,35)</f>
        <v>40476.896932870368</v>
      </c>
      <c r="C543">
        <v>80</v>
      </c>
      <c r="D543">
        <v>79.921340942</v>
      </c>
      <c r="E543">
        <v>40</v>
      </c>
      <c r="F543">
        <v>45.670333862</v>
      </c>
      <c r="G543">
        <v>1341.0585937999999</v>
      </c>
      <c r="H543">
        <v>1338.338501</v>
      </c>
      <c r="I543">
        <v>1321.0518798999999</v>
      </c>
      <c r="J543">
        <v>1316.5496826000001</v>
      </c>
      <c r="K543">
        <v>1650</v>
      </c>
      <c r="L543">
        <v>0</v>
      </c>
      <c r="M543">
        <v>0</v>
      </c>
      <c r="N543">
        <v>1650</v>
      </c>
    </row>
    <row r="544" spans="1:14" x14ac:dyDescent="0.25">
      <c r="A544">
        <v>178.566001</v>
      </c>
      <c r="B544" s="1">
        <f>DATE(2010,10,26) + TIME(13,35,2)</f>
        <v>40477.565995370373</v>
      </c>
      <c r="C544">
        <v>80</v>
      </c>
      <c r="D544">
        <v>79.921394348000007</v>
      </c>
      <c r="E544">
        <v>40</v>
      </c>
      <c r="F544">
        <v>45.835983276</v>
      </c>
      <c r="G544">
        <v>1341.0549315999999</v>
      </c>
      <c r="H544">
        <v>1338.3355713000001</v>
      </c>
      <c r="I544">
        <v>1321.0656738</v>
      </c>
      <c r="J544">
        <v>1316.5720214999999</v>
      </c>
      <c r="K544">
        <v>1650</v>
      </c>
      <c r="L544">
        <v>0</v>
      </c>
      <c r="M544">
        <v>0</v>
      </c>
      <c r="N544">
        <v>1650</v>
      </c>
    </row>
    <row r="545" spans="1:14" x14ac:dyDescent="0.25">
      <c r="A545">
        <v>179.23506</v>
      </c>
      <c r="B545" s="1">
        <f>DATE(2010,10,27) + TIME(5,38,29)</f>
        <v>40478.23505787037</v>
      </c>
      <c r="C545">
        <v>80</v>
      </c>
      <c r="D545">
        <v>79.921447753999999</v>
      </c>
      <c r="E545">
        <v>40</v>
      </c>
      <c r="F545">
        <v>45.999217987000002</v>
      </c>
      <c r="G545">
        <v>1341.0512695</v>
      </c>
      <c r="H545">
        <v>1338.3326416</v>
      </c>
      <c r="I545">
        <v>1321.0794678</v>
      </c>
      <c r="J545">
        <v>1316.5939940999999</v>
      </c>
      <c r="K545">
        <v>1650</v>
      </c>
      <c r="L545">
        <v>0</v>
      </c>
      <c r="M545">
        <v>0</v>
      </c>
      <c r="N545">
        <v>1650</v>
      </c>
    </row>
    <row r="546" spans="1:14" x14ac:dyDescent="0.25">
      <c r="A546">
        <v>179.90411800000001</v>
      </c>
      <c r="B546" s="1">
        <f>DATE(2010,10,27) + TIME(21,41,55)</f>
        <v>40478.904108796298</v>
      </c>
      <c r="C546">
        <v>80</v>
      </c>
      <c r="D546">
        <v>79.921501160000005</v>
      </c>
      <c r="E546">
        <v>40</v>
      </c>
      <c r="F546">
        <v>46.160282135000003</v>
      </c>
      <c r="G546">
        <v>1341.0476074000001</v>
      </c>
      <c r="H546">
        <v>1338.3297118999999</v>
      </c>
      <c r="I546">
        <v>1321.0932617000001</v>
      </c>
      <c r="J546">
        <v>1316.6158447</v>
      </c>
      <c r="K546">
        <v>1650</v>
      </c>
      <c r="L546">
        <v>0</v>
      </c>
      <c r="M546">
        <v>0</v>
      </c>
      <c r="N546">
        <v>1650</v>
      </c>
    </row>
    <row r="547" spans="1:14" x14ac:dyDescent="0.25">
      <c r="A547">
        <v>180.57317699999999</v>
      </c>
      <c r="B547" s="1">
        <f>DATE(2010,10,28) + TIME(13,45,22)</f>
        <v>40479.573171296295</v>
      </c>
      <c r="C547">
        <v>80</v>
      </c>
      <c r="D547">
        <v>79.921554564999994</v>
      </c>
      <c r="E547">
        <v>40</v>
      </c>
      <c r="F547">
        <v>46.319332123000002</v>
      </c>
      <c r="G547">
        <v>1341.0439452999999</v>
      </c>
      <c r="H547">
        <v>1338.3267822</v>
      </c>
      <c r="I547">
        <v>1321.1069336</v>
      </c>
      <c r="J547">
        <v>1316.6375731999999</v>
      </c>
      <c r="K547">
        <v>1650</v>
      </c>
      <c r="L547">
        <v>0</v>
      </c>
      <c r="M547">
        <v>0</v>
      </c>
      <c r="N547">
        <v>1650</v>
      </c>
    </row>
    <row r="548" spans="1:14" x14ac:dyDescent="0.25">
      <c r="A548">
        <v>181.911294</v>
      </c>
      <c r="B548" s="1">
        <f>DATE(2010,10,29) + TIME(21,52,15)</f>
        <v>40480.91128472222</v>
      </c>
      <c r="C548">
        <v>80</v>
      </c>
      <c r="D548">
        <v>79.921676636000001</v>
      </c>
      <c r="E548">
        <v>40</v>
      </c>
      <c r="F548">
        <v>46.533638000000003</v>
      </c>
      <c r="G548">
        <v>1341.0404053</v>
      </c>
      <c r="H548">
        <v>1338.3238524999999</v>
      </c>
      <c r="I548">
        <v>1321.1192627</v>
      </c>
      <c r="J548">
        <v>1316.6619873</v>
      </c>
      <c r="K548">
        <v>1650</v>
      </c>
      <c r="L548">
        <v>0</v>
      </c>
      <c r="M548">
        <v>0</v>
      </c>
      <c r="N548">
        <v>1650</v>
      </c>
    </row>
    <row r="549" spans="1:14" x14ac:dyDescent="0.25">
      <c r="A549">
        <v>183.25226000000001</v>
      </c>
      <c r="B549" s="1">
        <f>DATE(2010,10,31) + TIME(6,3,15)</f>
        <v>40482.252256944441</v>
      </c>
      <c r="C549">
        <v>80</v>
      </c>
      <c r="D549">
        <v>79.921791076999995</v>
      </c>
      <c r="E549">
        <v>40</v>
      </c>
      <c r="F549">
        <v>46.806354523000003</v>
      </c>
      <c r="G549">
        <v>1341.0333252</v>
      </c>
      <c r="H549">
        <v>1338.3182373</v>
      </c>
      <c r="I549">
        <v>1321.1453856999999</v>
      </c>
      <c r="J549">
        <v>1316.6999512</v>
      </c>
      <c r="K549">
        <v>1650</v>
      </c>
      <c r="L549">
        <v>0</v>
      </c>
      <c r="M549">
        <v>0</v>
      </c>
      <c r="N549">
        <v>1650</v>
      </c>
    </row>
    <row r="550" spans="1:14" x14ac:dyDescent="0.25">
      <c r="A550">
        <v>184</v>
      </c>
      <c r="B550" s="1">
        <f>DATE(2010,11,1) + TIME(0,0,0)</f>
        <v>40483</v>
      </c>
      <c r="C550">
        <v>80</v>
      </c>
      <c r="D550">
        <v>79.921836853000002</v>
      </c>
      <c r="E550">
        <v>40</v>
      </c>
      <c r="F550">
        <v>47.031490325999997</v>
      </c>
      <c r="G550">
        <v>1341.0262451000001</v>
      </c>
      <c r="H550">
        <v>1338.3126221</v>
      </c>
      <c r="I550">
        <v>1321.1730957</v>
      </c>
      <c r="J550">
        <v>1316.7373047000001</v>
      </c>
      <c r="K550">
        <v>1650</v>
      </c>
      <c r="L550">
        <v>0</v>
      </c>
      <c r="M550">
        <v>0</v>
      </c>
      <c r="N550">
        <v>1650</v>
      </c>
    </row>
    <row r="551" spans="1:14" x14ac:dyDescent="0.25">
      <c r="A551">
        <v>184.000001</v>
      </c>
      <c r="B551" s="1">
        <f>DATE(2010,11,1) + TIME(0,0,0)</f>
        <v>40483</v>
      </c>
      <c r="C551">
        <v>80</v>
      </c>
      <c r="D551">
        <v>79.921768188000001</v>
      </c>
      <c r="E551">
        <v>40</v>
      </c>
      <c r="F551">
        <v>47.031585692999997</v>
      </c>
      <c r="G551">
        <v>1337.8172606999999</v>
      </c>
      <c r="H551">
        <v>1336.9953613</v>
      </c>
      <c r="I551">
        <v>1326.3337402</v>
      </c>
      <c r="J551">
        <v>1322.0142822</v>
      </c>
      <c r="K551">
        <v>0</v>
      </c>
      <c r="L551">
        <v>1650</v>
      </c>
      <c r="M551">
        <v>1650</v>
      </c>
      <c r="N551">
        <v>0</v>
      </c>
    </row>
    <row r="552" spans="1:14" x14ac:dyDescent="0.25">
      <c r="A552">
        <v>184.00000399999999</v>
      </c>
      <c r="B552" s="1">
        <f>DATE(2010,11,1) + TIME(0,0,0)</f>
        <v>40483</v>
      </c>
      <c r="C552">
        <v>80</v>
      </c>
      <c r="D552">
        <v>79.921646117999998</v>
      </c>
      <c r="E552">
        <v>40</v>
      </c>
      <c r="F552">
        <v>47.031772613999998</v>
      </c>
      <c r="G552">
        <v>1336.9665527</v>
      </c>
      <c r="H552">
        <v>1336.1331786999999</v>
      </c>
      <c r="I552">
        <v>1327.6254882999999</v>
      </c>
      <c r="J552">
        <v>1323.6599120999999</v>
      </c>
      <c r="K552">
        <v>0</v>
      </c>
      <c r="L552">
        <v>1650</v>
      </c>
      <c r="M552">
        <v>1650</v>
      </c>
      <c r="N552">
        <v>0</v>
      </c>
    </row>
    <row r="553" spans="1:14" x14ac:dyDescent="0.25">
      <c r="A553">
        <v>184.000013</v>
      </c>
      <c r="B553" s="1">
        <f>DATE(2010,11,1) + TIME(0,0,1)</f>
        <v>40483.000011574077</v>
      </c>
      <c r="C553">
        <v>80</v>
      </c>
      <c r="D553">
        <v>79.921501160000005</v>
      </c>
      <c r="E553">
        <v>40</v>
      </c>
      <c r="F553">
        <v>47.031978606999999</v>
      </c>
      <c r="G553">
        <v>1335.9082031</v>
      </c>
      <c r="H553">
        <v>1335.0422363</v>
      </c>
      <c r="I553">
        <v>1329.7371826000001</v>
      </c>
      <c r="J553">
        <v>1325.9080810999999</v>
      </c>
      <c r="K553">
        <v>0</v>
      </c>
      <c r="L553">
        <v>1650</v>
      </c>
      <c r="M553">
        <v>1650</v>
      </c>
      <c r="N553">
        <v>0</v>
      </c>
    </row>
    <row r="554" spans="1:14" x14ac:dyDescent="0.25">
      <c r="A554">
        <v>184.00004000000001</v>
      </c>
      <c r="B554" s="1">
        <f>DATE(2010,11,1) + TIME(0,0,3)</f>
        <v>40483.000034722223</v>
      </c>
      <c r="C554">
        <v>80</v>
      </c>
      <c r="D554">
        <v>79.921333313000005</v>
      </c>
      <c r="E554">
        <v>40</v>
      </c>
      <c r="F554">
        <v>47.032077788999999</v>
      </c>
      <c r="G554">
        <v>1334.8095702999999</v>
      </c>
      <c r="H554">
        <v>1333.8984375</v>
      </c>
      <c r="I554">
        <v>1332.3232422000001</v>
      </c>
      <c r="J554">
        <v>1328.4584961</v>
      </c>
      <c r="K554">
        <v>0</v>
      </c>
      <c r="L554">
        <v>1650</v>
      </c>
      <c r="M554">
        <v>1650</v>
      </c>
      <c r="N554">
        <v>0</v>
      </c>
    </row>
    <row r="555" spans="1:14" x14ac:dyDescent="0.25">
      <c r="A555">
        <v>184.00012100000001</v>
      </c>
      <c r="B555" s="1">
        <f>DATE(2010,11,1) + TIME(0,0,10)</f>
        <v>40483.000115740739</v>
      </c>
      <c r="C555">
        <v>80</v>
      </c>
      <c r="D555">
        <v>79.921157836999996</v>
      </c>
      <c r="E555">
        <v>40</v>
      </c>
      <c r="F555">
        <v>47.031738281000003</v>
      </c>
      <c r="G555">
        <v>1333.677124</v>
      </c>
      <c r="H555">
        <v>1332.7015381000001</v>
      </c>
      <c r="I555">
        <v>1335.0079346</v>
      </c>
      <c r="J555">
        <v>1331.1026611</v>
      </c>
      <c r="K555">
        <v>0</v>
      </c>
      <c r="L555">
        <v>1650</v>
      </c>
      <c r="M555">
        <v>1650</v>
      </c>
      <c r="N555">
        <v>0</v>
      </c>
    </row>
    <row r="556" spans="1:14" x14ac:dyDescent="0.25">
      <c r="A556">
        <v>184.00036399999999</v>
      </c>
      <c r="B556" s="1">
        <f>DATE(2010,11,1) + TIME(0,0,31)</f>
        <v>40483.000358796293</v>
      </c>
      <c r="C556">
        <v>80</v>
      </c>
      <c r="D556">
        <v>79.920928954999994</v>
      </c>
      <c r="E556">
        <v>40</v>
      </c>
      <c r="F556">
        <v>47.030040741000001</v>
      </c>
      <c r="G556">
        <v>1332.4512939000001</v>
      </c>
      <c r="H556">
        <v>1331.3845214999999</v>
      </c>
      <c r="I556">
        <v>1337.6667480000001</v>
      </c>
      <c r="J556">
        <v>1333.7130127</v>
      </c>
      <c r="K556">
        <v>0</v>
      </c>
      <c r="L556">
        <v>1650</v>
      </c>
      <c r="M556">
        <v>1650</v>
      </c>
      <c r="N556">
        <v>0</v>
      </c>
    </row>
    <row r="557" spans="1:14" x14ac:dyDescent="0.25">
      <c r="A557">
        <v>184.001093</v>
      </c>
      <c r="B557" s="1">
        <f>DATE(2010,11,1) + TIME(0,1,34)</f>
        <v>40483.001087962963</v>
      </c>
      <c r="C557">
        <v>80</v>
      </c>
      <c r="D557">
        <v>79.920578003000003</v>
      </c>
      <c r="E557">
        <v>40</v>
      </c>
      <c r="F557">
        <v>47.024139404000003</v>
      </c>
      <c r="G557">
        <v>1331.1494141000001</v>
      </c>
      <c r="H557">
        <v>1329.9868164</v>
      </c>
      <c r="I557">
        <v>1340.1254882999999</v>
      </c>
      <c r="J557">
        <v>1336.0849608999999</v>
      </c>
      <c r="K557">
        <v>0</v>
      </c>
      <c r="L557">
        <v>1650</v>
      </c>
      <c r="M557">
        <v>1650</v>
      </c>
      <c r="N557">
        <v>0</v>
      </c>
    </row>
    <row r="558" spans="1:14" x14ac:dyDescent="0.25">
      <c r="A558">
        <v>184.00327999999999</v>
      </c>
      <c r="B558" s="1">
        <f>DATE(2010,11,1) + TIME(0,4,43)</f>
        <v>40483.003275462965</v>
      </c>
      <c r="C558">
        <v>80</v>
      </c>
      <c r="D558">
        <v>79.919898986999996</v>
      </c>
      <c r="E558">
        <v>40</v>
      </c>
      <c r="F558">
        <v>47.005382537999999</v>
      </c>
      <c r="G558">
        <v>1329.9885254000001</v>
      </c>
      <c r="H558">
        <v>1328.7653809000001</v>
      </c>
      <c r="I558">
        <v>1341.9904785000001</v>
      </c>
      <c r="J558">
        <v>1337.8507079999999</v>
      </c>
      <c r="K558">
        <v>0</v>
      </c>
      <c r="L558">
        <v>1650</v>
      </c>
      <c r="M558">
        <v>1650</v>
      </c>
      <c r="N558">
        <v>0</v>
      </c>
    </row>
    <row r="559" spans="1:14" x14ac:dyDescent="0.25">
      <c r="A559">
        <v>184.00984099999999</v>
      </c>
      <c r="B559" s="1">
        <f>DATE(2010,11,1) + TIME(0,14,10)</f>
        <v>40483.009837962964</v>
      </c>
      <c r="C559">
        <v>80</v>
      </c>
      <c r="D559">
        <v>79.918228149000001</v>
      </c>
      <c r="E559">
        <v>40</v>
      </c>
      <c r="F559">
        <v>46.948268890000001</v>
      </c>
      <c r="G559">
        <v>1329.2313231999999</v>
      </c>
      <c r="H559">
        <v>1327.9864502</v>
      </c>
      <c r="I559">
        <v>1342.9682617000001</v>
      </c>
      <c r="J559">
        <v>1338.7681885</v>
      </c>
      <c r="K559">
        <v>0</v>
      </c>
      <c r="L559">
        <v>1650</v>
      </c>
      <c r="M559">
        <v>1650</v>
      </c>
      <c r="N559">
        <v>0</v>
      </c>
    </row>
    <row r="560" spans="1:14" x14ac:dyDescent="0.25">
      <c r="A560">
        <v>184.02952400000001</v>
      </c>
      <c r="B560" s="1">
        <f>DATE(2010,11,1) + TIME(0,42,30)</f>
        <v>40483.029513888891</v>
      </c>
      <c r="C560">
        <v>80</v>
      </c>
      <c r="D560">
        <v>79.913528442</v>
      </c>
      <c r="E560">
        <v>40</v>
      </c>
      <c r="F560">
        <v>46.780815124999997</v>
      </c>
      <c r="G560">
        <v>1328.9276123</v>
      </c>
      <c r="H560">
        <v>1327.677124</v>
      </c>
      <c r="I560">
        <v>1343.2078856999999</v>
      </c>
      <c r="J560">
        <v>1338.9976807</v>
      </c>
      <c r="K560">
        <v>0</v>
      </c>
      <c r="L560">
        <v>1650</v>
      </c>
      <c r="M560">
        <v>1650</v>
      </c>
      <c r="N560">
        <v>0</v>
      </c>
    </row>
    <row r="561" spans="1:14" x14ac:dyDescent="0.25">
      <c r="A561">
        <v>184.06933599999999</v>
      </c>
      <c r="B561" s="1">
        <f>DATE(2010,11,1) + TIME(1,39,50)</f>
        <v>40483.069328703707</v>
      </c>
      <c r="C561">
        <v>80</v>
      </c>
      <c r="D561">
        <v>79.904243468999994</v>
      </c>
      <c r="E561">
        <v>40</v>
      </c>
      <c r="F561">
        <v>46.461036682</v>
      </c>
      <c r="G561">
        <v>1328.8662108999999</v>
      </c>
      <c r="H561">
        <v>1327.6137695</v>
      </c>
      <c r="I561">
        <v>1343.1651611</v>
      </c>
      <c r="J561">
        <v>1338.9719238</v>
      </c>
      <c r="K561">
        <v>0</v>
      </c>
      <c r="L561">
        <v>1650</v>
      </c>
      <c r="M561">
        <v>1650</v>
      </c>
      <c r="N561">
        <v>0</v>
      </c>
    </row>
    <row r="562" spans="1:14" x14ac:dyDescent="0.25">
      <c r="A562">
        <v>184.11076499999999</v>
      </c>
      <c r="B562" s="1">
        <f>DATE(2010,11,1) + TIME(2,39,30)</f>
        <v>40483.110763888886</v>
      </c>
      <c r="C562">
        <v>80</v>
      </c>
      <c r="D562">
        <v>79.894645690999994</v>
      </c>
      <c r="E562">
        <v>40</v>
      </c>
      <c r="F562">
        <v>46.147346497000001</v>
      </c>
      <c r="G562">
        <v>1328.8549805</v>
      </c>
      <c r="H562">
        <v>1327.6007079999999</v>
      </c>
      <c r="I562">
        <v>1343.1057129000001</v>
      </c>
      <c r="J562">
        <v>1338.9291992000001</v>
      </c>
      <c r="K562">
        <v>0</v>
      </c>
      <c r="L562">
        <v>1650</v>
      </c>
      <c r="M562">
        <v>1650</v>
      </c>
      <c r="N562">
        <v>0</v>
      </c>
    </row>
    <row r="563" spans="1:14" x14ac:dyDescent="0.25">
      <c r="A563">
        <v>184.153809</v>
      </c>
      <c r="B563" s="1">
        <f>DATE(2010,11,1) + TIME(3,41,29)</f>
        <v>40483.153807870367</v>
      </c>
      <c r="C563">
        <v>80</v>
      </c>
      <c r="D563">
        <v>79.884750366000006</v>
      </c>
      <c r="E563">
        <v>40</v>
      </c>
      <c r="F563">
        <v>45.840515136999997</v>
      </c>
      <c r="G563">
        <v>1328.8497314000001</v>
      </c>
      <c r="H563">
        <v>1327.5935059000001</v>
      </c>
      <c r="I563">
        <v>1343.0476074000001</v>
      </c>
      <c r="J563">
        <v>1338.8878173999999</v>
      </c>
      <c r="K563">
        <v>0</v>
      </c>
      <c r="L563">
        <v>1650</v>
      </c>
      <c r="M563">
        <v>1650</v>
      </c>
      <c r="N563">
        <v>0</v>
      </c>
    </row>
    <row r="564" spans="1:14" x14ac:dyDescent="0.25">
      <c r="A564">
        <v>184.19857500000001</v>
      </c>
      <c r="B564" s="1">
        <f>DATE(2010,11,1) + TIME(4,45,56)</f>
        <v>40483.198564814818</v>
      </c>
      <c r="C564">
        <v>80</v>
      </c>
      <c r="D564">
        <v>79.874534607000001</v>
      </c>
      <c r="E564">
        <v>40</v>
      </c>
      <c r="F564">
        <v>45.540512085000003</v>
      </c>
      <c r="G564">
        <v>1328.8450928</v>
      </c>
      <c r="H564">
        <v>1327.5869141000001</v>
      </c>
      <c r="I564">
        <v>1342.9909668</v>
      </c>
      <c r="J564">
        <v>1338.8476562000001</v>
      </c>
      <c r="K564">
        <v>0</v>
      </c>
      <c r="L564">
        <v>1650</v>
      </c>
      <c r="M564">
        <v>1650</v>
      </c>
      <c r="N564">
        <v>0</v>
      </c>
    </row>
    <row r="565" spans="1:14" x14ac:dyDescent="0.25">
      <c r="A565">
        <v>184.24516199999999</v>
      </c>
      <c r="B565" s="1">
        <f>DATE(2010,11,1) + TIME(5,53,1)</f>
        <v>40483.245150462964</v>
      </c>
      <c r="C565">
        <v>80</v>
      </c>
      <c r="D565">
        <v>79.863983153999996</v>
      </c>
      <c r="E565">
        <v>40</v>
      </c>
      <c r="F565">
        <v>45.247421265</v>
      </c>
      <c r="G565">
        <v>1328.840332</v>
      </c>
      <c r="H565">
        <v>1327.5802002</v>
      </c>
      <c r="I565">
        <v>1342.9356689000001</v>
      </c>
      <c r="J565">
        <v>1338.8085937999999</v>
      </c>
      <c r="K565">
        <v>0</v>
      </c>
      <c r="L565">
        <v>1650</v>
      </c>
      <c r="M565">
        <v>1650</v>
      </c>
      <c r="N565">
        <v>0</v>
      </c>
    </row>
    <row r="566" spans="1:14" x14ac:dyDescent="0.25">
      <c r="A566">
        <v>184.29368600000001</v>
      </c>
      <c r="B566" s="1">
        <f>DATE(2010,11,1) + TIME(7,2,54)</f>
        <v>40483.293680555558</v>
      </c>
      <c r="C566">
        <v>80</v>
      </c>
      <c r="D566">
        <v>79.853073120000005</v>
      </c>
      <c r="E566">
        <v>40</v>
      </c>
      <c r="F566">
        <v>44.961257934999999</v>
      </c>
      <c r="G566">
        <v>1328.8356934000001</v>
      </c>
      <c r="H566">
        <v>1327.5734863</v>
      </c>
      <c r="I566">
        <v>1342.8815918</v>
      </c>
      <c r="J566">
        <v>1338.7705077999999</v>
      </c>
      <c r="K566">
        <v>0</v>
      </c>
      <c r="L566">
        <v>1650</v>
      </c>
      <c r="M566">
        <v>1650</v>
      </c>
      <c r="N566">
        <v>0</v>
      </c>
    </row>
    <row r="567" spans="1:14" x14ac:dyDescent="0.25">
      <c r="A567">
        <v>184.34427600000001</v>
      </c>
      <c r="B567" s="1">
        <f>DATE(2010,11,1) + TIME(8,15,45)</f>
        <v>40483.344270833331</v>
      </c>
      <c r="C567">
        <v>80</v>
      </c>
      <c r="D567">
        <v>79.841796875</v>
      </c>
      <c r="E567">
        <v>40</v>
      </c>
      <c r="F567">
        <v>44.682056426999999</v>
      </c>
      <c r="G567">
        <v>1328.8308105000001</v>
      </c>
      <c r="H567">
        <v>1327.5665283000001</v>
      </c>
      <c r="I567">
        <v>1342.8288574000001</v>
      </c>
      <c r="J567">
        <v>1338.7335204999999</v>
      </c>
      <c r="K567">
        <v>0</v>
      </c>
      <c r="L567">
        <v>1650</v>
      </c>
      <c r="M567">
        <v>1650</v>
      </c>
      <c r="N567">
        <v>0</v>
      </c>
    </row>
    <row r="568" spans="1:14" x14ac:dyDescent="0.25">
      <c r="A568">
        <v>184.39707200000001</v>
      </c>
      <c r="B568" s="1">
        <f>DATE(2010,11,1) + TIME(9,31,47)</f>
        <v>40483.39707175926</v>
      </c>
      <c r="C568">
        <v>80</v>
      </c>
      <c r="D568">
        <v>79.830116271999998</v>
      </c>
      <c r="E568">
        <v>40</v>
      </c>
      <c r="F568">
        <v>44.409854889000002</v>
      </c>
      <c r="G568">
        <v>1328.8258057</v>
      </c>
      <c r="H568">
        <v>1327.5594481999999</v>
      </c>
      <c r="I568">
        <v>1342.7773437999999</v>
      </c>
      <c r="J568">
        <v>1338.6973877</v>
      </c>
      <c r="K568">
        <v>0</v>
      </c>
      <c r="L568">
        <v>1650</v>
      </c>
      <c r="M568">
        <v>1650</v>
      </c>
      <c r="N568">
        <v>0</v>
      </c>
    </row>
    <row r="569" spans="1:14" x14ac:dyDescent="0.25">
      <c r="A569">
        <v>184.452192</v>
      </c>
      <c r="B569" s="1">
        <f>DATE(2010,11,1) + TIME(10,51,9)</f>
        <v>40483.452187499999</v>
      </c>
      <c r="C569">
        <v>80</v>
      </c>
      <c r="D569">
        <v>79.818023682000003</v>
      </c>
      <c r="E569">
        <v>40</v>
      </c>
      <c r="F569">
        <v>44.144855499000002</v>
      </c>
      <c r="G569">
        <v>1328.8206786999999</v>
      </c>
      <c r="H569">
        <v>1327.552124</v>
      </c>
      <c r="I569">
        <v>1342.7272949000001</v>
      </c>
      <c r="J569">
        <v>1338.6623535000001</v>
      </c>
      <c r="K569">
        <v>0</v>
      </c>
      <c r="L569">
        <v>1650</v>
      </c>
      <c r="M569">
        <v>1650</v>
      </c>
      <c r="N569">
        <v>0</v>
      </c>
    </row>
    <row r="570" spans="1:14" x14ac:dyDescent="0.25">
      <c r="A570">
        <v>184.509826</v>
      </c>
      <c r="B570" s="1">
        <f>DATE(2010,11,1) + TIME(12,14,8)</f>
        <v>40483.509814814817</v>
      </c>
      <c r="C570">
        <v>80</v>
      </c>
      <c r="D570">
        <v>79.805488585999996</v>
      </c>
      <c r="E570">
        <v>40</v>
      </c>
      <c r="F570">
        <v>43.886970519999998</v>
      </c>
      <c r="G570">
        <v>1328.8154297000001</v>
      </c>
      <c r="H570">
        <v>1327.5446777</v>
      </c>
      <c r="I570">
        <v>1342.6785889</v>
      </c>
      <c r="J570">
        <v>1338.6282959</v>
      </c>
      <c r="K570">
        <v>0</v>
      </c>
      <c r="L570">
        <v>1650</v>
      </c>
      <c r="M570">
        <v>1650</v>
      </c>
      <c r="N570">
        <v>0</v>
      </c>
    </row>
    <row r="571" spans="1:14" x14ac:dyDescent="0.25">
      <c r="A571">
        <v>184.57017099999999</v>
      </c>
      <c r="B571" s="1">
        <f>DATE(2010,11,1) + TIME(13,41,2)</f>
        <v>40483.570162037038</v>
      </c>
      <c r="C571">
        <v>80</v>
      </c>
      <c r="D571">
        <v>79.792488098000007</v>
      </c>
      <c r="E571">
        <v>40</v>
      </c>
      <c r="F571">
        <v>43.636169434000003</v>
      </c>
      <c r="G571">
        <v>1328.8100586</v>
      </c>
      <c r="H571">
        <v>1327.5369873</v>
      </c>
      <c r="I571">
        <v>1342.6313477000001</v>
      </c>
      <c r="J571">
        <v>1338.5953368999999</v>
      </c>
      <c r="K571">
        <v>0</v>
      </c>
      <c r="L571">
        <v>1650</v>
      </c>
      <c r="M571">
        <v>1650</v>
      </c>
      <c r="N571">
        <v>0</v>
      </c>
    </row>
    <row r="572" spans="1:14" x14ac:dyDescent="0.25">
      <c r="A572">
        <v>184.63346899999999</v>
      </c>
      <c r="B572" s="1">
        <f>DATE(2010,11,1) + TIME(15,12,11)</f>
        <v>40483.633460648147</v>
      </c>
      <c r="C572">
        <v>80</v>
      </c>
      <c r="D572">
        <v>79.778968810999999</v>
      </c>
      <c r="E572">
        <v>40</v>
      </c>
      <c r="F572">
        <v>43.392398833999998</v>
      </c>
      <c r="G572">
        <v>1328.8045654</v>
      </c>
      <c r="H572">
        <v>1327.5290527</v>
      </c>
      <c r="I572">
        <v>1342.5854492000001</v>
      </c>
      <c r="J572">
        <v>1338.5634766000001</v>
      </c>
      <c r="K572">
        <v>0</v>
      </c>
      <c r="L572">
        <v>1650</v>
      </c>
      <c r="M572">
        <v>1650</v>
      </c>
      <c r="N572">
        <v>0</v>
      </c>
    </row>
    <row r="573" spans="1:14" x14ac:dyDescent="0.25">
      <c r="A573">
        <v>184.69995700000001</v>
      </c>
      <c r="B573" s="1">
        <f>DATE(2010,11,1) + TIME(16,47,56)</f>
        <v>40483.699953703705</v>
      </c>
      <c r="C573">
        <v>80</v>
      </c>
      <c r="D573">
        <v>79.764900208</v>
      </c>
      <c r="E573">
        <v>40</v>
      </c>
      <c r="F573">
        <v>43.155757903999998</v>
      </c>
      <c r="G573">
        <v>1328.7988281</v>
      </c>
      <c r="H573">
        <v>1327.520874</v>
      </c>
      <c r="I573">
        <v>1342.5411377</v>
      </c>
      <c r="J573">
        <v>1338.5325928</v>
      </c>
      <c r="K573">
        <v>0</v>
      </c>
      <c r="L573">
        <v>1650</v>
      </c>
      <c r="M573">
        <v>1650</v>
      </c>
      <c r="N573">
        <v>0</v>
      </c>
    </row>
    <row r="574" spans="1:14" x14ac:dyDescent="0.25">
      <c r="A574">
        <v>184.76989399999999</v>
      </c>
      <c r="B574" s="1">
        <f>DATE(2010,11,1) + TIME(18,28,38)</f>
        <v>40483.769884259258</v>
      </c>
      <c r="C574">
        <v>80</v>
      </c>
      <c r="D574">
        <v>79.750251770000006</v>
      </c>
      <c r="E574">
        <v>40</v>
      </c>
      <c r="F574">
        <v>42.926361084</v>
      </c>
      <c r="G574">
        <v>1328.7929687999999</v>
      </c>
      <c r="H574">
        <v>1327.5123291</v>
      </c>
      <c r="I574">
        <v>1342.4981689000001</v>
      </c>
      <c r="J574">
        <v>1338.5029297000001</v>
      </c>
      <c r="K574">
        <v>0</v>
      </c>
      <c r="L574">
        <v>1650</v>
      </c>
      <c r="M574">
        <v>1650</v>
      </c>
      <c r="N574">
        <v>0</v>
      </c>
    </row>
    <row r="575" spans="1:14" x14ac:dyDescent="0.25">
      <c r="A575">
        <v>184.84357</v>
      </c>
      <c r="B575" s="1">
        <f>DATE(2010,11,1) + TIME(20,14,44)</f>
        <v>40483.843564814815</v>
      </c>
      <c r="C575">
        <v>80</v>
      </c>
      <c r="D575">
        <v>79.734977721999996</v>
      </c>
      <c r="E575">
        <v>40</v>
      </c>
      <c r="F575">
        <v>42.704338073999999</v>
      </c>
      <c r="G575">
        <v>1328.7868652</v>
      </c>
      <c r="H575">
        <v>1327.5036620999999</v>
      </c>
      <c r="I575">
        <v>1342.4566649999999</v>
      </c>
      <c r="J575">
        <v>1338.4742432</v>
      </c>
      <c r="K575">
        <v>0</v>
      </c>
      <c r="L575">
        <v>1650</v>
      </c>
      <c r="M575">
        <v>1650</v>
      </c>
      <c r="N575">
        <v>0</v>
      </c>
    </row>
    <row r="576" spans="1:14" x14ac:dyDescent="0.25">
      <c r="A576">
        <v>184.92130700000001</v>
      </c>
      <c r="B576" s="1">
        <f>DATE(2010,11,1) + TIME(22,6,40)</f>
        <v>40483.921296296299</v>
      </c>
      <c r="C576">
        <v>80</v>
      </c>
      <c r="D576">
        <v>79.719024657999995</v>
      </c>
      <c r="E576">
        <v>40</v>
      </c>
      <c r="F576">
        <v>42.489830017000003</v>
      </c>
      <c r="G576">
        <v>1328.7805175999999</v>
      </c>
      <c r="H576">
        <v>1327.4946289</v>
      </c>
      <c r="I576">
        <v>1342.4167480000001</v>
      </c>
      <c r="J576">
        <v>1338.4467772999999</v>
      </c>
      <c r="K576">
        <v>0</v>
      </c>
      <c r="L576">
        <v>1650</v>
      </c>
      <c r="M576">
        <v>1650</v>
      </c>
      <c r="N576">
        <v>0</v>
      </c>
    </row>
    <row r="577" spans="1:14" x14ac:dyDescent="0.25">
      <c r="A577">
        <v>185.003467</v>
      </c>
      <c r="B577" s="1">
        <f>DATE(2010,11,2) + TIME(0,4,59)</f>
        <v>40484.003460648149</v>
      </c>
      <c r="C577">
        <v>80</v>
      </c>
      <c r="D577">
        <v>79.702354431000003</v>
      </c>
      <c r="E577">
        <v>40</v>
      </c>
      <c r="F577">
        <v>42.282993316999999</v>
      </c>
      <c r="G577">
        <v>1328.7739257999999</v>
      </c>
      <c r="H577">
        <v>1327.4852295000001</v>
      </c>
      <c r="I577">
        <v>1342.3781738</v>
      </c>
      <c r="J577">
        <v>1338.4202881000001</v>
      </c>
      <c r="K577">
        <v>0</v>
      </c>
      <c r="L577">
        <v>1650</v>
      </c>
      <c r="M577">
        <v>1650</v>
      </c>
      <c r="N577">
        <v>0</v>
      </c>
    </row>
    <row r="578" spans="1:14" x14ac:dyDescent="0.25">
      <c r="A578">
        <v>185.09045499999999</v>
      </c>
      <c r="B578" s="1">
        <f>DATE(2010,11,2) + TIME(2,10,15)</f>
        <v>40484.090451388889</v>
      </c>
      <c r="C578">
        <v>80</v>
      </c>
      <c r="D578">
        <v>79.684898376000007</v>
      </c>
      <c r="E578">
        <v>40</v>
      </c>
      <c r="F578">
        <v>42.083999634000001</v>
      </c>
      <c r="G578">
        <v>1328.7672118999999</v>
      </c>
      <c r="H578">
        <v>1327.4754639</v>
      </c>
      <c r="I578">
        <v>1342.3411865</v>
      </c>
      <c r="J578">
        <v>1338.3948975000001</v>
      </c>
      <c r="K578">
        <v>0</v>
      </c>
      <c r="L578">
        <v>1650</v>
      </c>
      <c r="M578">
        <v>1650</v>
      </c>
      <c r="N578">
        <v>0</v>
      </c>
    </row>
    <row r="579" spans="1:14" x14ac:dyDescent="0.25">
      <c r="A579">
        <v>185.182714</v>
      </c>
      <c r="B579" s="1">
        <f>DATE(2010,11,2) + TIME(4,23,6)</f>
        <v>40484.182708333334</v>
      </c>
      <c r="C579">
        <v>80</v>
      </c>
      <c r="D579">
        <v>79.666595459000007</v>
      </c>
      <c r="E579">
        <v>40</v>
      </c>
      <c r="F579">
        <v>41.893054962000001</v>
      </c>
      <c r="G579">
        <v>1328.7601318</v>
      </c>
      <c r="H579">
        <v>1327.465332</v>
      </c>
      <c r="I579">
        <v>1342.3056641000001</v>
      </c>
      <c r="J579">
        <v>1338.3706055</v>
      </c>
      <c r="K579">
        <v>0</v>
      </c>
      <c r="L579">
        <v>1650</v>
      </c>
      <c r="M579">
        <v>1650</v>
      </c>
      <c r="N579">
        <v>0</v>
      </c>
    </row>
    <row r="580" spans="1:14" x14ac:dyDescent="0.25">
      <c r="A580">
        <v>185.28073900000001</v>
      </c>
      <c r="B580" s="1">
        <f>DATE(2010,11,2) + TIME(6,44,15)</f>
        <v>40484.280729166669</v>
      </c>
      <c r="C580">
        <v>80</v>
      </c>
      <c r="D580">
        <v>79.647377014</v>
      </c>
      <c r="E580">
        <v>40</v>
      </c>
      <c r="F580">
        <v>41.710380553999997</v>
      </c>
      <c r="G580">
        <v>1328.7526855000001</v>
      </c>
      <c r="H580">
        <v>1327.4548339999999</v>
      </c>
      <c r="I580">
        <v>1342.2714844</v>
      </c>
      <c r="J580">
        <v>1338.3474120999999</v>
      </c>
      <c r="K580">
        <v>0</v>
      </c>
      <c r="L580">
        <v>1650</v>
      </c>
      <c r="M580">
        <v>1650</v>
      </c>
      <c r="N580">
        <v>0</v>
      </c>
    </row>
    <row r="581" spans="1:14" x14ac:dyDescent="0.25">
      <c r="A581">
        <v>185.38513800000001</v>
      </c>
      <c r="B581" s="1">
        <f>DATE(2010,11,2) + TIME(9,14,35)</f>
        <v>40484.385127314818</v>
      </c>
      <c r="C581">
        <v>80</v>
      </c>
      <c r="D581">
        <v>79.627174377000003</v>
      </c>
      <c r="E581">
        <v>40</v>
      </c>
      <c r="F581">
        <v>41.536125183000003</v>
      </c>
      <c r="G581">
        <v>1328.7449951000001</v>
      </c>
      <c r="H581">
        <v>1327.4438477000001</v>
      </c>
      <c r="I581">
        <v>1342.2387695</v>
      </c>
      <c r="J581">
        <v>1338.3253173999999</v>
      </c>
      <c r="K581">
        <v>0</v>
      </c>
      <c r="L581">
        <v>1650</v>
      </c>
      <c r="M581">
        <v>1650</v>
      </c>
      <c r="N581">
        <v>0</v>
      </c>
    </row>
    <row r="582" spans="1:14" x14ac:dyDescent="0.25">
      <c r="A582">
        <v>185.496576</v>
      </c>
      <c r="B582" s="1">
        <f>DATE(2010,11,2) + TIME(11,55,4)</f>
        <v>40484.496574074074</v>
      </c>
      <c r="C582">
        <v>80</v>
      </c>
      <c r="D582">
        <v>79.605880737000007</v>
      </c>
      <c r="E582">
        <v>40</v>
      </c>
      <c r="F582">
        <v>41.370498656999999</v>
      </c>
      <c r="G582">
        <v>1328.7370605000001</v>
      </c>
      <c r="H582">
        <v>1327.4323730000001</v>
      </c>
      <c r="I582">
        <v>1342.2073975000001</v>
      </c>
      <c r="J582">
        <v>1338.3040771000001</v>
      </c>
      <c r="K582">
        <v>0</v>
      </c>
      <c r="L582">
        <v>1650</v>
      </c>
      <c r="M582">
        <v>1650</v>
      </c>
      <c r="N582">
        <v>0</v>
      </c>
    </row>
    <row r="583" spans="1:14" x14ac:dyDescent="0.25">
      <c r="A583">
        <v>185.61580900000001</v>
      </c>
      <c r="B583" s="1">
        <f>DATE(2010,11,2) + TIME(14,46,45)</f>
        <v>40484.615798611114</v>
      </c>
      <c r="C583">
        <v>80</v>
      </c>
      <c r="D583">
        <v>79.583396911999998</v>
      </c>
      <c r="E583">
        <v>40</v>
      </c>
      <c r="F583">
        <v>41.213714600000003</v>
      </c>
      <c r="G583">
        <v>1328.7286377</v>
      </c>
      <c r="H583">
        <v>1327.4202881000001</v>
      </c>
      <c r="I583">
        <v>1342.1773682</v>
      </c>
      <c r="J583">
        <v>1338.2838135</v>
      </c>
      <c r="K583">
        <v>0</v>
      </c>
      <c r="L583">
        <v>1650</v>
      </c>
      <c r="M583">
        <v>1650</v>
      </c>
      <c r="N583">
        <v>0</v>
      </c>
    </row>
    <row r="584" spans="1:14" x14ac:dyDescent="0.25">
      <c r="A584">
        <v>185.74370200000001</v>
      </c>
      <c r="B584" s="1">
        <f>DATE(2010,11,2) + TIME(17,50,55)</f>
        <v>40484.743692129632</v>
      </c>
      <c r="C584">
        <v>80</v>
      </c>
      <c r="D584">
        <v>79.559616089000002</v>
      </c>
      <c r="E584">
        <v>40</v>
      </c>
      <c r="F584">
        <v>41.065990448000001</v>
      </c>
      <c r="G584">
        <v>1328.7197266000001</v>
      </c>
      <c r="H584">
        <v>1327.4075928</v>
      </c>
      <c r="I584">
        <v>1342.1484375</v>
      </c>
      <c r="J584">
        <v>1338.2645264</v>
      </c>
      <c r="K584">
        <v>0</v>
      </c>
      <c r="L584">
        <v>1650</v>
      </c>
      <c r="M584">
        <v>1650</v>
      </c>
      <c r="N584">
        <v>0</v>
      </c>
    </row>
    <row r="585" spans="1:14" x14ac:dyDescent="0.25">
      <c r="A585">
        <v>185.88124999999999</v>
      </c>
      <c r="B585" s="1">
        <f>DATE(2010,11,2) + TIME(21,9,0)</f>
        <v>40484.881249999999</v>
      </c>
      <c r="C585">
        <v>80</v>
      </c>
      <c r="D585">
        <v>79.534408568999993</v>
      </c>
      <c r="E585">
        <v>40</v>
      </c>
      <c r="F585">
        <v>40.927539824999997</v>
      </c>
      <c r="G585">
        <v>1328.7103271000001</v>
      </c>
      <c r="H585">
        <v>1327.3942870999999</v>
      </c>
      <c r="I585">
        <v>1342.1207274999999</v>
      </c>
      <c r="J585">
        <v>1338.2460937999999</v>
      </c>
      <c r="K585">
        <v>0</v>
      </c>
      <c r="L585">
        <v>1650</v>
      </c>
      <c r="M585">
        <v>1650</v>
      </c>
      <c r="N585">
        <v>0</v>
      </c>
    </row>
    <row r="586" spans="1:14" x14ac:dyDescent="0.25">
      <c r="A586">
        <v>186.02960100000001</v>
      </c>
      <c r="B586" s="1">
        <f>DATE(2010,11,3) + TIME(0,42,37)</f>
        <v>40485.029594907406</v>
      </c>
      <c r="C586">
        <v>80</v>
      </c>
      <c r="D586">
        <v>79.507621764999996</v>
      </c>
      <c r="E586">
        <v>40</v>
      </c>
      <c r="F586">
        <v>40.798553466999998</v>
      </c>
      <c r="G586">
        <v>1328.7005615</v>
      </c>
      <c r="H586">
        <v>1327.380249</v>
      </c>
      <c r="I586">
        <v>1342.0941161999999</v>
      </c>
      <c r="J586">
        <v>1338.2285156</v>
      </c>
      <c r="K586">
        <v>0</v>
      </c>
      <c r="L586">
        <v>1650</v>
      </c>
      <c r="M586">
        <v>1650</v>
      </c>
      <c r="N586">
        <v>0</v>
      </c>
    </row>
    <row r="587" spans="1:14" x14ac:dyDescent="0.25">
      <c r="A587">
        <v>186.19008099999999</v>
      </c>
      <c r="B587" s="1">
        <f>DATE(2010,11,3) + TIME(4,33,43)</f>
        <v>40485.190081018518</v>
      </c>
      <c r="C587">
        <v>80</v>
      </c>
      <c r="D587">
        <v>79.479095459000007</v>
      </c>
      <c r="E587">
        <v>40</v>
      </c>
      <c r="F587">
        <v>40.679218292000002</v>
      </c>
      <c r="G587">
        <v>1328.6900635</v>
      </c>
      <c r="H587">
        <v>1327.3653564000001</v>
      </c>
      <c r="I587">
        <v>1342.0683594</v>
      </c>
      <c r="J587">
        <v>1338.2115478999999</v>
      </c>
      <c r="K587">
        <v>0</v>
      </c>
      <c r="L587">
        <v>1650</v>
      </c>
      <c r="M587">
        <v>1650</v>
      </c>
      <c r="N587">
        <v>0</v>
      </c>
    </row>
    <row r="588" spans="1:14" x14ac:dyDescent="0.25">
      <c r="A588">
        <v>186.364237</v>
      </c>
      <c r="B588" s="1">
        <f>DATE(2010,11,3) + TIME(8,44,30)</f>
        <v>40485.364236111112</v>
      </c>
      <c r="C588">
        <v>80</v>
      </c>
      <c r="D588">
        <v>79.448623656999999</v>
      </c>
      <c r="E588">
        <v>40</v>
      </c>
      <c r="F588">
        <v>40.569671630999999</v>
      </c>
      <c r="G588">
        <v>1328.6789550999999</v>
      </c>
      <c r="H588">
        <v>1327.3496094</v>
      </c>
      <c r="I588">
        <v>1342.043457</v>
      </c>
      <c r="J588">
        <v>1338.1951904</v>
      </c>
      <c r="K588">
        <v>0</v>
      </c>
      <c r="L588">
        <v>1650</v>
      </c>
      <c r="M588">
        <v>1650</v>
      </c>
      <c r="N588">
        <v>0</v>
      </c>
    </row>
    <row r="589" spans="1:14" x14ac:dyDescent="0.25">
      <c r="A589">
        <v>186.54912100000001</v>
      </c>
      <c r="B589" s="1">
        <f>DATE(2010,11,3) + TIME(13,10,44)</f>
        <v>40485.549120370371</v>
      </c>
      <c r="C589">
        <v>80</v>
      </c>
      <c r="D589">
        <v>79.416732788000004</v>
      </c>
      <c r="E589">
        <v>40</v>
      </c>
      <c r="F589">
        <v>40.472110747999999</v>
      </c>
      <c r="G589">
        <v>1328.6672363</v>
      </c>
      <c r="H589">
        <v>1327.3330077999999</v>
      </c>
      <c r="I589">
        <v>1342.0200195</v>
      </c>
      <c r="J589">
        <v>1338.1799315999999</v>
      </c>
      <c r="K589">
        <v>0</v>
      </c>
      <c r="L589">
        <v>1650</v>
      </c>
      <c r="M589">
        <v>1650</v>
      </c>
      <c r="N589">
        <v>0</v>
      </c>
    </row>
    <row r="590" spans="1:14" x14ac:dyDescent="0.25">
      <c r="A590">
        <v>186.74121099999999</v>
      </c>
      <c r="B590" s="1">
        <f>DATE(2010,11,3) + TIME(17,47,20)</f>
        <v>40485.741203703707</v>
      </c>
      <c r="C590">
        <v>80</v>
      </c>
      <c r="D590">
        <v>79.383979796999995</v>
      </c>
      <c r="E590">
        <v>40</v>
      </c>
      <c r="F590">
        <v>40.387519836000003</v>
      </c>
      <c r="G590">
        <v>1328.6549072</v>
      </c>
      <c r="H590">
        <v>1327.3156738</v>
      </c>
      <c r="I590">
        <v>1341.9981689000001</v>
      </c>
      <c r="J590">
        <v>1338.1657714999999</v>
      </c>
      <c r="K590">
        <v>0</v>
      </c>
      <c r="L590">
        <v>1650</v>
      </c>
      <c r="M590">
        <v>1650</v>
      </c>
      <c r="N590">
        <v>0</v>
      </c>
    </row>
    <row r="591" spans="1:14" x14ac:dyDescent="0.25">
      <c r="A591">
        <v>186.94114999999999</v>
      </c>
      <c r="B591" s="1">
        <f>DATE(2010,11,3) + TIME(22,35,15)</f>
        <v>40485.941145833334</v>
      </c>
      <c r="C591">
        <v>80</v>
      </c>
      <c r="D591">
        <v>79.350273131999998</v>
      </c>
      <c r="E591">
        <v>40</v>
      </c>
      <c r="F591">
        <v>40.314456939999999</v>
      </c>
      <c r="G591">
        <v>1328.6424560999999</v>
      </c>
      <c r="H591">
        <v>1327.2980957</v>
      </c>
      <c r="I591">
        <v>1341.9774170000001</v>
      </c>
      <c r="J591">
        <v>1338.1524658000001</v>
      </c>
      <c r="K591">
        <v>0</v>
      </c>
      <c r="L591">
        <v>1650</v>
      </c>
      <c r="M591">
        <v>1650</v>
      </c>
      <c r="N591">
        <v>0</v>
      </c>
    </row>
    <row r="592" spans="1:14" x14ac:dyDescent="0.25">
      <c r="A592">
        <v>187.14947000000001</v>
      </c>
      <c r="B592" s="1">
        <f>DATE(2010,11,4) + TIME(3,35,14)</f>
        <v>40486.149467592593</v>
      </c>
      <c r="C592">
        <v>80</v>
      </c>
      <c r="D592">
        <v>79.315559386999993</v>
      </c>
      <c r="E592">
        <v>40</v>
      </c>
      <c r="F592">
        <v>40.251682281000001</v>
      </c>
      <c r="G592">
        <v>1328.6295166</v>
      </c>
      <c r="H592">
        <v>1327.2799072</v>
      </c>
      <c r="I592">
        <v>1341.9575195</v>
      </c>
      <c r="J592">
        <v>1338.1396483999999</v>
      </c>
      <c r="K592">
        <v>0</v>
      </c>
      <c r="L592">
        <v>1650</v>
      </c>
      <c r="M592">
        <v>1650</v>
      </c>
      <c r="N592">
        <v>0</v>
      </c>
    </row>
    <row r="593" spans="1:14" x14ac:dyDescent="0.25">
      <c r="A593">
        <v>187.36675700000001</v>
      </c>
      <c r="B593" s="1">
        <f>DATE(2010,11,4) + TIME(8,48,7)</f>
        <v>40486.366747685184</v>
      </c>
      <c r="C593">
        <v>80</v>
      </c>
      <c r="D593">
        <v>79.279754639000004</v>
      </c>
      <c r="E593">
        <v>40</v>
      </c>
      <c r="F593">
        <v>40.198047637999998</v>
      </c>
      <c r="G593">
        <v>1328.6162108999999</v>
      </c>
      <c r="H593">
        <v>1327.2612305</v>
      </c>
      <c r="I593">
        <v>1341.9383545000001</v>
      </c>
      <c r="J593">
        <v>1338.1273193</v>
      </c>
      <c r="K593">
        <v>0</v>
      </c>
      <c r="L593">
        <v>1650</v>
      </c>
      <c r="M593">
        <v>1650</v>
      </c>
      <c r="N593">
        <v>0</v>
      </c>
    </row>
    <row r="594" spans="1:14" x14ac:dyDescent="0.25">
      <c r="A594">
        <v>187.593627</v>
      </c>
      <c r="B594" s="1">
        <f>DATE(2010,11,4) + TIME(14,14,49)</f>
        <v>40486.593622685185</v>
      </c>
      <c r="C594">
        <v>80</v>
      </c>
      <c r="D594">
        <v>79.242797851999995</v>
      </c>
      <c r="E594">
        <v>40</v>
      </c>
      <c r="F594">
        <v>40.152500152999998</v>
      </c>
      <c r="G594">
        <v>1328.6026611</v>
      </c>
      <c r="H594">
        <v>1327.2420654</v>
      </c>
      <c r="I594">
        <v>1341.9195557</v>
      </c>
      <c r="J594">
        <v>1338.1153564000001</v>
      </c>
      <c r="K594">
        <v>0</v>
      </c>
      <c r="L594">
        <v>1650</v>
      </c>
      <c r="M594">
        <v>1650</v>
      </c>
      <c r="N594">
        <v>0</v>
      </c>
    </row>
    <row r="595" spans="1:14" x14ac:dyDescent="0.25">
      <c r="A595">
        <v>187.830727</v>
      </c>
      <c r="B595" s="1">
        <f>DATE(2010,11,4) + TIME(19,56,14)</f>
        <v>40486.830717592595</v>
      </c>
      <c r="C595">
        <v>80</v>
      </c>
      <c r="D595">
        <v>79.204605103000006</v>
      </c>
      <c r="E595">
        <v>40</v>
      </c>
      <c r="F595">
        <v>40.114078522</v>
      </c>
      <c r="G595">
        <v>1328.588501</v>
      </c>
      <c r="H595">
        <v>1327.2224120999999</v>
      </c>
      <c r="I595">
        <v>1341.9012451000001</v>
      </c>
      <c r="J595">
        <v>1338.1036377</v>
      </c>
      <c r="K595">
        <v>0</v>
      </c>
      <c r="L595">
        <v>1650</v>
      </c>
      <c r="M595">
        <v>1650</v>
      </c>
      <c r="N595">
        <v>0</v>
      </c>
    </row>
    <row r="596" spans="1:14" x14ac:dyDescent="0.25">
      <c r="A596">
        <v>188.0789</v>
      </c>
      <c r="B596" s="1">
        <f>DATE(2010,11,5) + TIME(1,53,36)</f>
        <v>40487.078888888886</v>
      </c>
      <c r="C596">
        <v>80</v>
      </c>
      <c r="D596">
        <v>79.165084839000002</v>
      </c>
      <c r="E596">
        <v>40</v>
      </c>
      <c r="F596">
        <v>40.081882477000001</v>
      </c>
      <c r="G596">
        <v>1328.5739745999999</v>
      </c>
      <c r="H596">
        <v>1327.2020264</v>
      </c>
      <c r="I596">
        <v>1341.8831786999999</v>
      </c>
      <c r="J596">
        <v>1338.0921631000001</v>
      </c>
      <c r="K596">
        <v>0</v>
      </c>
      <c r="L596">
        <v>1650</v>
      </c>
      <c r="M596">
        <v>1650</v>
      </c>
      <c r="N596">
        <v>0</v>
      </c>
    </row>
    <row r="597" spans="1:14" x14ac:dyDescent="0.25">
      <c r="A597">
        <v>188.33899299999999</v>
      </c>
      <c r="B597" s="1">
        <f>DATE(2010,11,5) + TIME(8,8,8)</f>
        <v>40487.33898148148</v>
      </c>
      <c r="C597">
        <v>80</v>
      </c>
      <c r="D597">
        <v>79.124130249000004</v>
      </c>
      <c r="E597">
        <v>40</v>
      </c>
      <c r="F597">
        <v>40.055107116999999</v>
      </c>
      <c r="G597">
        <v>1328.5589600000001</v>
      </c>
      <c r="H597">
        <v>1327.1810303</v>
      </c>
      <c r="I597">
        <v>1341.8653564000001</v>
      </c>
      <c r="J597">
        <v>1338.0806885</v>
      </c>
      <c r="K597">
        <v>0</v>
      </c>
      <c r="L597">
        <v>1650</v>
      </c>
      <c r="M597">
        <v>1650</v>
      </c>
      <c r="N597">
        <v>0</v>
      </c>
    </row>
    <row r="598" spans="1:14" x14ac:dyDescent="0.25">
      <c r="A598">
        <v>188.61194800000001</v>
      </c>
      <c r="B598" s="1">
        <f>DATE(2010,11,5) + TIME(14,41,12)</f>
        <v>40487.611944444441</v>
      </c>
      <c r="C598">
        <v>80</v>
      </c>
      <c r="D598">
        <v>79.081634520999998</v>
      </c>
      <c r="E598">
        <v>40</v>
      </c>
      <c r="F598">
        <v>40.033020020000002</v>
      </c>
      <c r="G598">
        <v>1328.5433350000001</v>
      </c>
      <c r="H598">
        <v>1327.1591797000001</v>
      </c>
      <c r="I598">
        <v>1341.8475341999999</v>
      </c>
      <c r="J598">
        <v>1338.0693358999999</v>
      </c>
      <c r="K598">
        <v>0</v>
      </c>
      <c r="L598">
        <v>1650</v>
      </c>
      <c r="M598">
        <v>1650</v>
      </c>
      <c r="N598">
        <v>0</v>
      </c>
    </row>
    <row r="599" spans="1:14" x14ac:dyDescent="0.25">
      <c r="A599">
        <v>188.89880700000001</v>
      </c>
      <c r="B599" s="1">
        <f>DATE(2010,11,5) + TIME(21,34,16)</f>
        <v>40487.898796296293</v>
      </c>
      <c r="C599">
        <v>80</v>
      </c>
      <c r="D599">
        <v>79.037490844999994</v>
      </c>
      <c r="E599">
        <v>40</v>
      </c>
      <c r="F599">
        <v>40.014961243000002</v>
      </c>
      <c r="G599">
        <v>1328.5270995999999</v>
      </c>
      <c r="H599">
        <v>1327.1367187999999</v>
      </c>
      <c r="I599">
        <v>1341.8298339999999</v>
      </c>
      <c r="J599">
        <v>1338.0579834</v>
      </c>
      <c r="K599">
        <v>0</v>
      </c>
      <c r="L599">
        <v>1650</v>
      </c>
      <c r="M599">
        <v>1650</v>
      </c>
      <c r="N599">
        <v>0</v>
      </c>
    </row>
    <row r="600" spans="1:14" x14ac:dyDescent="0.25">
      <c r="A600">
        <v>189.200726</v>
      </c>
      <c r="B600" s="1">
        <f>DATE(2010,11,6) + TIME(4,49,2)</f>
        <v>40488.20071759259</v>
      </c>
      <c r="C600">
        <v>80</v>
      </c>
      <c r="D600">
        <v>78.99156189</v>
      </c>
      <c r="E600">
        <v>40</v>
      </c>
      <c r="F600">
        <v>40.000335692999997</v>
      </c>
      <c r="G600">
        <v>1328.5102539</v>
      </c>
      <c r="H600">
        <v>1327.1132812000001</v>
      </c>
      <c r="I600">
        <v>1341.8120117000001</v>
      </c>
      <c r="J600">
        <v>1338.0466309000001</v>
      </c>
      <c r="K600">
        <v>0</v>
      </c>
      <c r="L600">
        <v>1650</v>
      </c>
      <c r="M600">
        <v>1650</v>
      </c>
      <c r="N600">
        <v>0</v>
      </c>
    </row>
    <row r="601" spans="1:14" x14ac:dyDescent="0.25">
      <c r="A601">
        <v>189.51900000000001</v>
      </c>
      <c r="B601" s="1">
        <f>DATE(2010,11,6) + TIME(12,27,21)</f>
        <v>40488.518993055557</v>
      </c>
      <c r="C601">
        <v>80</v>
      </c>
      <c r="D601">
        <v>78.943717957000004</v>
      </c>
      <c r="E601">
        <v>40</v>
      </c>
      <c r="F601">
        <v>39.988613129000001</v>
      </c>
      <c r="G601">
        <v>1328.4927978999999</v>
      </c>
      <c r="H601">
        <v>1327.0889893000001</v>
      </c>
      <c r="I601">
        <v>1341.7943115</v>
      </c>
      <c r="J601">
        <v>1338.0352783000001</v>
      </c>
      <c r="K601">
        <v>0</v>
      </c>
      <c r="L601">
        <v>1650</v>
      </c>
      <c r="M601">
        <v>1650</v>
      </c>
      <c r="N601">
        <v>0</v>
      </c>
    </row>
    <row r="602" spans="1:14" x14ac:dyDescent="0.25">
      <c r="A602">
        <v>189.85507200000001</v>
      </c>
      <c r="B602" s="1">
        <f>DATE(2010,11,6) + TIME(20,31,18)</f>
        <v>40488.855069444442</v>
      </c>
      <c r="C602">
        <v>80</v>
      </c>
      <c r="D602">
        <v>78.893798828000001</v>
      </c>
      <c r="E602">
        <v>40</v>
      </c>
      <c r="F602">
        <v>39.979320526000002</v>
      </c>
      <c r="G602">
        <v>1328.4744873</v>
      </c>
      <c r="H602">
        <v>1327.0635986</v>
      </c>
      <c r="I602">
        <v>1341.7764893000001</v>
      </c>
      <c r="J602">
        <v>1338.0236815999999</v>
      </c>
      <c r="K602">
        <v>0</v>
      </c>
      <c r="L602">
        <v>1650</v>
      </c>
      <c r="M602">
        <v>1650</v>
      </c>
      <c r="N602">
        <v>0</v>
      </c>
    </row>
    <row r="603" spans="1:14" x14ac:dyDescent="0.25">
      <c r="A603">
        <v>190.20741899999999</v>
      </c>
      <c r="B603" s="1">
        <f>DATE(2010,11,7) + TIME(4,58,41)</f>
        <v>40489.207418981481</v>
      </c>
      <c r="C603">
        <v>80</v>
      </c>
      <c r="D603">
        <v>78.842010497999993</v>
      </c>
      <c r="E603">
        <v>40</v>
      </c>
      <c r="F603">
        <v>39.972087860000002</v>
      </c>
      <c r="G603">
        <v>1328.4554443</v>
      </c>
      <c r="H603">
        <v>1327.0372314000001</v>
      </c>
      <c r="I603">
        <v>1341.7585449000001</v>
      </c>
      <c r="J603">
        <v>1338.0120850000001</v>
      </c>
      <c r="K603">
        <v>0</v>
      </c>
      <c r="L603">
        <v>1650</v>
      </c>
      <c r="M603">
        <v>1650</v>
      </c>
      <c r="N603">
        <v>0</v>
      </c>
    </row>
    <row r="604" spans="1:14" x14ac:dyDescent="0.25">
      <c r="A604">
        <v>190.57459</v>
      </c>
      <c r="B604" s="1">
        <f>DATE(2010,11,7) + TIME(13,47,24)</f>
        <v>40489.574583333335</v>
      </c>
      <c r="C604">
        <v>80</v>
      </c>
      <c r="D604">
        <v>78.788543700999995</v>
      </c>
      <c r="E604">
        <v>40</v>
      </c>
      <c r="F604">
        <v>39.966548920000001</v>
      </c>
      <c r="G604">
        <v>1328.4356689000001</v>
      </c>
      <c r="H604">
        <v>1327.0097656</v>
      </c>
      <c r="I604">
        <v>1341.7406006000001</v>
      </c>
      <c r="J604">
        <v>1338.0003661999999</v>
      </c>
      <c r="K604">
        <v>0</v>
      </c>
      <c r="L604">
        <v>1650</v>
      </c>
      <c r="M604">
        <v>1650</v>
      </c>
      <c r="N604">
        <v>0</v>
      </c>
    </row>
    <row r="605" spans="1:14" x14ac:dyDescent="0.25">
      <c r="A605">
        <v>190.95711</v>
      </c>
      <c r="B605" s="1">
        <f>DATE(2010,11,7) + TIME(22,58,14)</f>
        <v>40489.957106481481</v>
      </c>
      <c r="C605">
        <v>80</v>
      </c>
      <c r="D605">
        <v>78.733383179</v>
      </c>
      <c r="E605">
        <v>40</v>
      </c>
      <c r="F605">
        <v>39.962360382</v>
      </c>
      <c r="G605">
        <v>1328.4151611</v>
      </c>
      <c r="H605">
        <v>1326.9815673999999</v>
      </c>
      <c r="I605">
        <v>1341.7227783000001</v>
      </c>
      <c r="J605">
        <v>1337.9887695</v>
      </c>
      <c r="K605">
        <v>0</v>
      </c>
      <c r="L605">
        <v>1650</v>
      </c>
      <c r="M605">
        <v>1650</v>
      </c>
      <c r="N605">
        <v>0</v>
      </c>
    </row>
    <row r="606" spans="1:14" x14ac:dyDescent="0.25">
      <c r="A606">
        <v>191.35613499999999</v>
      </c>
      <c r="B606" s="1">
        <f>DATE(2010,11,8) + TIME(8,32,50)</f>
        <v>40490.356134259258</v>
      </c>
      <c r="C606">
        <v>80</v>
      </c>
      <c r="D606">
        <v>78.676414489999999</v>
      </c>
      <c r="E606">
        <v>40</v>
      </c>
      <c r="F606">
        <v>39.959217072000001</v>
      </c>
      <c r="G606">
        <v>1328.3941649999999</v>
      </c>
      <c r="H606">
        <v>1326.9523925999999</v>
      </c>
      <c r="I606">
        <v>1341.7050781</v>
      </c>
      <c r="J606">
        <v>1337.9771728999999</v>
      </c>
      <c r="K606">
        <v>0</v>
      </c>
      <c r="L606">
        <v>1650</v>
      </c>
      <c r="M606">
        <v>1650</v>
      </c>
      <c r="N606">
        <v>0</v>
      </c>
    </row>
    <row r="607" spans="1:14" x14ac:dyDescent="0.25">
      <c r="A607">
        <v>191.772986</v>
      </c>
      <c r="B607" s="1">
        <f>DATE(2010,11,8) + TIME(18,33,6)</f>
        <v>40490.772986111115</v>
      </c>
      <c r="C607">
        <v>80</v>
      </c>
      <c r="D607">
        <v>78.617546082000004</v>
      </c>
      <c r="E607">
        <v>40</v>
      </c>
      <c r="F607">
        <v>39.956893921000002</v>
      </c>
      <c r="G607">
        <v>1328.3723144999999</v>
      </c>
      <c r="H607">
        <v>1326.9223632999999</v>
      </c>
      <c r="I607">
        <v>1341.6875</v>
      </c>
      <c r="J607">
        <v>1337.9655762</v>
      </c>
      <c r="K607">
        <v>0</v>
      </c>
      <c r="L607">
        <v>1650</v>
      </c>
      <c r="M607">
        <v>1650</v>
      </c>
      <c r="N607">
        <v>0</v>
      </c>
    </row>
    <row r="608" spans="1:14" x14ac:dyDescent="0.25">
      <c r="A608">
        <v>192.20263800000001</v>
      </c>
      <c r="B608" s="1">
        <f>DATE(2010,11,9) + TIME(4,51,47)</f>
        <v>40491.202627314815</v>
      </c>
      <c r="C608">
        <v>80</v>
      </c>
      <c r="D608">
        <v>78.557342528999996</v>
      </c>
      <c r="E608">
        <v>40</v>
      </c>
      <c r="F608">
        <v>39.955207825000002</v>
      </c>
      <c r="G608">
        <v>1328.3497314000001</v>
      </c>
      <c r="H608">
        <v>1326.8912353999999</v>
      </c>
      <c r="I608">
        <v>1341.6699219</v>
      </c>
      <c r="J608">
        <v>1337.9539795000001</v>
      </c>
      <c r="K608">
        <v>0</v>
      </c>
      <c r="L608">
        <v>1650</v>
      </c>
      <c r="M608">
        <v>1650</v>
      </c>
      <c r="N608">
        <v>0</v>
      </c>
    </row>
    <row r="609" spans="1:14" x14ac:dyDescent="0.25">
      <c r="A609">
        <v>192.640039</v>
      </c>
      <c r="B609" s="1">
        <f>DATE(2010,11,9) + TIME(15,21,39)</f>
        <v>40491.640034722222</v>
      </c>
      <c r="C609">
        <v>80</v>
      </c>
      <c r="D609">
        <v>78.496398925999998</v>
      </c>
      <c r="E609">
        <v>40</v>
      </c>
      <c r="F609">
        <v>39.954013824</v>
      </c>
      <c r="G609">
        <v>1328.3267822</v>
      </c>
      <c r="H609">
        <v>1326.8596190999999</v>
      </c>
      <c r="I609">
        <v>1341.6527100000001</v>
      </c>
      <c r="J609">
        <v>1337.9425048999999</v>
      </c>
      <c r="K609">
        <v>0</v>
      </c>
      <c r="L609">
        <v>1650</v>
      </c>
      <c r="M609">
        <v>1650</v>
      </c>
      <c r="N609">
        <v>0</v>
      </c>
    </row>
    <row r="610" spans="1:14" x14ac:dyDescent="0.25">
      <c r="A610">
        <v>193.08622099999999</v>
      </c>
      <c r="B610" s="1">
        <f>DATE(2010,11,10) + TIME(2,4,9)</f>
        <v>40492.086215277777</v>
      </c>
      <c r="C610">
        <v>80</v>
      </c>
      <c r="D610">
        <v>78.434677124000004</v>
      </c>
      <c r="E610">
        <v>40</v>
      </c>
      <c r="F610">
        <v>39.953170776</v>
      </c>
      <c r="G610">
        <v>1328.3034668</v>
      </c>
      <c r="H610">
        <v>1326.8275146000001</v>
      </c>
      <c r="I610">
        <v>1341.6359863</v>
      </c>
      <c r="J610">
        <v>1337.9312743999999</v>
      </c>
      <c r="K610">
        <v>0</v>
      </c>
      <c r="L610">
        <v>1650</v>
      </c>
      <c r="M610">
        <v>1650</v>
      </c>
      <c r="N610">
        <v>0</v>
      </c>
    </row>
    <row r="611" spans="1:14" x14ac:dyDescent="0.25">
      <c r="A611">
        <v>193.542092</v>
      </c>
      <c r="B611" s="1">
        <f>DATE(2010,11,10) + TIME(13,0,36)</f>
        <v>40492.542083333334</v>
      </c>
      <c r="C611">
        <v>80</v>
      </c>
      <c r="D611">
        <v>78.372161864999995</v>
      </c>
      <c r="E611">
        <v>40</v>
      </c>
      <c r="F611">
        <v>39.952579497999999</v>
      </c>
      <c r="G611">
        <v>1328.2797852000001</v>
      </c>
      <c r="H611">
        <v>1326.7949219</v>
      </c>
      <c r="I611">
        <v>1341.6196289</v>
      </c>
      <c r="J611">
        <v>1337.9204102000001</v>
      </c>
      <c r="K611">
        <v>0</v>
      </c>
      <c r="L611">
        <v>1650</v>
      </c>
      <c r="M611">
        <v>1650</v>
      </c>
      <c r="N611">
        <v>0</v>
      </c>
    </row>
    <row r="612" spans="1:14" x14ac:dyDescent="0.25">
      <c r="A612">
        <v>194.00858400000001</v>
      </c>
      <c r="B612" s="1">
        <f>DATE(2010,11,11) + TIME(0,12,21)</f>
        <v>40493.008576388886</v>
      </c>
      <c r="C612">
        <v>80</v>
      </c>
      <c r="D612">
        <v>78.308792113999999</v>
      </c>
      <c r="E612">
        <v>40</v>
      </c>
      <c r="F612">
        <v>39.952171325999998</v>
      </c>
      <c r="G612">
        <v>1328.2558594</v>
      </c>
      <c r="H612">
        <v>1326.7619629000001</v>
      </c>
      <c r="I612">
        <v>1341.6037598</v>
      </c>
      <c r="J612">
        <v>1337.909668</v>
      </c>
      <c r="K612">
        <v>0</v>
      </c>
      <c r="L612">
        <v>1650</v>
      </c>
      <c r="M612">
        <v>1650</v>
      </c>
      <c r="N612">
        <v>0</v>
      </c>
    </row>
    <row r="613" spans="1:14" x14ac:dyDescent="0.25">
      <c r="A613">
        <v>194.486673</v>
      </c>
      <c r="B613" s="1">
        <f>DATE(2010,11,11) + TIME(11,40,48)</f>
        <v>40493.486666666664</v>
      </c>
      <c r="C613">
        <v>80</v>
      </c>
      <c r="D613">
        <v>78.244522094999994</v>
      </c>
      <c r="E613">
        <v>40</v>
      </c>
      <c r="F613">
        <v>39.951892852999997</v>
      </c>
      <c r="G613">
        <v>1328.2314452999999</v>
      </c>
      <c r="H613">
        <v>1326.7285156</v>
      </c>
      <c r="I613">
        <v>1341.5882568</v>
      </c>
      <c r="J613">
        <v>1337.8991699000001</v>
      </c>
      <c r="K613">
        <v>0</v>
      </c>
      <c r="L613">
        <v>1650</v>
      </c>
      <c r="M613">
        <v>1650</v>
      </c>
      <c r="N613">
        <v>0</v>
      </c>
    </row>
    <row r="614" spans="1:14" x14ac:dyDescent="0.25">
      <c r="A614">
        <v>194.97739100000001</v>
      </c>
      <c r="B614" s="1">
        <f>DATE(2010,11,11) + TIME(23,27,26)</f>
        <v>40493.977384259262</v>
      </c>
      <c r="C614">
        <v>80</v>
      </c>
      <c r="D614">
        <v>78.179283142000003</v>
      </c>
      <c r="E614">
        <v>40</v>
      </c>
      <c r="F614">
        <v>39.951705933</v>
      </c>
      <c r="G614">
        <v>1328.2066649999999</v>
      </c>
      <c r="H614">
        <v>1326.6944579999999</v>
      </c>
      <c r="I614">
        <v>1341.5729980000001</v>
      </c>
      <c r="J614">
        <v>1337.8889160000001</v>
      </c>
      <c r="K614">
        <v>0</v>
      </c>
      <c r="L614">
        <v>1650</v>
      </c>
      <c r="M614">
        <v>1650</v>
      </c>
      <c r="N614">
        <v>0</v>
      </c>
    </row>
    <row r="615" spans="1:14" x14ac:dyDescent="0.25">
      <c r="A615">
        <v>195.48183499999999</v>
      </c>
      <c r="B615" s="1">
        <f>DATE(2010,11,12) + TIME(11,33,50)</f>
        <v>40494.481828703705</v>
      </c>
      <c r="C615">
        <v>80</v>
      </c>
      <c r="D615">
        <v>78.112991332999997</v>
      </c>
      <c r="E615">
        <v>40</v>
      </c>
      <c r="F615">
        <v>39.951587676999999</v>
      </c>
      <c r="G615">
        <v>1328.1813964999999</v>
      </c>
      <c r="H615">
        <v>1326.6597899999999</v>
      </c>
      <c r="I615">
        <v>1341.5579834</v>
      </c>
      <c r="J615">
        <v>1337.8786620999999</v>
      </c>
      <c r="K615">
        <v>0</v>
      </c>
      <c r="L615">
        <v>1650</v>
      </c>
      <c r="M615">
        <v>1650</v>
      </c>
      <c r="N615">
        <v>0</v>
      </c>
    </row>
    <row r="616" spans="1:14" x14ac:dyDescent="0.25">
      <c r="A616">
        <v>196.00116399999999</v>
      </c>
      <c r="B616" s="1">
        <f>DATE(2010,11,13) + TIME(0,1,40)</f>
        <v>40495.001157407409</v>
      </c>
      <c r="C616">
        <v>80</v>
      </c>
      <c r="D616">
        <v>78.045578003000003</v>
      </c>
      <c r="E616">
        <v>40</v>
      </c>
      <c r="F616">
        <v>39.951511383000003</v>
      </c>
      <c r="G616">
        <v>1328.1556396000001</v>
      </c>
      <c r="H616">
        <v>1326.6243896000001</v>
      </c>
      <c r="I616">
        <v>1341.5433350000001</v>
      </c>
      <c r="J616">
        <v>1337.8686522999999</v>
      </c>
      <c r="K616">
        <v>0</v>
      </c>
      <c r="L616">
        <v>1650</v>
      </c>
      <c r="M616">
        <v>1650</v>
      </c>
      <c r="N616">
        <v>0</v>
      </c>
    </row>
    <row r="617" spans="1:14" x14ac:dyDescent="0.25">
      <c r="A617">
        <v>196.536619</v>
      </c>
      <c r="B617" s="1">
        <f>DATE(2010,11,13) + TIME(12,52,43)</f>
        <v>40495.536608796298</v>
      </c>
      <c r="C617">
        <v>80</v>
      </c>
      <c r="D617">
        <v>77.976936339999995</v>
      </c>
      <c r="E617">
        <v>40</v>
      </c>
      <c r="F617">
        <v>39.951469420999999</v>
      </c>
      <c r="G617">
        <v>1328.1293945</v>
      </c>
      <c r="H617">
        <v>1326.5882568</v>
      </c>
      <c r="I617">
        <v>1341.5288086</v>
      </c>
      <c r="J617">
        <v>1337.8587646000001</v>
      </c>
      <c r="K617">
        <v>0</v>
      </c>
      <c r="L617">
        <v>1650</v>
      </c>
      <c r="M617">
        <v>1650</v>
      </c>
      <c r="N617">
        <v>0</v>
      </c>
    </row>
    <row r="618" spans="1:14" x14ac:dyDescent="0.25">
      <c r="A618">
        <v>197.08940899999999</v>
      </c>
      <c r="B618" s="1">
        <f>DATE(2010,11,14) + TIME(2,8,44)</f>
        <v>40496.089398148149</v>
      </c>
      <c r="C618">
        <v>80</v>
      </c>
      <c r="D618">
        <v>77.906990050999994</v>
      </c>
      <c r="E618">
        <v>40</v>
      </c>
      <c r="F618">
        <v>39.951450348000002</v>
      </c>
      <c r="G618">
        <v>1328.1024170000001</v>
      </c>
      <c r="H618">
        <v>1326.5512695</v>
      </c>
      <c r="I618">
        <v>1341.5145264</v>
      </c>
      <c r="J618">
        <v>1337.848999</v>
      </c>
      <c r="K618">
        <v>0</v>
      </c>
      <c r="L618">
        <v>1650</v>
      </c>
      <c r="M618">
        <v>1650</v>
      </c>
      <c r="N618">
        <v>0</v>
      </c>
    </row>
    <row r="619" spans="1:14" x14ac:dyDescent="0.25">
      <c r="A619">
        <v>197.66096300000001</v>
      </c>
      <c r="B619" s="1">
        <f>DATE(2010,11,14) + TIME(15,51,47)</f>
        <v>40496.660960648151</v>
      </c>
      <c r="C619">
        <v>80</v>
      </c>
      <c r="D619">
        <v>77.835632324000002</v>
      </c>
      <c r="E619">
        <v>40</v>
      </c>
      <c r="F619">
        <v>39.951442718999999</v>
      </c>
      <c r="G619">
        <v>1328.0748291</v>
      </c>
      <c r="H619">
        <v>1326.5135498</v>
      </c>
      <c r="I619">
        <v>1341.5003661999999</v>
      </c>
      <c r="J619">
        <v>1337.8393555</v>
      </c>
      <c r="K619">
        <v>0</v>
      </c>
      <c r="L619">
        <v>1650</v>
      </c>
      <c r="M619">
        <v>1650</v>
      </c>
      <c r="N619">
        <v>0</v>
      </c>
    </row>
    <row r="620" spans="1:14" x14ac:dyDescent="0.25">
      <c r="A620">
        <v>198.25295199999999</v>
      </c>
      <c r="B620" s="1">
        <f>DATE(2010,11,15) + TIME(6,4,15)</f>
        <v>40497.252951388888</v>
      </c>
      <c r="C620">
        <v>80</v>
      </c>
      <c r="D620">
        <v>77.762733459000003</v>
      </c>
      <c r="E620">
        <v>40</v>
      </c>
      <c r="F620">
        <v>39.951446533000002</v>
      </c>
      <c r="G620">
        <v>1328.0465088000001</v>
      </c>
      <c r="H620">
        <v>1326.4747314000001</v>
      </c>
      <c r="I620">
        <v>1341.4864502</v>
      </c>
      <c r="J620">
        <v>1337.8297118999999</v>
      </c>
      <c r="K620">
        <v>0</v>
      </c>
      <c r="L620">
        <v>1650</v>
      </c>
      <c r="M620">
        <v>1650</v>
      </c>
      <c r="N620">
        <v>0</v>
      </c>
    </row>
    <row r="621" spans="1:14" x14ac:dyDescent="0.25">
      <c r="A621">
        <v>198.867088</v>
      </c>
      <c r="B621" s="1">
        <f>DATE(2010,11,15) + TIME(20,48,36)</f>
        <v>40497.867083333331</v>
      </c>
      <c r="C621">
        <v>80</v>
      </c>
      <c r="D621">
        <v>77.688171386999997</v>
      </c>
      <c r="E621">
        <v>40</v>
      </c>
      <c r="F621">
        <v>39.951457976999997</v>
      </c>
      <c r="G621">
        <v>1328.0174560999999</v>
      </c>
      <c r="H621">
        <v>1326.4348144999999</v>
      </c>
      <c r="I621">
        <v>1341.4725341999999</v>
      </c>
      <c r="J621">
        <v>1337.8201904</v>
      </c>
      <c r="K621">
        <v>0</v>
      </c>
      <c r="L621">
        <v>1650</v>
      </c>
      <c r="M621">
        <v>1650</v>
      </c>
      <c r="N621">
        <v>0</v>
      </c>
    </row>
    <row r="622" spans="1:14" x14ac:dyDescent="0.25">
      <c r="A622">
        <v>199.50524899999999</v>
      </c>
      <c r="B622" s="1">
        <f>DATE(2010,11,16) + TIME(12,7,33)</f>
        <v>40498.505243055559</v>
      </c>
      <c r="C622">
        <v>80</v>
      </c>
      <c r="D622">
        <v>77.611801146999994</v>
      </c>
      <c r="E622">
        <v>40</v>
      </c>
      <c r="F622">
        <v>39.951469420999999</v>
      </c>
      <c r="G622">
        <v>1327.9874268000001</v>
      </c>
      <c r="H622">
        <v>1326.3937988</v>
      </c>
      <c r="I622">
        <v>1341.4587402</v>
      </c>
      <c r="J622">
        <v>1337.8107910000001</v>
      </c>
      <c r="K622">
        <v>0</v>
      </c>
      <c r="L622">
        <v>1650</v>
      </c>
      <c r="M622">
        <v>1650</v>
      </c>
      <c r="N622">
        <v>0</v>
      </c>
    </row>
    <row r="623" spans="1:14" x14ac:dyDescent="0.25">
      <c r="A623">
        <v>200.16949600000001</v>
      </c>
      <c r="B623" s="1">
        <f>DATE(2010,11,17) + TIME(4,4,4)</f>
        <v>40499.169490740744</v>
      </c>
      <c r="C623">
        <v>80</v>
      </c>
      <c r="D623">
        <v>77.533493042000003</v>
      </c>
      <c r="E623">
        <v>40</v>
      </c>
      <c r="F623">
        <v>39.951488495</v>
      </c>
      <c r="G623">
        <v>1327.956543</v>
      </c>
      <c r="H623">
        <v>1326.3515625</v>
      </c>
      <c r="I623">
        <v>1341.4450684000001</v>
      </c>
      <c r="J623">
        <v>1337.8012695</v>
      </c>
      <c r="K623">
        <v>0</v>
      </c>
      <c r="L623">
        <v>1650</v>
      </c>
      <c r="M623">
        <v>1650</v>
      </c>
      <c r="N623">
        <v>0</v>
      </c>
    </row>
    <row r="624" spans="1:14" x14ac:dyDescent="0.25">
      <c r="A624">
        <v>200.86211499999999</v>
      </c>
      <c r="B624" s="1">
        <f>DATE(2010,11,17) + TIME(20,41,26)</f>
        <v>40499.86210648148</v>
      </c>
      <c r="C624">
        <v>80</v>
      </c>
      <c r="D624">
        <v>77.453079224000007</v>
      </c>
      <c r="E624">
        <v>40</v>
      </c>
      <c r="F624">
        <v>39.951507567999997</v>
      </c>
      <c r="G624">
        <v>1327.9245605000001</v>
      </c>
      <c r="H624">
        <v>1326.3079834</v>
      </c>
      <c r="I624">
        <v>1341.4313964999999</v>
      </c>
      <c r="J624">
        <v>1337.7918701000001</v>
      </c>
      <c r="K624">
        <v>0</v>
      </c>
      <c r="L624">
        <v>1650</v>
      </c>
      <c r="M624">
        <v>1650</v>
      </c>
      <c r="N624">
        <v>0</v>
      </c>
    </row>
    <row r="625" spans="1:14" x14ac:dyDescent="0.25">
      <c r="A625">
        <v>201.58564100000001</v>
      </c>
      <c r="B625" s="1">
        <f>DATE(2010,11,18) + TIME(14,3,19)</f>
        <v>40500.585636574076</v>
      </c>
      <c r="C625">
        <v>80</v>
      </c>
      <c r="D625">
        <v>77.370376586999996</v>
      </c>
      <c r="E625">
        <v>40</v>
      </c>
      <c r="F625">
        <v>39.951526641999997</v>
      </c>
      <c r="G625">
        <v>1327.8916016000001</v>
      </c>
      <c r="H625">
        <v>1326.2628173999999</v>
      </c>
      <c r="I625">
        <v>1341.4178466999999</v>
      </c>
      <c r="J625">
        <v>1337.7824707</v>
      </c>
      <c r="K625">
        <v>0</v>
      </c>
      <c r="L625">
        <v>1650</v>
      </c>
      <c r="M625">
        <v>1650</v>
      </c>
      <c r="N625">
        <v>0</v>
      </c>
    </row>
    <row r="626" spans="1:14" x14ac:dyDescent="0.25">
      <c r="A626">
        <v>202.34288699999999</v>
      </c>
      <c r="B626" s="1">
        <f>DATE(2010,11,19) + TIME(8,13,45)</f>
        <v>40501.342881944445</v>
      </c>
      <c r="C626">
        <v>80</v>
      </c>
      <c r="D626">
        <v>77.285209656000006</v>
      </c>
      <c r="E626">
        <v>40</v>
      </c>
      <c r="F626">
        <v>39.951545715000002</v>
      </c>
      <c r="G626">
        <v>1327.8572998</v>
      </c>
      <c r="H626">
        <v>1326.2160644999999</v>
      </c>
      <c r="I626">
        <v>1341.4041748</v>
      </c>
      <c r="J626">
        <v>1337.7730713000001</v>
      </c>
      <c r="K626">
        <v>0</v>
      </c>
      <c r="L626">
        <v>1650</v>
      </c>
      <c r="M626">
        <v>1650</v>
      </c>
      <c r="N626">
        <v>0</v>
      </c>
    </row>
    <row r="627" spans="1:14" x14ac:dyDescent="0.25">
      <c r="A627">
        <v>203.134131</v>
      </c>
      <c r="B627" s="1">
        <f>DATE(2010,11,20) + TIME(3,13,8)</f>
        <v>40502.134120370371</v>
      </c>
      <c r="C627">
        <v>80</v>
      </c>
      <c r="D627">
        <v>77.197563170999999</v>
      </c>
      <c r="E627">
        <v>40</v>
      </c>
      <c r="F627">
        <v>39.951568604000002</v>
      </c>
      <c r="G627">
        <v>1327.8217772999999</v>
      </c>
      <c r="H627">
        <v>1326.1676024999999</v>
      </c>
      <c r="I627">
        <v>1341.390625</v>
      </c>
      <c r="J627">
        <v>1337.7636719</v>
      </c>
      <c r="K627">
        <v>0</v>
      </c>
      <c r="L627">
        <v>1650</v>
      </c>
      <c r="M627">
        <v>1650</v>
      </c>
      <c r="N627">
        <v>0</v>
      </c>
    </row>
    <row r="628" spans="1:14" x14ac:dyDescent="0.25">
      <c r="A628">
        <v>203.93688499999999</v>
      </c>
      <c r="B628" s="1">
        <f>DATE(2010,11,20) + TIME(22,29,6)</f>
        <v>40502.936874999999</v>
      </c>
      <c r="C628">
        <v>80</v>
      </c>
      <c r="D628">
        <v>77.108985900999997</v>
      </c>
      <c r="E628">
        <v>40</v>
      </c>
      <c r="F628">
        <v>39.951591491999999</v>
      </c>
      <c r="G628">
        <v>1327.7849120999999</v>
      </c>
      <c r="H628">
        <v>1326.1175536999999</v>
      </c>
      <c r="I628">
        <v>1341.3769531</v>
      </c>
      <c r="J628">
        <v>1337.7542725000001</v>
      </c>
      <c r="K628">
        <v>0</v>
      </c>
      <c r="L628">
        <v>1650</v>
      </c>
      <c r="M628">
        <v>1650</v>
      </c>
      <c r="N628">
        <v>0</v>
      </c>
    </row>
    <row r="629" spans="1:14" x14ac:dyDescent="0.25">
      <c r="A629">
        <v>204.75310400000001</v>
      </c>
      <c r="B629" s="1">
        <f>DATE(2010,11,21) + TIME(18,4,28)</f>
        <v>40503.753101851849</v>
      </c>
      <c r="C629">
        <v>80</v>
      </c>
      <c r="D629">
        <v>77.019714355000005</v>
      </c>
      <c r="E629">
        <v>40</v>
      </c>
      <c r="F629">
        <v>39.951610565000003</v>
      </c>
      <c r="G629">
        <v>1327.7476807</v>
      </c>
      <c r="H629">
        <v>1326.0667725000001</v>
      </c>
      <c r="I629">
        <v>1341.3637695</v>
      </c>
      <c r="J629">
        <v>1337.7451172000001</v>
      </c>
      <c r="K629">
        <v>0</v>
      </c>
      <c r="L629">
        <v>1650</v>
      </c>
      <c r="M629">
        <v>1650</v>
      </c>
      <c r="N629">
        <v>0</v>
      </c>
    </row>
    <row r="630" spans="1:14" x14ac:dyDescent="0.25">
      <c r="A630">
        <v>205.584451</v>
      </c>
      <c r="B630" s="1">
        <f>DATE(2010,11,22) + TIME(14,1,36)</f>
        <v>40504.584444444445</v>
      </c>
      <c r="C630">
        <v>80</v>
      </c>
      <c r="D630">
        <v>76.929855347</v>
      </c>
      <c r="E630">
        <v>40</v>
      </c>
      <c r="F630">
        <v>39.951633452999999</v>
      </c>
      <c r="G630">
        <v>1327.7099608999999</v>
      </c>
      <c r="H630">
        <v>1326.0153809000001</v>
      </c>
      <c r="I630">
        <v>1341.3509521000001</v>
      </c>
      <c r="J630">
        <v>1337.7362060999999</v>
      </c>
      <c r="K630">
        <v>0</v>
      </c>
      <c r="L630">
        <v>1650</v>
      </c>
      <c r="M630">
        <v>1650</v>
      </c>
      <c r="N630">
        <v>0</v>
      </c>
    </row>
    <row r="631" spans="1:14" x14ac:dyDescent="0.25">
      <c r="A631">
        <v>206.43267299999999</v>
      </c>
      <c r="B631" s="1">
        <f>DATE(2010,11,23) + TIME(10,23,2)</f>
        <v>40505.432662037034</v>
      </c>
      <c r="C631">
        <v>80</v>
      </c>
      <c r="D631">
        <v>76.839408875000004</v>
      </c>
      <c r="E631">
        <v>40</v>
      </c>
      <c r="F631">
        <v>39.951652527</v>
      </c>
      <c r="G631">
        <v>1327.671875</v>
      </c>
      <c r="H631">
        <v>1325.9632568</v>
      </c>
      <c r="I631">
        <v>1341.338501</v>
      </c>
      <c r="J631">
        <v>1337.7275391000001</v>
      </c>
      <c r="K631">
        <v>0</v>
      </c>
      <c r="L631">
        <v>1650</v>
      </c>
      <c r="M631">
        <v>1650</v>
      </c>
      <c r="N631">
        <v>0</v>
      </c>
    </row>
    <row r="632" spans="1:14" x14ac:dyDescent="0.25">
      <c r="A632">
        <v>207.29960500000001</v>
      </c>
      <c r="B632" s="1">
        <f>DATE(2010,11,24) + TIME(7,11,25)</f>
        <v>40506.29959490741</v>
      </c>
      <c r="C632">
        <v>80</v>
      </c>
      <c r="D632">
        <v>76.748329162999994</v>
      </c>
      <c r="E632">
        <v>40</v>
      </c>
      <c r="F632">
        <v>39.951675414999997</v>
      </c>
      <c r="G632">
        <v>1327.6330565999999</v>
      </c>
      <c r="H632">
        <v>1325.9105225000001</v>
      </c>
      <c r="I632">
        <v>1341.3262939000001</v>
      </c>
      <c r="J632">
        <v>1337.7191161999999</v>
      </c>
      <c r="K632">
        <v>0</v>
      </c>
      <c r="L632">
        <v>1650</v>
      </c>
      <c r="M632">
        <v>1650</v>
      </c>
      <c r="N632">
        <v>0</v>
      </c>
    </row>
    <row r="633" spans="1:14" x14ac:dyDescent="0.25">
      <c r="A633">
        <v>208.18720400000001</v>
      </c>
      <c r="B633" s="1">
        <f>DATE(2010,11,25) + TIME(4,29,34)</f>
        <v>40507.187199074076</v>
      </c>
      <c r="C633">
        <v>80</v>
      </c>
      <c r="D633">
        <v>76.656509399000001</v>
      </c>
      <c r="E633">
        <v>40</v>
      </c>
      <c r="F633">
        <v>39.951702118</v>
      </c>
      <c r="G633">
        <v>1327.59375</v>
      </c>
      <c r="H633">
        <v>1325.8569336</v>
      </c>
      <c r="I633">
        <v>1341.3143310999999</v>
      </c>
      <c r="J633">
        <v>1337.7108154</v>
      </c>
      <c r="K633">
        <v>0</v>
      </c>
      <c r="L633">
        <v>1650</v>
      </c>
      <c r="M633">
        <v>1650</v>
      </c>
      <c r="N633">
        <v>0</v>
      </c>
    </row>
    <row r="634" spans="1:14" x14ac:dyDescent="0.25">
      <c r="A634">
        <v>209.097489</v>
      </c>
      <c r="B634" s="1">
        <f>DATE(2010,11,26) + TIME(2,20,23)</f>
        <v>40508.097488425927</v>
      </c>
      <c r="C634">
        <v>80</v>
      </c>
      <c r="D634">
        <v>76.563819885000001</v>
      </c>
      <c r="E634">
        <v>40</v>
      </c>
      <c r="F634">
        <v>39.951725005999997</v>
      </c>
      <c r="G634">
        <v>1327.5538329999999</v>
      </c>
      <c r="H634">
        <v>1325.8024902</v>
      </c>
      <c r="I634">
        <v>1341.3024902</v>
      </c>
      <c r="J634">
        <v>1337.7026367000001</v>
      </c>
      <c r="K634">
        <v>0</v>
      </c>
      <c r="L634">
        <v>1650</v>
      </c>
      <c r="M634">
        <v>1650</v>
      </c>
      <c r="N634">
        <v>0</v>
      </c>
    </row>
    <row r="635" spans="1:14" x14ac:dyDescent="0.25">
      <c r="A635">
        <v>210.03262699999999</v>
      </c>
      <c r="B635" s="1">
        <f>DATE(2010,11,27) + TIME(0,46,58)</f>
        <v>40509.03261574074</v>
      </c>
      <c r="C635">
        <v>80</v>
      </c>
      <c r="D635">
        <v>76.470123290999993</v>
      </c>
      <c r="E635">
        <v>40</v>
      </c>
      <c r="F635">
        <v>39.951751709</v>
      </c>
      <c r="G635">
        <v>1327.5131836</v>
      </c>
      <c r="H635">
        <v>1325.7470702999999</v>
      </c>
      <c r="I635">
        <v>1341.2908935999999</v>
      </c>
      <c r="J635">
        <v>1337.6947021000001</v>
      </c>
      <c r="K635">
        <v>0</v>
      </c>
      <c r="L635">
        <v>1650</v>
      </c>
      <c r="M635">
        <v>1650</v>
      </c>
      <c r="N635">
        <v>0</v>
      </c>
    </row>
    <row r="636" spans="1:14" x14ac:dyDescent="0.25">
      <c r="A636">
        <v>210.994629</v>
      </c>
      <c r="B636" s="1">
        <f>DATE(2010,11,27) + TIME(23,52,15)</f>
        <v>40509.994618055556</v>
      </c>
      <c r="C636">
        <v>80</v>
      </c>
      <c r="D636">
        <v>76.375274657999995</v>
      </c>
      <c r="E636">
        <v>40</v>
      </c>
      <c r="F636">
        <v>39.951782227000002</v>
      </c>
      <c r="G636">
        <v>1327.4716797000001</v>
      </c>
      <c r="H636">
        <v>1325.6906738</v>
      </c>
      <c r="I636">
        <v>1341.2795410000001</v>
      </c>
      <c r="J636">
        <v>1337.6867675999999</v>
      </c>
      <c r="K636">
        <v>0</v>
      </c>
      <c r="L636">
        <v>1650</v>
      </c>
      <c r="M636">
        <v>1650</v>
      </c>
      <c r="N636">
        <v>0</v>
      </c>
    </row>
    <row r="637" spans="1:14" x14ac:dyDescent="0.25">
      <c r="A637">
        <v>211.98594199999999</v>
      </c>
      <c r="B637" s="1">
        <f>DATE(2010,11,28) + TIME(23,39,45)</f>
        <v>40510.985937500001</v>
      </c>
      <c r="C637">
        <v>80</v>
      </c>
      <c r="D637">
        <v>76.279106139999996</v>
      </c>
      <c r="E637">
        <v>40</v>
      </c>
      <c r="F637">
        <v>39.951812744000001</v>
      </c>
      <c r="G637">
        <v>1327.4293213000001</v>
      </c>
      <c r="H637">
        <v>1325.6330565999999</v>
      </c>
      <c r="I637">
        <v>1341.2683105000001</v>
      </c>
      <c r="J637">
        <v>1337.6790771000001</v>
      </c>
      <c r="K637">
        <v>0</v>
      </c>
      <c r="L637">
        <v>1650</v>
      </c>
      <c r="M637">
        <v>1650</v>
      </c>
      <c r="N637">
        <v>0</v>
      </c>
    </row>
    <row r="638" spans="1:14" x14ac:dyDescent="0.25">
      <c r="A638">
        <v>213.00934799999999</v>
      </c>
      <c r="B638" s="1">
        <f>DATE(2010,11,30) + TIME(0,13,27)</f>
        <v>40512.009340277778</v>
      </c>
      <c r="C638">
        <v>80</v>
      </c>
      <c r="D638">
        <v>76.181411742999998</v>
      </c>
      <c r="E638">
        <v>40</v>
      </c>
      <c r="F638">
        <v>39.951847076</v>
      </c>
      <c r="G638">
        <v>1327.3859863</v>
      </c>
      <c r="H638">
        <v>1325.5740966999999</v>
      </c>
      <c r="I638">
        <v>1341.2570800999999</v>
      </c>
      <c r="J638">
        <v>1337.6713867000001</v>
      </c>
      <c r="K638">
        <v>0</v>
      </c>
      <c r="L638">
        <v>1650</v>
      </c>
      <c r="M638">
        <v>1650</v>
      </c>
      <c r="N638">
        <v>0</v>
      </c>
    </row>
    <row r="639" spans="1:14" x14ac:dyDescent="0.25">
      <c r="A639">
        <v>214</v>
      </c>
      <c r="B639" s="1">
        <f>DATE(2010,12,1) + TIME(0,0,0)</f>
        <v>40513</v>
      </c>
      <c r="C639">
        <v>80</v>
      </c>
      <c r="D639">
        <v>76.085472107000001</v>
      </c>
      <c r="E639">
        <v>40</v>
      </c>
      <c r="F639">
        <v>39.951881409000002</v>
      </c>
      <c r="G639">
        <v>1327.3417969</v>
      </c>
      <c r="H639">
        <v>1325.5142822</v>
      </c>
      <c r="I639">
        <v>1341.2460937999999</v>
      </c>
      <c r="J639">
        <v>1337.6638184000001</v>
      </c>
      <c r="K639">
        <v>0</v>
      </c>
      <c r="L639">
        <v>1650</v>
      </c>
      <c r="M639">
        <v>1650</v>
      </c>
      <c r="N639">
        <v>0</v>
      </c>
    </row>
    <row r="640" spans="1:14" x14ac:dyDescent="0.25">
      <c r="A640">
        <v>215.05838800000001</v>
      </c>
      <c r="B640" s="1">
        <f>DATE(2010,12,2) + TIME(1,24,4)</f>
        <v>40514.058379629627</v>
      </c>
      <c r="C640">
        <v>80</v>
      </c>
      <c r="D640">
        <v>75.987350464000002</v>
      </c>
      <c r="E640">
        <v>40</v>
      </c>
      <c r="F640">
        <v>39.951915741000001</v>
      </c>
      <c r="G640">
        <v>1327.2984618999999</v>
      </c>
      <c r="H640">
        <v>1325.4550781</v>
      </c>
      <c r="I640">
        <v>1341.2358397999999</v>
      </c>
      <c r="J640">
        <v>1337.6567382999999</v>
      </c>
      <c r="K640">
        <v>0</v>
      </c>
      <c r="L640">
        <v>1650</v>
      </c>
      <c r="M640">
        <v>1650</v>
      </c>
      <c r="N640">
        <v>0</v>
      </c>
    </row>
    <row r="641" spans="1:14" x14ac:dyDescent="0.25">
      <c r="A641">
        <v>216.19368</v>
      </c>
      <c r="B641" s="1">
        <f>DATE(2010,12,3) + TIME(4,38,53)</f>
        <v>40515.193668981483</v>
      </c>
      <c r="C641">
        <v>80</v>
      </c>
      <c r="D641">
        <v>75.885482788000004</v>
      </c>
      <c r="E641">
        <v>40</v>
      </c>
      <c r="F641">
        <v>39.951957702999998</v>
      </c>
      <c r="G641">
        <v>1327.2531738</v>
      </c>
      <c r="H641">
        <v>1325.3934326000001</v>
      </c>
      <c r="I641">
        <v>1341.2252197</v>
      </c>
      <c r="J641">
        <v>1337.6495361</v>
      </c>
      <c r="K641">
        <v>0</v>
      </c>
      <c r="L641">
        <v>1650</v>
      </c>
      <c r="M641">
        <v>1650</v>
      </c>
      <c r="N641">
        <v>0</v>
      </c>
    </row>
    <row r="642" spans="1:14" x14ac:dyDescent="0.25">
      <c r="A642">
        <v>217.372715</v>
      </c>
      <c r="B642" s="1">
        <f>DATE(2010,12,4) + TIME(8,56,42)</f>
        <v>40516.372708333336</v>
      </c>
      <c r="C642">
        <v>80</v>
      </c>
      <c r="D642">
        <v>75.780494689999998</v>
      </c>
      <c r="E642">
        <v>40</v>
      </c>
      <c r="F642">
        <v>39.952003478999998</v>
      </c>
      <c r="G642">
        <v>1327.2053223</v>
      </c>
      <c r="H642">
        <v>1325.3286132999999</v>
      </c>
      <c r="I642">
        <v>1341.2143555</v>
      </c>
      <c r="J642">
        <v>1337.6422118999999</v>
      </c>
      <c r="K642">
        <v>0</v>
      </c>
      <c r="L642">
        <v>1650</v>
      </c>
      <c r="M642">
        <v>1650</v>
      </c>
      <c r="N642">
        <v>0</v>
      </c>
    </row>
    <row r="643" spans="1:14" x14ac:dyDescent="0.25">
      <c r="A643">
        <v>218.600942</v>
      </c>
      <c r="B643" s="1">
        <f>DATE(2010,12,5) + TIME(14,25,21)</f>
        <v>40517.600937499999</v>
      </c>
      <c r="C643">
        <v>80</v>
      </c>
      <c r="D643">
        <v>75.672439574999999</v>
      </c>
      <c r="E643">
        <v>40</v>
      </c>
      <c r="F643">
        <v>39.952049254999999</v>
      </c>
      <c r="G643">
        <v>1327.1560059000001</v>
      </c>
      <c r="H643">
        <v>1325.2615966999999</v>
      </c>
      <c r="I643">
        <v>1341.2034911999999</v>
      </c>
      <c r="J643">
        <v>1337.6347656</v>
      </c>
      <c r="K643">
        <v>0</v>
      </c>
      <c r="L643">
        <v>1650</v>
      </c>
      <c r="M643">
        <v>1650</v>
      </c>
      <c r="N643">
        <v>0</v>
      </c>
    </row>
    <row r="644" spans="1:14" x14ac:dyDescent="0.25">
      <c r="A644">
        <v>219.871252</v>
      </c>
      <c r="B644" s="1">
        <f>DATE(2010,12,6) + TIME(20,54,36)</f>
        <v>40518.871249999997</v>
      </c>
      <c r="C644">
        <v>80</v>
      </c>
      <c r="D644">
        <v>75.561653136999993</v>
      </c>
      <c r="E644">
        <v>40</v>
      </c>
      <c r="F644">
        <v>39.952102660999998</v>
      </c>
      <c r="G644">
        <v>1327.1048584</v>
      </c>
      <c r="H644">
        <v>1325.1922606999999</v>
      </c>
      <c r="I644">
        <v>1341.192749</v>
      </c>
      <c r="J644">
        <v>1337.6274414</v>
      </c>
      <c r="K644">
        <v>0</v>
      </c>
      <c r="L644">
        <v>1650</v>
      </c>
      <c r="M644">
        <v>1650</v>
      </c>
      <c r="N644">
        <v>0</v>
      </c>
    </row>
    <row r="645" spans="1:14" x14ac:dyDescent="0.25">
      <c r="A645">
        <v>221.16137599999999</v>
      </c>
      <c r="B645" s="1">
        <f>DATE(2010,12,8) + TIME(3,52,22)</f>
        <v>40520.161365740743</v>
      </c>
      <c r="C645">
        <v>80</v>
      </c>
      <c r="D645">
        <v>75.449226378999995</v>
      </c>
      <c r="E645">
        <v>40</v>
      </c>
      <c r="F645">
        <v>39.952152251999998</v>
      </c>
      <c r="G645">
        <v>1327.0524902</v>
      </c>
      <c r="H645">
        <v>1325.1212158000001</v>
      </c>
      <c r="I645">
        <v>1341.1818848</v>
      </c>
      <c r="J645">
        <v>1337.6202393000001</v>
      </c>
      <c r="K645">
        <v>0</v>
      </c>
      <c r="L645">
        <v>1650</v>
      </c>
      <c r="M645">
        <v>1650</v>
      </c>
      <c r="N645">
        <v>0</v>
      </c>
    </row>
    <row r="646" spans="1:14" x14ac:dyDescent="0.25">
      <c r="A646">
        <v>222.474332</v>
      </c>
      <c r="B646" s="1">
        <f>DATE(2010,12,9) + TIME(11,23,2)</f>
        <v>40521.474328703705</v>
      </c>
      <c r="C646">
        <v>80</v>
      </c>
      <c r="D646">
        <v>75.335670471</v>
      </c>
      <c r="E646">
        <v>40</v>
      </c>
      <c r="F646">
        <v>39.952205657999997</v>
      </c>
      <c r="G646">
        <v>1326.9992675999999</v>
      </c>
      <c r="H646">
        <v>1325.0490723</v>
      </c>
      <c r="I646">
        <v>1341.1715088000001</v>
      </c>
      <c r="J646">
        <v>1337.6131591999999</v>
      </c>
      <c r="K646">
        <v>0</v>
      </c>
      <c r="L646">
        <v>1650</v>
      </c>
      <c r="M646">
        <v>1650</v>
      </c>
      <c r="N646">
        <v>0</v>
      </c>
    </row>
    <row r="647" spans="1:14" x14ac:dyDescent="0.25">
      <c r="A647">
        <v>223.81285099999999</v>
      </c>
      <c r="B647" s="1">
        <f>DATE(2010,12,10) + TIME(19,30,30)</f>
        <v>40522.812847222223</v>
      </c>
      <c r="C647">
        <v>80</v>
      </c>
      <c r="D647">
        <v>75.221061707000004</v>
      </c>
      <c r="E647">
        <v>40</v>
      </c>
      <c r="F647">
        <v>39.952262877999999</v>
      </c>
      <c r="G647">
        <v>1326.9455565999999</v>
      </c>
      <c r="H647">
        <v>1324.9760742000001</v>
      </c>
      <c r="I647">
        <v>1341.1612548999999</v>
      </c>
      <c r="J647">
        <v>1337.6063231999999</v>
      </c>
      <c r="K647">
        <v>0</v>
      </c>
      <c r="L647">
        <v>1650</v>
      </c>
      <c r="M647">
        <v>1650</v>
      </c>
      <c r="N647">
        <v>0</v>
      </c>
    </row>
    <row r="648" spans="1:14" x14ac:dyDescent="0.25">
      <c r="A648">
        <v>225.179857</v>
      </c>
      <c r="B648" s="1">
        <f>DATE(2010,12,12) + TIME(4,18,59)</f>
        <v>40524.179849537039</v>
      </c>
      <c r="C648">
        <v>80</v>
      </c>
      <c r="D648">
        <v>75.105293274000005</v>
      </c>
      <c r="E648">
        <v>40</v>
      </c>
      <c r="F648">
        <v>39.952320098999998</v>
      </c>
      <c r="G648">
        <v>1326.8911132999999</v>
      </c>
      <c r="H648">
        <v>1324.9022216999999</v>
      </c>
      <c r="I648">
        <v>1341.1511230000001</v>
      </c>
      <c r="J648">
        <v>1337.5996094</v>
      </c>
      <c r="K648">
        <v>0</v>
      </c>
      <c r="L648">
        <v>1650</v>
      </c>
      <c r="M648">
        <v>1650</v>
      </c>
      <c r="N648">
        <v>0</v>
      </c>
    </row>
    <row r="649" spans="1:14" x14ac:dyDescent="0.25">
      <c r="A649">
        <v>226.57844299999999</v>
      </c>
      <c r="B649" s="1">
        <f>DATE(2010,12,13) + TIME(13,52,57)</f>
        <v>40525.5784375</v>
      </c>
      <c r="C649">
        <v>80</v>
      </c>
      <c r="D649">
        <v>74.988121032999999</v>
      </c>
      <c r="E649">
        <v>40</v>
      </c>
      <c r="F649">
        <v>39.952381133999999</v>
      </c>
      <c r="G649">
        <v>1326.8360596</v>
      </c>
      <c r="H649">
        <v>1324.8273925999999</v>
      </c>
      <c r="I649">
        <v>1341.1413574000001</v>
      </c>
      <c r="J649">
        <v>1337.5931396000001</v>
      </c>
      <c r="K649">
        <v>0</v>
      </c>
      <c r="L649">
        <v>1650</v>
      </c>
      <c r="M649">
        <v>1650</v>
      </c>
      <c r="N649">
        <v>0</v>
      </c>
    </row>
    <row r="650" spans="1:14" x14ac:dyDescent="0.25">
      <c r="A650">
        <v>228.011999</v>
      </c>
      <c r="B650" s="1">
        <f>DATE(2010,12,15) + TIME(0,17,16)</f>
        <v>40527.011990740742</v>
      </c>
      <c r="C650">
        <v>80</v>
      </c>
      <c r="D650">
        <v>74.869132996000005</v>
      </c>
      <c r="E650">
        <v>40</v>
      </c>
      <c r="F650">
        <v>39.952445984000001</v>
      </c>
      <c r="G650">
        <v>1326.7801514</v>
      </c>
      <c r="H650">
        <v>1324.7514647999999</v>
      </c>
      <c r="I650">
        <v>1341.1315918</v>
      </c>
      <c r="J650">
        <v>1337.5866699000001</v>
      </c>
      <c r="K650">
        <v>0</v>
      </c>
      <c r="L650">
        <v>1650</v>
      </c>
      <c r="M650">
        <v>1650</v>
      </c>
      <c r="N650">
        <v>0</v>
      </c>
    </row>
    <row r="651" spans="1:14" x14ac:dyDescent="0.25">
      <c r="A651">
        <v>229.48397600000001</v>
      </c>
      <c r="B651" s="1">
        <f>DATE(2010,12,16) + TIME(11,36,55)</f>
        <v>40528.483969907407</v>
      </c>
      <c r="C651">
        <v>80</v>
      </c>
      <c r="D651">
        <v>74.748062133999994</v>
      </c>
      <c r="E651">
        <v>40</v>
      </c>
      <c r="F651">
        <v>39.952510834000002</v>
      </c>
      <c r="G651">
        <v>1326.7235106999999</v>
      </c>
      <c r="H651">
        <v>1324.6744385</v>
      </c>
      <c r="I651">
        <v>1341.1220702999999</v>
      </c>
      <c r="J651">
        <v>1337.5804443</v>
      </c>
      <c r="K651">
        <v>0</v>
      </c>
      <c r="L651">
        <v>1650</v>
      </c>
      <c r="M651">
        <v>1650</v>
      </c>
      <c r="N651">
        <v>0</v>
      </c>
    </row>
    <row r="652" spans="1:14" x14ac:dyDescent="0.25">
      <c r="A652">
        <v>230.99741700000001</v>
      </c>
      <c r="B652" s="1">
        <f>DATE(2010,12,17) + TIME(23,56,16)</f>
        <v>40529.997407407405</v>
      </c>
      <c r="C652">
        <v>80</v>
      </c>
      <c r="D652">
        <v>74.624572753999999</v>
      </c>
      <c r="E652">
        <v>40</v>
      </c>
      <c r="F652">
        <v>39.952579497999999</v>
      </c>
      <c r="G652">
        <v>1326.6657714999999</v>
      </c>
      <c r="H652">
        <v>1324.5960693</v>
      </c>
      <c r="I652">
        <v>1341.1126709</v>
      </c>
      <c r="J652">
        <v>1337.5742187999999</v>
      </c>
      <c r="K652">
        <v>0</v>
      </c>
      <c r="L652">
        <v>1650</v>
      </c>
      <c r="M652">
        <v>1650</v>
      </c>
      <c r="N652">
        <v>0</v>
      </c>
    </row>
    <row r="653" spans="1:14" x14ac:dyDescent="0.25">
      <c r="A653">
        <v>232.556578</v>
      </c>
      <c r="B653" s="1">
        <f>DATE(2010,12,19) + TIME(13,21,28)</f>
        <v>40531.556574074071</v>
      </c>
      <c r="C653">
        <v>80</v>
      </c>
      <c r="D653">
        <v>74.498268127000003</v>
      </c>
      <c r="E653">
        <v>40</v>
      </c>
      <c r="F653">
        <v>39.952651977999999</v>
      </c>
      <c r="G653">
        <v>1326.6069336</v>
      </c>
      <c r="H653">
        <v>1324.5162353999999</v>
      </c>
      <c r="I653">
        <v>1341.1032714999999</v>
      </c>
      <c r="J653">
        <v>1337.5682373</v>
      </c>
      <c r="K653">
        <v>0</v>
      </c>
      <c r="L653">
        <v>1650</v>
      </c>
      <c r="M653">
        <v>1650</v>
      </c>
      <c r="N653">
        <v>0</v>
      </c>
    </row>
    <row r="654" spans="1:14" x14ac:dyDescent="0.25">
      <c r="A654">
        <v>234.16579200000001</v>
      </c>
      <c r="B654" s="1">
        <f>DATE(2010,12,21) + TIME(3,58,44)</f>
        <v>40533.16578703704</v>
      </c>
      <c r="C654">
        <v>80</v>
      </c>
      <c r="D654">
        <v>74.368690490999995</v>
      </c>
      <c r="E654">
        <v>40</v>
      </c>
      <c r="F654">
        <v>39.952724457000002</v>
      </c>
      <c r="G654">
        <v>1326.546875</v>
      </c>
      <c r="H654">
        <v>1324.4346923999999</v>
      </c>
      <c r="I654">
        <v>1341.0941161999999</v>
      </c>
      <c r="J654">
        <v>1337.5622559000001</v>
      </c>
      <c r="K654">
        <v>0</v>
      </c>
      <c r="L654">
        <v>1650</v>
      </c>
      <c r="M654">
        <v>1650</v>
      </c>
      <c r="N654">
        <v>0</v>
      </c>
    </row>
    <row r="655" spans="1:14" x14ac:dyDescent="0.25">
      <c r="A655">
        <v>235.829759</v>
      </c>
      <c r="B655" s="1">
        <f>DATE(2010,12,22) + TIME(19,54,51)</f>
        <v>40534.829756944448</v>
      </c>
      <c r="C655">
        <v>80</v>
      </c>
      <c r="D655">
        <v>74.235343932999996</v>
      </c>
      <c r="E655">
        <v>40</v>
      </c>
      <c r="F655">
        <v>39.952804565000001</v>
      </c>
      <c r="G655">
        <v>1326.4855957</v>
      </c>
      <c r="H655">
        <v>1324.3515625</v>
      </c>
      <c r="I655">
        <v>1341.0848389</v>
      </c>
      <c r="J655">
        <v>1337.5562743999999</v>
      </c>
      <c r="K655">
        <v>0</v>
      </c>
      <c r="L655">
        <v>1650</v>
      </c>
      <c r="M655">
        <v>1650</v>
      </c>
      <c r="N655">
        <v>0</v>
      </c>
    </row>
    <row r="656" spans="1:14" x14ac:dyDescent="0.25">
      <c r="A656">
        <v>237.55359300000001</v>
      </c>
      <c r="B656" s="1">
        <f>DATE(2010,12,24) + TIME(13,17,10)</f>
        <v>40536.553587962961</v>
      </c>
      <c r="C656">
        <v>80</v>
      </c>
      <c r="D656">
        <v>74.097702025999993</v>
      </c>
      <c r="E656">
        <v>40</v>
      </c>
      <c r="F656">
        <v>39.952888489000003</v>
      </c>
      <c r="G656">
        <v>1326.4228516000001</v>
      </c>
      <c r="H656">
        <v>1324.2663574000001</v>
      </c>
      <c r="I656">
        <v>1341.0756836</v>
      </c>
      <c r="J656">
        <v>1337.5505370999999</v>
      </c>
      <c r="K656">
        <v>0</v>
      </c>
      <c r="L656">
        <v>1650</v>
      </c>
      <c r="M656">
        <v>1650</v>
      </c>
      <c r="N656">
        <v>0</v>
      </c>
    </row>
    <row r="657" spans="1:14" x14ac:dyDescent="0.25">
      <c r="A657">
        <v>239.342906</v>
      </c>
      <c r="B657" s="1">
        <f>DATE(2010,12,26) + TIME(8,13,47)</f>
        <v>40538.342905092592</v>
      </c>
      <c r="C657">
        <v>80</v>
      </c>
      <c r="D657">
        <v>73.955169678000004</v>
      </c>
      <c r="E657">
        <v>40</v>
      </c>
      <c r="F657">
        <v>39.952972412000001</v>
      </c>
      <c r="G657">
        <v>1326.3585204999999</v>
      </c>
      <c r="H657">
        <v>1324.1790771000001</v>
      </c>
      <c r="I657">
        <v>1341.0665283000001</v>
      </c>
      <c r="J657">
        <v>1337.5446777</v>
      </c>
      <c r="K657">
        <v>0</v>
      </c>
      <c r="L657">
        <v>1650</v>
      </c>
      <c r="M657">
        <v>1650</v>
      </c>
      <c r="N657">
        <v>0</v>
      </c>
    </row>
    <row r="658" spans="1:14" x14ac:dyDescent="0.25">
      <c r="A658">
        <v>241.20386400000001</v>
      </c>
      <c r="B658" s="1">
        <f>DATE(2010,12,28) + TIME(4,53,33)</f>
        <v>40540.20385416667</v>
      </c>
      <c r="C658">
        <v>80</v>
      </c>
      <c r="D658">
        <v>73.807090759000005</v>
      </c>
      <c r="E658">
        <v>40</v>
      </c>
      <c r="F658">
        <v>39.953063964999998</v>
      </c>
      <c r="G658">
        <v>1326.2924805</v>
      </c>
      <c r="H658">
        <v>1324.0893555</v>
      </c>
      <c r="I658">
        <v>1341.0574951000001</v>
      </c>
      <c r="J658">
        <v>1337.5389404</v>
      </c>
      <c r="K658">
        <v>0</v>
      </c>
      <c r="L658">
        <v>1650</v>
      </c>
      <c r="M658">
        <v>1650</v>
      </c>
      <c r="N658">
        <v>0</v>
      </c>
    </row>
    <row r="659" spans="1:14" x14ac:dyDescent="0.25">
      <c r="A659">
        <v>243.11895999999999</v>
      </c>
      <c r="B659" s="1">
        <f>DATE(2010,12,30) + TIME(2,51,18)</f>
        <v>40542.118958333333</v>
      </c>
      <c r="C659">
        <v>80</v>
      </c>
      <c r="D659">
        <v>73.653396606000001</v>
      </c>
      <c r="E659">
        <v>40</v>
      </c>
      <c r="F659">
        <v>39.953155518000003</v>
      </c>
      <c r="G659">
        <v>1326.2244873</v>
      </c>
      <c r="H659">
        <v>1323.9973144999999</v>
      </c>
      <c r="I659">
        <v>1341.0483397999999</v>
      </c>
      <c r="J659">
        <v>1337.5332031</v>
      </c>
      <c r="K659">
        <v>0</v>
      </c>
      <c r="L659">
        <v>1650</v>
      </c>
      <c r="M659">
        <v>1650</v>
      </c>
      <c r="N659">
        <v>0</v>
      </c>
    </row>
    <row r="660" spans="1:14" x14ac:dyDescent="0.25">
      <c r="A660">
        <v>245</v>
      </c>
      <c r="B660" s="1">
        <f>DATE(2011,1,1) + TIME(0,0,0)</f>
        <v>40544</v>
      </c>
      <c r="C660">
        <v>80</v>
      </c>
      <c r="D660">
        <v>73.496826171999999</v>
      </c>
      <c r="E660">
        <v>40</v>
      </c>
      <c r="F660">
        <v>39.953247070000003</v>
      </c>
      <c r="G660">
        <v>1326.1553954999999</v>
      </c>
      <c r="H660">
        <v>1323.9035644999999</v>
      </c>
      <c r="I660">
        <v>1341.0391846</v>
      </c>
      <c r="J660">
        <v>1337.5275879000001</v>
      </c>
      <c r="K660">
        <v>0</v>
      </c>
      <c r="L660">
        <v>1650</v>
      </c>
      <c r="M660">
        <v>1650</v>
      </c>
      <c r="N660">
        <v>0</v>
      </c>
    </row>
    <row r="661" spans="1:14" x14ac:dyDescent="0.25">
      <c r="A661">
        <v>246.94828899999999</v>
      </c>
      <c r="B661" s="1">
        <f>DATE(2011,1,2) + TIME(22,45,32)</f>
        <v>40545.948287037034</v>
      </c>
      <c r="C661">
        <v>80</v>
      </c>
      <c r="D661">
        <v>73.337623596</v>
      </c>
      <c r="E661">
        <v>40</v>
      </c>
      <c r="F661">
        <v>39.953342438</v>
      </c>
      <c r="G661">
        <v>1326.0871582</v>
      </c>
      <c r="H661">
        <v>1323.8104248</v>
      </c>
      <c r="I661">
        <v>1341.0306396000001</v>
      </c>
      <c r="J661">
        <v>1337.5223389</v>
      </c>
      <c r="K661">
        <v>0</v>
      </c>
      <c r="L661">
        <v>1650</v>
      </c>
      <c r="M661">
        <v>1650</v>
      </c>
      <c r="N661">
        <v>0</v>
      </c>
    </row>
    <row r="662" spans="1:14" x14ac:dyDescent="0.25">
      <c r="A662">
        <v>248.97431900000001</v>
      </c>
      <c r="B662" s="1">
        <f>DATE(2011,1,4) + TIME(23,23,1)</f>
        <v>40547.974317129629</v>
      </c>
      <c r="C662">
        <v>80</v>
      </c>
      <c r="D662">
        <v>73.172866821</v>
      </c>
      <c r="E662">
        <v>40</v>
      </c>
      <c r="F662">
        <v>39.95344162</v>
      </c>
      <c r="G662">
        <v>1326.0178223</v>
      </c>
      <c r="H662">
        <v>1323.7163086</v>
      </c>
      <c r="I662">
        <v>1341.0220947</v>
      </c>
      <c r="J662">
        <v>1337.5170897999999</v>
      </c>
      <c r="K662">
        <v>0</v>
      </c>
      <c r="L662">
        <v>1650</v>
      </c>
      <c r="M662">
        <v>1650</v>
      </c>
      <c r="N662">
        <v>0</v>
      </c>
    </row>
    <row r="663" spans="1:14" x14ac:dyDescent="0.25">
      <c r="A663">
        <v>251.046232</v>
      </c>
      <c r="B663" s="1">
        <f>DATE(2011,1,7) + TIME(1,6,34)</f>
        <v>40550.046226851853</v>
      </c>
      <c r="C663">
        <v>80</v>
      </c>
      <c r="D663">
        <v>73.001808166999993</v>
      </c>
      <c r="E663">
        <v>40</v>
      </c>
      <c r="F663">
        <v>39.953540801999999</v>
      </c>
      <c r="G663">
        <v>1325.9470214999999</v>
      </c>
      <c r="H663">
        <v>1323.6199951000001</v>
      </c>
      <c r="I663">
        <v>1341.0134277</v>
      </c>
      <c r="J663">
        <v>1337.5118408000001</v>
      </c>
      <c r="K663">
        <v>0</v>
      </c>
      <c r="L663">
        <v>1650</v>
      </c>
      <c r="M663">
        <v>1650</v>
      </c>
      <c r="N663">
        <v>0</v>
      </c>
    </row>
    <row r="664" spans="1:14" x14ac:dyDescent="0.25">
      <c r="A664">
        <v>253.16998899999999</v>
      </c>
      <c r="B664" s="1">
        <f>DATE(2011,1,9) + TIME(4,4,47)</f>
        <v>40552.169988425929</v>
      </c>
      <c r="C664">
        <v>80</v>
      </c>
      <c r="D664">
        <v>72.824783324999999</v>
      </c>
      <c r="E664">
        <v>40</v>
      </c>
      <c r="F664">
        <v>39.953647613999998</v>
      </c>
      <c r="G664">
        <v>1325.8752440999999</v>
      </c>
      <c r="H664">
        <v>1323.5223389</v>
      </c>
      <c r="I664">
        <v>1341.0048827999999</v>
      </c>
      <c r="J664">
        <v>1337.5067139</v>
      </c>
      <c r="K664">
        <v>0</v>
      </c>
      <c r="L664">
        <v>1650</v>
      </c>
      <c r="M664">
        <v>1650</v>
      </c>
      <c r="N664">
        <v>0</v>
      </c>
    </row>
    <row r="665" spans="1:14" x14ac:dyDescent="0.25">
      <c r="A665">
        <v>255.35100800000001</v>
      </c>
      <c r="B665" s="1">
        <f>DATE(2011,1,11) + TIME(8,25,27)</f>
        <v>40554.351006944446</v>
      </c>
      <c r="C665">
        <v>80</v>
      </c>
      <c r="D665">
        <v>72.641403198000006</v>
      </c>
      <c r="E665">
        <v>40</v>
      </c>
      <c r="F665">
        <v>39.953754425</v>
      </c>
      <c r="G665">
        <v>1325.8024902</v>
      </c>
      <c r="H665">
        <v>1323.4232178</v>
      </c>
      <c r="I665">
        <v>1340.9964600000001</v>
      </c>
      <c r="J665">
        <v>1337.5017089999999</v>
      </c>
      <c r="K665">
        <v>0</v>
      </c>
      <c r="L665">
        <v>1650</v>
      </c>
      <c r="M665">
        <v>1650</v>
      </c>
      <c r="N665">
        <v>0</v>
      </c>
    </row>
    <row r="666" spans="1:14" x14ac:dyDescent="0.25">
      <c r="A666">
        <v>257.59405099999998</v>
      </c>
      <c r="B666" s="1">
        <f>DATE(2011,1,13) + TIME(14,15,25)</f>
        <v>40556.594039351854</v>
      </c>
      <c r="C666">
        <v>80</v>
      </c>
      <c r="D666">
        <v>72.451026916999993</v>
      </c>
      <c r="E666">
        <v>40</v>
      </c>
      <c r="F666">
        <v>39.953865051000001</v>
      </c>
      <c r="G666">
        <v>1325.7286377</v>
      </c>
      <c r="H666">
        <v>1323.3227539</v>
      </c>
      <c r="I666">
        <v>1340.9881591999999</v>
      </c>
      <c r="J666">
        <v>1337.4968262</v>
      </c>
      <c r="K666">
        <v>0</v>
      </c>
      <c r="L666">
        <v>1650</v>
      </c>
      <c r="M666">
        <v>1650</v>
      </c>
      <c r="N666">
        <v>0</v>
      </c>
    </row>
    <row r="667" spans="1:14" x14ac:dyDescent="0.25">
      <c r="A667">
        <v>259.90512699999999</v>
      </c>
      <c r="B667" s="1">
        <f>DATE(2011,1,15) + TIME(21,43,22)</f>
        <v>40558.905115740738</v>
      </c>
      <c r="C667">
        <v>80</v>
      </c>
      <c r="D667">
        <v>72.252906799000002</v>
      </c>
      <c r="E667">
        <v>40</v>
      </c>
      <c r="F667">
        <v>39.953979492000002</v>
      </c>
      <c r="G667">
        <v>1325.6538086</v>
      </c>
      <c r="H667">
        <v>1323.2208252</v>
      </c>
      <c r="I667">
        <v>1340.9798584</v>
      </c>
      <c r="J667">
        <v>1337.4919434000001</v>
      </c>
      <c r="K667">
        <v>0</v>
      </c>
      <c r="L667">
        <v>1650</v>
      </c>
      <c r="M667">
        <v>1650</v>
      </c>
      <c r="N667">
        <v>0</v>
      </c>
    </row>
    <row r="668" spans="1:14" x14ac:dyDescent="0.25">
      <c r="A668">
        <v>262.29106000000002</v>
      </c>
      <c r="B668" s="1">
        <f>DATE(2011,1,18) + TIME(6,59,7)</f>
        <v>40561.29105324074</v>
      </c>
      <c r="C668">
        <v>80</v>
      </c>
      <c r="D668">
        <v>72.046180724999999</v>
      </c>
      <c r="E668">
        <v>40</v>
      </c>
      <c r="F668">
        <v>39.954097748000002</v>
      </c>
      <c r="G668">
        <v>1325.5776367000001</v>
      </c>
      <c r="H668">
        <v>1323.1170654</v>
      </c>
      <c r="I668">
        <v>1340.9715576000001</v>
      </c>
      <c r="J668">
        <v>1337.4870605000001</v>
      </c>
      <c r="K668">
        <v>0</v>
      </c>
      <c r="L668">
        <v>1650</v>
      </c>
      <c r="M668">
        <v>1650</v>
      </c>
      <c r="N668">
        <v>0</v>
      </c>
    </row>
    <row r="669" spans="1:14" x14ac:dyDescent="0.25">
      <c r="A669">
        <v>264.75916799999999</v>
      </c>
      <c r="B669" s="1">
        <f>DATE(2011,1,20) + TIME(18,13,12)</f>
        <v>40563.759166666663</v>
      </c>
      <c r="C669">
        <v>80</v>
      </c>
      <c r="D669">
        <v>71.829887389999996</v>
      </c>
      <c r="E669">
        <v>40</v>
      </c>
      <c r="F669">
        <v>39.954219817999999</v>
      </c>
      <c r="G669">
        <v>1325.5001221</v>
      </c>
      <c r="H669">
        <v>1323.0114745999999</v>
      </c>
      <c r="I669">
        <v>1340.9632568</v>
      </c>
      <c r="J669">
        <v>1337.4822998</v>
      </c>
      <c r="K669">
        <v>0</v>
      </c>
      <c r="L669">
        <v>1650</v>
      </c>
      <c r="M669">
        <v>1650</v>
      </c>
      <c r="N669">
        <v>0</v>
      </c>
    </row>
    <row r="670" spans="1:14" x14ac:dyDescent="0.25">
      <c r="A670">
        <v>267.30881099999999</v>
      </c>
      <c r="B670" s="1">
        <f>DATE(2011,1,23) + TIME(7,24,41)</f>
        <v>40566.308807870373</v>
      </c>
      <c r="C670">
        <v>80</v>
      </c>
      <c r="D670">
        <v>71.603164672999995</v>
      </c>
      <c r="E670">
        <v>40</v>
      </c>
      <c r="F670">
        <v>39.954349518000001</v>
      </c>
      <c r="G670">
        <v>1325.4211425999999</v>
      </c>
      <c r="H670">
        <v>1322.9036865</v>
      </c>
      <c r="I670">
        <v>1340.9549560999999</v>
      </c>
      <c r="J670">
        <v>1337.4775391000001</v>
      </c>
      <c r="K670">
        <v>0</v>
      </c>
      <c r="L670">
        <v>1650</v>
      </c>
      <c r="M670">
        <v>1650</v>
      </c>
      <c r="N670">
        <v>0</v>
      </c>
    </row>
    <row r="671" spans="1:14" x14ac:dyDescent="0.25">
      <c r="A671">
        <v>269.907557</v>
      </c>
      <c r="B671" s="1">
        <f>DATE(2011,1,25) + TIME(21,46,52)</f>
        <v>40568.907546296294</v>
      </c>
      <c r="C671">
        <v>80</v>
      </c>
      <c r="D671">
        <v>71.366249084000003</v>
      </c>
      <c r="E671">
        <v>40</v>
      </c>
      <c r="F671">
        <v>39.954475403000004</v>
      </c>
      <c r="G671">
        <v>1325.3406981999999</v>
      </c>
      <c r="H671">
        <v>1322.7940673999999</v>
      </c>
      <c r="I671">
        <v>1340.9466553</v>
      </c>
      <c r="J671">
        <v>1337.4727783000001</v>
      </c>
      <c r="K671">
        <v>0</v>
      </c>
      <c r="L671">
        <v>1650</v>
      </c>
      <c r="M671">
        <v>1650</v>
      </c>
      <c r="N671">
        <v>0</v>
      </c>
    </row>
    <row r="672" spans="1:14" x14ac:dyDescent="0.25">
      <c r="A672">
        <v>272.54895099999999</v>
      </c>
      <c r="B672" s="1">
        <f>DATE(2011,1,28) + TIME(13,10,29)</f>
        <v>40571.548946759256</v>
      </c>
      <c r="C672">
        <v>80</v>
      </c>
      <c r="D672">
        <v>71.120544433999996</v>
      </c>
      <c r="E672">
        <v>40</v>
      </c>
      <c r="F672">
        <v>39.954605102999999</v>
      </c>
      <c r="G672">
        <v>1325.2596435999999</v>
      </c>
      <c r="H672">
        <v>1322.6832274999999</v>
      </c>
      <c r="I672">
        <v>1340.9384766000001</v>
      </c>
      <c r="J672">
        <v>1337.4681396000001</v>
      </c>
      <c r="K672">
        <v>0</v>
      </c>
      <c r="L672">
        <v>1650</v>
      </c>
      <c r="M672">
        <v>1650</v>
      </c>
      <c r="N672">
        <v>0</v>
      </c>
    </row>
    <row r="673" spans="1:14" x14ac:dyDescent="0.25">
      <c r="A673">
        <v>275.25009299999999</v>
      </c>
      <c r="B673" s="1">
        <f>DATE(2011,1,31) + TIME(6,0,8)</f>
        <v>40574.250092592592</v>
      </c>
      <c r="C673">
        <v>80</v>
      </c>
      <c r="D673">
        <v>70.866142272999994</v>
      </c>
      <c r="E673">
        <v>40</v>
      </c>
      <c r="F673">
        <v>39.954738616999997</v>
      </c>
      <c r="G673">
        <v>1325.1782227000001</v>
      </c>
      <c r="H673">
        <v>1322.5718993999999</v>
      </c>
      <c r="I673">
        <v>1340.9302978999999</v>
      </c>
      <c r="J673">
        <v>1337.4636230000001</v>
      </c>
      <c r="K673">
        <v>0</v>
      </c>
      <c r="L673">
        <v>1650</v>
      </c>
      <c r="M673">
        <v>1650</v>
      </c>
      <c r="N673">
        <v>0</v>
      </c>
    </row>
    <row r="674" spans="1:14" x14ac:dyDescent="0.25">
      <c r="A674">
        <v>276</v>
      </c>
      <c r="B674" s="1">
        <f>DATE(2011,2,1) + TIME(0,0,0)</f>
        <v>40575</v>
      </c>
      <c r="C674">
        <v>80</v>
      </c>
      <c r="D674">
        <v>70.706474303999997</v>
      </c>
      <c r="E674">
        <v>40</v>
      </c>
      <c r="F674">
        <v>39.954761505</v>
      </c>
      <c r="G674">
        <v>1325.1003418</v>
      </c>
      <c r="H674">
        <v>1322.4704589999999</v>
      </c>
      <c r="I674">
        <v>1340.9219971</v>
      </c>
      <c r="J674">
        <v>1337.4588623</v>
      </c>
      <c r="K674">
        <v>0</v>
      </c>
      <c r="L674">
        <v>1650</v>
      </c>
      <c r="M674">
        <v>1650</v>
      </c>
      <c r="N674">
        <v>0</v>
      </c>
    </row>
    <row r="675" spans="1:14" x14ac:dyDescent="0.25">
      <c r="A675">
        <v>278.76277099999999</v>
      </c>
      <c r="B675" s="1">
        <f>DATE(2011,2,3) + TIME(18,18,23)</f>
        <v>40577.762766203705</v>
      </c>
      <c r="C675">
        <v>80</v>
      </c>
      <c r="D675">
        <v>70.506477356000005</v>
      </c>
      <c r="E675">
        <v>40</v>
      </c>
      <c r="F675">
        <v>39.954906463999997</v>
      </c>
      <c r="G675">
        <v>1325.0645752</v>
      </c>
      <c r="H675">
        <v>1322.4121094</v>
      </c>
      <c r="I675">
        <v>1340.9200439000001</v>
      </c>
      <c r="J675">
        <v>1337.4578856999999</v>
      </c>
      <c r="K675">
        <v>0</v>
      </c>
      <c r="L675">
        <v>1650</v>
      </c>
      <c r="M675">
        <v>1650</v>
      </c>
      <c r="N675">
        <v>0</v>
      </c>
    </row>
    <row r="676" spans="1:14" x14ac:dyDescent="0.25">
      <c r="A676">
        <v>281.59196300000002</v>
      </c>
      <c r="B676" s="1">
        <f>DATE(2011,2,6) + TIME(14,12,25)</f>
        <v>40580.591956018521</v>
      </c>
      <c r="C676">
        <v>80</v>
      </c>
      <c r="D676">
        <v>70.246757506999998</v>
      </c>
      <c r="E676">
        <v>40</v>
      </c>
      <c r="F676">
        <v>39.955047606999997</v>
      </c>
      <c r="G676">
        <v>1324.9891356999999</v>
      </c>
      <c r="H676">
        <v>1322.3117675999999</v>
      </c>
      <c r="I676">
        <v>1340.9121094</v>
      </c>
      <c r="J676">
        <v>1337.4534911999999</v>
      </c>
      <c r="K676">
        <v>0</v>
      </c>
      <c r="L676">
        <v>1650</v>
      </c>
      <c r="M676">
        <v>1650</v>
      </c>
      <c r="N676">
        <v>0</v>
      </c>
    </row>
    <row r="677" spans="1:14" x14ac:dyDescent="0.25">
      <c r="A677">
        <v>284.44626199999999</v>
      </c>
      <c r="B677" s="1">
        <f>DATE(2011,2,9) + TIME(10,42,36)</f>
        <v>40583.446250000001</v>
      </c>
      <c r="C677">
        <v>80</v>
      </c>
      <c r="D677">
        <v>69.964447020999998</v>
      </c>
      <c r="E677">
        <v>40</v>
      </c>
      <c r="F677">
        <v>39.955188751000001</v>
      </c>
      <c r="G677">
        <v>1324.9083252</v>
      </c>
      <c r="H677">
        <v>1322.2016602000001</v>
      </c>
      <c r="I677">
        <v>1340.9041748</v>
      </c>
      <c r="J677">
        <v>1337.4490966999999</v>
      </c>
      <c r="K677">
        <v>0</v>
      </c>
      <c r="L677">
        <v>1650</v>
      </c>
      <c r="M677">
        <v>1650</v>
      </c>
      <c r="N677">
        <v>0</v>
      </c>
    </row>
    <row r="678" spans="1:14" x14ac:dyDescent="0.25">
      <c r="A678">
        <v>287.34242399999999</v>
      </c>
      <c r="B678" s="1">
        <f>DATE(2011,2,12) + TIME(8,13,5)</f>
        <v>40586.342418981483</v>
      </c>
      <c r="C678">
        <v>80</v>
      </c>
      <c r="D678">
        <v>69.670471191000004</v>
      </c>
      <c r="E678">
        <v>40</v>
      </c>
      <c r="F678">
        <v>39.955329894999998</v>
      </c>
      <c r="G678">
        <v>1324.8264160000001</v>
      </c>
      <c r="H678">
        <v>1322.0893555</v>
      </c>
      <c r="I678">
        <v>1340.8963623</v>
      </c>
      <c r="J678">
        <v>1337.4447021000001</v>
      </c>
      <c r="K678">
        <v>0</v>
      </c>
      <c r="L678">
        <v>1650</v>
      </c>
      <c r="M678">
        <v>1650</v>
      </c>
      <c r="N678">
        <v>0</v>
      </c>
    </row>
    <row r="679" spans="1:14" x14ac:dyDescent="0.25">
      <c r="A679">
        <v>290.29538600000001</v>
      </c>
      <c r="B679" s="1">
        <f>DATE(2011,2,15) + TIME(7,5,21)</f>
        <v>40589.295381944445</v>
      </c>
      <c r="C679">
        <v>80</v>
      </c>
      <c r="D679">
        <v>69.366294861</v>
      </c>
      <c r="E679">
        <v>40</v>
      </c>
      <c r="F679">
        <v>39.955471039000003</v>
      </c>
      <c r="G679">
        <v>1324.7442627</v>
      </c>
      <c r="H679">
        <v>1321.9764404</v>
      </c>
      <c r="I679">
        <v>1340.8886719</v>
      </c>
      <c r="J679">
        <v>1337.4405518000001</v>
      </c>
      <c r="K679">
        <v>0</v>
      </c>
      <c r="L679">
        <v>1650</v>
      </c>
      <c r="M679">
        <v>1650</v>
      </c>
      <c r="N679">
        <v>0</v>
      </c>
    </row>
    <row r="680" spans="1:14" x14ac:dyDescent="0.25">
      <c r="A680">
        <v>293.315427</v>
      </c>
      <c r="B680" s="1">
        <f>DATE(2011,2,18) + TIME(7,34,12)</f>
        <v>40592.315416666665</v>
      </c>
      <c r="C680">
        <v>80</v>
      </c>
      <c r="D680">
        <v>69.051040649000001</v>
      </c>
      <c r="E680">
        <v>40</v>
      </c>
      <c r="F680">
        <v>39.955615997000002</v>
      </c>
      <c r="G680">
        <v>1324.6619873</v>
      </c>
      <c r="H680">
        <v>1321.8631591999999</v>
      </c>
      <c r="I680">
        <v>1340.8809814000001</v>
      </c>
      <c r="J680">
        <v>1337.4362793</v>
      </c>
      <c r="K680">
        <v>0</v>
      </c>
      <c r="L680">
        <v>1650</v>
      </c>
      <c r="M680">
        <v>1650</v>
      </c>
      <c r="N680">
        <v>0</v>
      </c>
    </row>
    <row r="681" spans="1:14" x14ac:dyDescent="0.25">
      <c r="A681">
        <v>296.36655200000001</v>
      </c>
      <c r="B681" s="1">
        <f>DATE(2011,2,21) + TIME(8,47,50)</f>
        <v>40595.366550925923</v>
      </c>
      <c r="C681">
        <v>80</v>
      </c>
      <c r="D681">
        <v>68.724456786999994</v>
      </c>
      <c r="E681">
        <v>40</v>
      </c>
      <c r="F681">
        <v>39.955764770999998</v>
      </c>
      <c r="G681">
        <v>1324.5793457</v>
      </c>
      <c r="H681">
        <v>1321.7493896000001</v>
      </c>
      <c r="I681">
        <v>1340.8732910000001</v>
      </c>
      <c r="J681">
        <v>1337.4321289</v>
      </c>
      <c r="K681">
        <v>0</v>
      </c>
      <c r="L681">
        <v>1650</v>
      </c>
      <c r="M681">
        <v>1650</v>
      </c>
      <c r="N681">
        <v>0</v>
      </c>
    </row>
    <row r="682" spans="1:14" x14ac:dyDescent="0.25">
      <c r="A682">
        <v>299.45625000000001</v>
      </c>
      <c r="B682" s="1">
        <f>DATE(2011,2,24) + TIME(10,57,0)</f>
        <v>40598.456250000003</v>
      </c>
      <c r="C682">
        <v>80</v>
      </c>
      <c r="D682">
        <v>68.388290405000006</v>
      </c>
      <c r="E682">
        <v>40</v>
      </c>
      <c r="F682">
        <v>39.955909728999998</v>
      </c>
      <c r="G682">
        <v>1324.4970702999999</v>
      </c>
      <c r="H682">
        <v>1321.6356201000001</v>
      </c>
      <c r="I682">
        <v>1340.8657227000001</v>
      </c>
      <c r="J682">
        <v>1337.4279785000001</v>
      </c>
      <c r="K682">
        <v>0</v>
      </c>
      <c r="L682">
        <v>1650</v>
      </c>
      <c r="M682">
        <v>1650</v>
      </c>
      <c r="N682">
        <v>0</v>
      </c>
    </row>
    <row r="683" spans="1:14" x14ac:dyDescent="0.25">
      <c r="A683">
        <v>302.599625</v>
      </c>
      <c r="B683" s="1">
        <f>DATE(2011,2,27) + TIME(14,23,27)</f>
        <v>40601.599618055552</v>
      </c>
      <c r="C683">
        <v>80</v>
      </c>
      <c r="D683">
        <v>68.042022704999994</v>
      </c>
      <c r="E683">
        <v>40</v>
      </c>
      <c r="F683">
        <v>39.956062316999997</v>
      </c>
      <c r="G683">
        <v>1324.4150391000001</v>
      </c>
      <c r="H683">
        <v>1321.5223389</v>
      </c>
      <c r="I683">
        <v>1340.8582764</v>
      </c>
      <c r="J683">
        <v>1337.4238281</v>
      </c>
      <c r="K683">
        <v>0</v>
      </c>
      <c r="L683">
        <v>1650</v>
      </c>
      <c r="M683">
        <v>1650</v>
      </c>
      <c r="N683">
        <v>0</v>
      </c>
    </row>
    <row r="684" spans="1:14" x14ac:dyDescent="0.25">
      <c r="A684">
        <v>304</v>
      </c>
      <c r="B684" s="1">
        <f>DATE(2011,3,1) + TIME(0,0,0)</f>
        <v>40603</v>
      </c>
      <c r="C684">
        <v>80</v>
      </c>
      <c r="D684">
        <v>67.759475707999997</v>
      </c>
      <c r="E684">
        <v>40</v>
      </c>
      <c r="F684">
        <v>39.956111907999997</v>
      </c>
      <c r="G684">
        <v>1324.3349608999999</v>
      </c>
      <c r="H684">
        <v>1321.4152832</v>
      </c>
      <c r="I684">
        <v>1340.8505858999999</v>
      </c>
      <c r="J684">
        <v>1337.4195557</v>
      </c>
      <c r="K684">
        <v>0</v>
      </c>
      <c r="L684">
        <v>1650</v>
      </c>
      <c r="M684">
        <v>1650</v>
      </c>
      <c r="N684">
        <v>0</v>
      </c>
    </row>
    <row r="685" spans="1:14" x14ac:dyDescent="0.25">
      <c r="A685">
        <v>307.21346799999998</v>
      </c>
      <c r="B685" s="1">
        <f>DATE(2011,3,4) + TIME(5,7,23)</f>
        <v>40606.213460648149</v>
      </c>
      <c r="C685">
        <v>80</v>
      </c>
      <c r="D685">
        <v>67.496635436999995</v>
      </c>
      <c r="E685">
        <v>40</v>
      </c>
      <c r="F685">
        <v>39.956275939999998</v>
      </c>
      <c r="G685">
        <v>1324.2882079999999</v>
      </c>
      <c r="H685">
        <v>1321.3419189000001</v>
      </c>
      <c r="I685">
        <v>1340.8474120999999</v>
      </c>
      <c r="J685">
        <v>1337.4178466999999</v>
      </c>
      <c r="K685">
        <v>0</v>
      </c>
      <c r="L685">
        <v>1650</v>
      </c>
      <c r="M685">
        <v>1650</v>
      </c>
      <c r="N685">
        <v>0</v>
      </c>
    </row>
    <row r="686" spans="1:14" x14ac:dyDescent="0.25">
      <c r="A686">
        <v>310.477484</v>
      </c>
      <c r="B686" s="1">
        <f>DATE(2011,3,7) + TIME(11,27,34)</f>
        <v>40609.477476851855</v>
      </c>
      <c r="C686">
        <v>80</v>
      </c>
      <c r="D686">
        <v>67.143218993999994</v>
      </c>
      <c r="E686">
        <v>40</v>
      </c>
      <c r="F686">
        <v>39.956432343000003</v>
      </c>
      <c r="G686">
        <v>1324.213501</v>
      </c>
      <c r="H686">
        <v>1321.2419434000001</v>
      </c>
      <c r="I686">
        <v>1340.8399658000001</v>
      </c>
      <c r="J686">
        <v>1337.4138184000001</v>
      </c>
      <c r="K686">
        <v>0</v>
      </c>
      <c r="L686">
        <v>1650</v>
      </c>
      <c r="M686">
        <v>1650</v>
      </c>
      <c r="N686">
        <v>0</v>
      </c>
    </row>
    <row r="687" spans="1:14" x14ac:dyDescent="0.25">
      <c r="A687">
        <v>313.79675600000002</v>
      </c>
      <c r="B687" s="1">
        <f>DATE(2011,3,10) + TIME(19,7,19)</f>
        <v>40612.796747685185</v>
      </c>
      <c r="C687">
        <v>80</v>
      </c>
      <c r="D687">
        <v>66.761589049999998</v>
      </c>
      <c r="E687">
        <v>40</v>
      </c>
      <c r="F687">
        <v>39.956588744999998</v>
      </c>
      <c r="G687">
        <v>1324.1337891000001</v>
      </c>
      <c r="H687">
        <v>1321.1319579999999</v>
      </c>
      <c r="I687">
        <v>1340.8325195</v>
      </c>
      <c r="J687">
        <v>1337.409668</v>
      </c>
      <c r="K687">
        <v>0</v>
      </c>
      <c r="L687">
        <v>1650</v>
      </c>
      <c r="M687">
        <v>1650</v>
      </c>
      <c r="N687">
        <v>0</v>
      </c>
    </row>
    <row r="688" spans="1:14" x14ac:dyDescent="0.25">
      <c r="A688">
        <v>317.18655100000001</v>
      </c>
      <c r="B688" s="1">
        <f>DATE(2011,3,14) + TIME(4,28,37)</f>
        <v>40616.186539351853</v>
      </c>
      <c r="C688">
        <v>80</v>
      </c>
      <c r="D688">
        <v>66.364059448000006</v>
      </c>
      <c r="E688">
        <v>40</v>
      </c>
      <c r="F688">
        <v>39.956745148000003</v>
      </c>
      <c r="G688">
        <v>1324.0531006000001</v>
      </c>
      <c r="H688">
        <v>1321.0197754000001</v>
      </c>
      <c r="I688">
        <v>1340.8250731999999</v>
      </c>
      <c r="J688">
        <v>1337.4055175999999</v>
      </c>
      <c r="K688">
        <v>0</v>
      </c>
      <c r="L688">
        <v>1650</v>
      </c>
      <c r="M688">
        <v>1650</v>
      </c>
      <c r="N688">
        <v>0</v>
      </c>
    </row>
    <row r="689" spans="1:14" x14ac:dyDescent="0.25">
      <c r="A689">
        <v>320.62131499999998</v>
      </c>
      <c r="B689" s="1">
        <f>DATE(2011,3,17) + TIME(14,54,41)</f>
        <v>40619.621307870373</v>
      </c>
      <c r="C689">
        <v>80</v>
      </c>
      <c r="D689">
        <v>65.952301024999997</v>
      </c>
      <c r="E689">
        <v>40</v>
      </c>
      <c r="F689">
        <v>39.956905364999997</v>
      </c>
      <c r="G689">
        <v>1323.972168</v>
      </c>
      <c r="H689">
        <v>1320.9068603999999</v>
      </c>
      <c r="I689">
        <v>1340.8176269999999</v>
      </c>
      <c r="J689">
        <v>1337.4013672000001</v>
      </c>
      <c r="K689">
        <v>0</v>
      </c>
      <c r="L689">
        <v>1650</v>
      </c>
      <c r="M689">
        <v>1650</v>
      </c>
      <c r="N689">
        <v>0</v>
      </c>
    </row>
    <row r="690" spans="1:14" x14ac:dyDescent="0.25">
      <c r="A690">
        <v>324.10830600000003</v>
      </c>
      <c r="B690" s="1">
        <f>DATE(2011,3,21) + TIME(2,35,57)</f>
        <v>40623.108298611114</v>
      </c>
      <c r="C690">
        <v>80</v>
      </c>
      <c r="D690">
        <v>65.528366089000002</v>
      </c>
      <c r="E690">
        <v>40</v>
      </c>
      <c r="F690">
        <v>39.957065581999998</v>
      </c>
      <c r="G690">
        <v>1323.8914795000001</v>
      </c>
      <c r="H690">
        <v>1320.7940673999999</v>
      </c>
      <c r="I690">
        <v>1340.8100586</v>
      </c>
      <c r="J690">
        <v>1337.3972168</v>
      </c>
      <c r="K690">
        <v>0</v>
      </c>
      <c r="L690">
        <v>1650</v>
      </c>
      <c r="M690">
        <v>1650</v>
      </c>
      <c r="N690">
        <v>0</v>
      </c>
    </row>
    <row r="691" spans="1:14" x14ac:dyDescent="0.25">
      <c r="A691">
        <v>327.66440499999999</v>
      </c>
      <c r="B691" s="1">
        <f>DATE(2011,3,24) + TIME(15,56,44)</f>
        <v>40626.664398148147</v>
      </c>
      <c r="C691">
        <v>80</v>
      </c>
      <c r="D691">
        <v>65.091621399000005</v>
      </c>
      <c r="E691">
        <v>40</v>
      </c>
      <c r="F691">
        <v>39.957225800000003</v>
      </c>
      <c r="G691">
        <v>1323.8112793</v>
      </c>
      <c r="H691">
        <v>1320.6816406</v>
      </c>
      <c r="I691">
        <v>1340.8026123</v>
      </c>
      <c r="J691">
        <v>1337.3930664</v>
      </c>
      <c r="K691">
        <v>0</v>
      </c>
      <c r="L691">
        <v>1650</v>
      </c>
      <c r="M691">
        <v>1650</v>
      </c>
      <c r="N691">
        <v>0</v>
      </c>
    </row>
    <row r="692" spans="1:14" x14ac:dyDescent="0.25">
      <c r="A692">
        <v>331.28128600000002</v>
      </c>
      <c r="B692" s="1">
        <f>DATE(2011,3,28) + TIME(6,45,3)</f>
        <v>40630.281284722223</v>
      </c>
      <c r="C692">
        <v>80</v>
      </c>
      <c r="D692">
        <v>64.640953064000001</v>
      </c>
      <c r="E692">
        <v>40</v>
      </c>
      <c r="F692">
        <v>39.957389831999997</v>
      </c>
      <c r="G692">
        <v>1323.7313231999999</v>
      </c>
      <c r="H692">
        <v>1320.5693358999999</v>
      </c>
      <c r="I692">
        <v>1340.7950439000001</v>
      </c>
      <c r="J692">
        <v>1337.3887939000001</v>
      </c>
      <c r="K692">
        <v>0</v>
      </c>
      <c r="L692">
        <v>1650</v>
      </c>
      <c r="M692">
        <v>1650</v>
      </c>
      <c r="N692">
        <v>0</v>
      </c>
    </row>
    <row r="693" spans="1:14" x14ac:dyDescent="0.25">
      <c r="A693">
        <v>335</v>
      </c>
      <c r="B693" s="1">
        <f>DATE(2011,4,1) + TIME(0,0,0)</f>
        <v>40634</v>
      </c>
      <c r="C693">
        <v>80</v>
      </c>
      <c r="D693">
        <v>64.175704956000004</v>
      </c>
      <c r="E693">
        <v>40</v>
      </c>
      <c r="F693">
        <v>39.957557678000001</v>
      </c>
      <c r="G693">
        <v>1323.6517334</v>
      </c>
      <c r="H693">
        <v>1320.4572754000001</v>
      </c>
      <c r="I693">
        <v>1340.7874756000001</v>
      </c>
      <c r="J693">
        <v>1337.3843993999999</v>
      </c>
      <c r="K693">
        <v>0</v>
      </c>
      <c r="L693">
        <v>1650</v>
      </c>
      <c r="M693">
        <v>1650</v>
      </c>
      <c r="N693">
        <v>0</v>
      </c>
    </row>
    <row r="694" spans="1:14" x14ac:dyDescent="0.25">
      <c r="A694">
        <v>338.67411399999997</v>
      </c>
      <c r="B694" s="1">
        <f>DATE(2011,4,4) + TIME(16,10,43)</f>
        <v>40637.674108796295</v>
      </c>
      <c r="C694">
        <v>80</v>
      </c>
      <c r="D694">
        <v>63.695690155000001</v>
      </c>
      <c r="E694">
        <v>40</v>
      </c>
      <c r="F694">
        <v>39.957721710000001</v>
      </c>
      <c r="G694">
        <v>1323.5720214999999</v>
      </c>
      <c r="H694">
        <v>1320.3449707</v>
      </c>
      <c r="I694">
        <v>1340.7797852000001</v>
      </c>
      <c r="J694">
        <v>1337.3800048999999</v>
      </c>
      <c r="K694">
        <v>0</v>
      </c>
      <c r="L694">
        <v>1650</v>
      </c>
      <c r="M694">
        <v>1650</v>
      </c>
      <c r="N694">
        <v>0</v>
      </c>
    </row>
    <row r="695" spans="1:14" x14ac:dyDescent="0.25">
      <c r="A695">
        <v>342.49589800000001</v>
      </c>
      <c r="B695" s="1">
        <f>DATE(2011,4,8) + TIME(11,54,5)</f>
        <v>40641.495891203704</v>
      </c>
      <c r="C695">
        <v>80</v>
      </c>
      <c r="D695">
        <v>63.208778381000002</v>
      </c>
      <c r="E695">
        <v>40</v>
      </c>
      <c r="F695">
        <v>39.957893372000001</v>
      </c>
      <c r="G695">
        <v>1323.4943848</v>
      </c>
      <c r="H695">
        <v>1320.2347411999999</v>
      </c>
      <c r="I695">
        <v>1340.7723389</v>
      </c>
      <c r="J695">
        <v>1337.3757324000001</v>
      </c>
      <c r="K695">
        <v>0</v>
      </c>
      <c r="L695">
        <v>1650</v>
      </c>
      <c r="M695">
        <v>1650</v>
      </c>
      <c r="N695">
        <v>0</v>
      </c>
    </row>
    <row r="696" spans="1:14" x14ac:dyDescent="0.25">
      <c r="A696">
        <v>346.38567599999999</v>
      </c>
      <c r="B696" s="1">
        <f>DATE(2011,4,12) + TIME(9,15,22)</f>
        <v>40645.385671296295</v>
      </c>
      <c r="C696">
        <v>80</v>
      </c>
      <c r="D696">
        <v>62.702083588000001</v>
      </c>
      <c r="E696">
        <v>40</v>
      </c>
      <c r="F696">
        <v>39.958065032999997</v>
      </c>
      <c r="G696">
        <v>1323.4163818</v>
      </c>
      <c r="H696">
        <v>1320.1243896000001</v>
      </c>
      <c r="I696">
        <v>1340.7645264</v>
      </c>
      <c r="J696">
        <v>1337.3710937999999</v>
      </c>
      <c r="K696">
        <v>0</v>
      </c>
      <c r="L696">
        <v>1650</v>
      </c>
      <c r="M696">
        <v>1650</v>
      </c>
      <c r="N696">
        <v>0</v>
      </c>
    </row>
    <row r="697" spans="1:14" x14ac:dyDescent="0.25">
      <c r="A697">
        <v>350.36433199999999</v>
      </c>
      <c r="B697" s="1">
        <f>DATE(2011,4,16) + TIME(8,44,38)</f>
        <v>40649.364328703705</v>
      </c>
      <c r="C697">
        <v>80</v>
      </c>
      <c r="D697">
        <v>62.179916382000002</v>
      </c>
      <c r="E697">
        <v>40</v>
      </c>
      <c r="F697">
        <v>39.958240508999999</v>
      </c>
      <c r="G697">
        <v>1323.3389893000001</v>
      </c>
      <c r="H697">
        <v>1320.0142822</v>
      </c>
      <c r="I697">
        <v>1340.7567139</v>
      </c>
      <c r="J697">
        <v>1337.3665771000001</v>
      </c>
      <c r="K697">
        <v>0</v>
      </c>
      <c r="L697">
        <v>1650</v>
      </c>
      <c r="M697">
        <v>1650</v>
      </c>
      <c r="N697">
        <v>0</v>
      </c>
    </row>
    <row r="698" spans="1:14" x14ac:dyDescent="0.25">
      <c r="A698">
        <v>354.40624800000001</v>
      </c>
      <c r="B698" s="1">
        <f>DATE(2011,4,20) + TIME(9,44,59)</f>
        <v>40653.406238425923</v>
      </c>
      <c r="C698">
        <v>80</v>
      </c>
      <c r="D698">
        <v>61.641868590999998</v>
      </c>
      <c r="E698">
        <v>40</v>
      </c>
      <c r="F698">
        <v>39.958415985000002</v>
      </c>
      <c r="G698">
        <v>1323.2619629000001</v>
      </c>
      <c r="H698">
        <v>1319.9045410000001</v>
      </c>
      <c r="I698">
        <v>1340.7487793</v>
      </c>
      <c r="J698">
        <v>1337.3618164</v>
      </c>
      <c r="K698">
        <v>0</v>
      </c>
      <c r="L698">
        <v>1650</v>
      </c>
      <c r="M698">
        <v>1650</v>
      </c>
      <c r="N698">
        <v>0</v>
      </c>
    </row>
    <row r="699" spans="1:14" x14ac:dyDescent="0.25">
      <c r="A699">
        <v>358.527916</v>
      </c>
      <c r="B699" s="1">
        <f>DATE(2011,4,24) + TIME(12,40,11)</f>
        <v>40657.527905092589</v>
      </c>
      <c r="C699">
        <v>80</v>
      </c>
      <c r="D699">
        <v>61.089851379000002</v>
      </c>
      <c r="E699">
        <v>40</v>
      </c>
      <c r="F699">
        <v>39.958591460999997</v>
      </c>
      <c r="G699">
        <v>1323.1857910000001</v>
      </c>
      <c r="H699">
        <v>1319.7955322</v>
      </c>
      <c r="I699">
        <v>1340.7408447</v>
      </c>
      <c r="J699">
        <v>1337.3569336</v>
      </c>
      <c r="K699">
        <v>0</v>
      </c>
      <c r="L699">
        <v>1650</v>
      </c>
      <c r="M699">
        <v>1650</v>
      </c>
      <c r="N699">
        <v>0</v>
      </c>
    </row>
    <row r="700" spans="1:14" x14ac:dyDescent="0.25">
      <c r="A700">
        <v>362.75109400000002</v>
      </c>
      <c r="B700" s="1">
        <f>DATE(2011,4,28) + TIME(18,1,34)</f>
        <v>40661.751087962963</v>
      </c>
      <c r="C700">
        <v>80</v>
      </c>
      <c r="D700">
        <v>60.522922516000001</v>
      </c>
      <c r="E700">
        <v>40</v>
      </c>
      <c r="F700">
        <v>39.958774566999999</v>
      </c>
      <c r="G700">
        <v>1323.1107178</v>
      </c>
      <c r="H700">
        <v>1319.6877440999999</v>
      </c>
      <c r="I700">
        <v>1340.7327881000001</v>
      </c>
      <c r="J700">
        <v>1337.3520507999999</v>
      </c>
      <c r="K700">
        <v>0</v>
      </c>
      <c r="L700">
        <v>1650</v>
      </c>
      <c r="M700">
        <v>1650</v>
      </c>
      <c r="N700">
        <v>0</v>
      </c>
    </row>
    <row r="701" spans="1:14" x14ac:dyDescent="0.25">
      <c r="A701">
        <v>365</v>
      </c>
      <c r="B701" s="1">
        <f>DATE(2011,5,1) + TIME(0,0,0)</f>
        <v>40664</v>
      </c>
      <c r="C701">
        <v>80</v>
      </c>
      <c r="D701">
        <v>60.011680603000002</v>
      </c>
      <c r="E701">
        <v>40</v>
      </c>
      <c r="F701">
        <v>39.958858489999997</v>
      </c>
      <c r="G701">
        <v>1323.0363769999999</v>
      </c>
      <c r="H701">
        <v>1319.5847168</v>
      </c>
      <c r="I701">
        <v>1340.7244873</v>
      </c>
      <c r="J701">
        <v>1337.3469238</v>
      </c>
      <c r="K701">
        <v>0</v>
      </c>
      <c r="L701">
        <v>1650</v>
      </c>
      <c r="M701">
        <v>1650</v>
      </c>
      <c r="N701">
        <v>0</v>
      </c>
    </row>
    <row r="702" spans="1:14" x14ac:dyDescent="0.25">
      <c r="A702">
        <v>365.000001</v>
      </c>
      <c r="B702" s="1">
        <f>DATE(2011,5,1) + TIME(0,0,0)</f>
        <v>40664</v>
      </c>
      <c r="C702">
        <v>80</v>
      </c>
      <c r="D702">
        <v>60.011810302999997</v>
      </c>
      <c r="E702">
        <v>40</v>
      </c>
      <c r="F702">
        <v>39.958793640000003</v>
      </c>
      <c r="G702">
        <v>1327.4243164</v>
      </c>
      <c r="H702">
        <v>1323.8304443</v>
      </c>
      <c r="I702">
        <v>1336.8160399999999</v>
      </c>
      <c r="J702">
        <v>1333.9285889</v>
      </c>
      <c r="K702">
        <v>1650</v>
      </c>
      <c r="L702">
        <v>0</v>
      </c>
      <c r="M702">
        <v>0</v>
      </c>
      <c r="N702">
        <v>1650</v>
      </c>
    </row>
    <row r="703" spans="1:14" x14ac:dyDescent="0.25">
      <c r="A703">
        <v>365.00000399999999</v>
      </c>
      <c r="B703" s="1">
        <f>DATE(2011,5,1) + TIME(0,0,0)</f>
        <v>40664</v>
      </c>
      <c r="C703">
        <v>80</v>
      </c>
      <c r="D703">
        <v>60.012073516999997</v>
      </c>
      <c r="E703">
        <v>40</v>
      </c>
      <c r="F703">
        <v>39.958660125999998</v>
      </c>
      <c r="G703">
        <v>1328.6234131000001</v>
      </c>
      <c r="H703">
        <v>1325.2573242000001</v>
      </c>
      <c r="I703">
        <v>1335.7229004000001</v>
      </c>
      <c r="J703">
        <v>1332.8352050999999</v>
      </c>
      <c r="K703">
        <v>1650</v>
      </c>
      <c r="L703">
        <v>0</v>
      </c>
      <c r="M703">
        <v>0</v>
      </c>
      <c r="N703">
        <v>1650</v>
      </c>
    </row>
    <row r="704" spans="1:14" x14ac:dyDescent="0.25">
      <c r="A704">
        <v>365.00001300000002</v>
      </c>
      <c r="B704" s="1">
        <f>DATE(2011,5,1) + TIME(0,0,1)</f>
        <v>40664.000011574077</v>
      </c>
      <c r="C704">
        <v>80</v>
      </c>
      <c r="D704">
        <v>60.012538910000004</v>
      </c>
      <c r="E704">
        <v>40</v>
      </c>
      <c r="F704">
        <v>39.958465576000002</v>
      </c>
      <c r="G704">
        <v>1330.4414062000001</v>
      </c>
      <c r="H704">
        <v>1327.1334228999999</v>
      </c>
      <c r="I704">
        <v>1334.0947266000001</v>
      </c>
      <c r="J704">
        <v>1331.2076416</v>
      </c>
      <c r="K704">
        <v>1650</v>
      </c>
      <c r="L704">
        <v>0</v>
      </c>
      <c r="M704">
        <v>0</v>
      </c>
      <c r="N704">
        <v>1650</v>
      </c>
    </row>
    <row r="705" spans="1:14" x14ac:dyDescent="0.25">
      <c r="A705">
        <v>365.00004000000001</v>
      </c>
      <c r="B705" s="1">
        <f>DATE(2011,5,1) + TIME(0,0,3)</f>
        <v>40664.000034722223</v>
      </c>
      <c r="C705">
        <v>80</v>
      </c>
      <c r="D705">
        <v>60.013473511000001</v>
      </c>
      <c r="E705">
        <v>40</v>
      </c>
      <c r="F705">
        <v>39.958244323999999</v>
      </c>
      <c r="G705">
        <v>1332.5421143000001</v>
      </c>
      <c r="H705">
        <v>1329.15625</v>
      </c>
      <c r="I705">
        <v>1332.2761230000001</v>
      </c>
      <c r="J705">
        <v>1329.3908690999999</v>
      </c>
      <c r="K705">
        <v>1650</v>
      </c>
      <c r="L705">
        <v>0</v>
      </c>
      <c r="M705">
        <v>0</v>
      </c>
      <c r="N705">
        <v>1650</v>
      </c>
    </row>
    <row r="706" spans="1:14" x14ac:dyDescent="0.25">
      <c r="A706">
        <v>365.00012099999998</v>
      </c>
      <c r="B706" s="1">
        <f>DATE(2011,5,1) + TIME(0,0,10)</f>
        <v>40664.000115740739</v>
      </c>
      <c r="C706">
        <v>80</v>
      </c>
      <c r="D706">
        <v>60.015811919999997</v>
      </c>
      <c r="E706">
        <v>40</v>
      </c>
      <c r="F706">
        <v>39.958019256999997</v>
      </c>
      <c r="G706">
        <v>1334.6750488</v>
      </c>
      <c r="H706">
        <v>1331.1992187999999</v>
      </c>
      <c r="I706">
        <v>1330.4610596</v>
      </c>
      <c r="J706">
        <v>1327.5777588000001</v>
      </c>
      <c r="K706">
        <v>1650</v>
      </c>
      <c r="L706">
        <v>0</v>
      </c>
      <c r="M706">
        <v>0</v>
      </c>
      <c r="N706">
        <v>1650</v>
      </c>
    </row>
    <row r="707" spans="1:14" x14ac:dyDescent="0.25">
      <c r="A707">
        <v>365.00036399999999</v>
      </c>
      <c r="B707" s="1">
        <f>DATE(2011,5,1) + TIME(0,0,31)</f>
        <v>40664.000358796293</v>
      </c>
      <c r="C707">
        <v>80</v>
      </c>
      <c r="D707">
        <v>60.022426605</v>
      </c>
      <c r="E707">
        <v>40</v>
      </c>
      <c r="F707">
        <v>39.957771301000001</v>
      </c>
      <c r="G707">
        <v>1336.8101807</v>
      </c>
      <c r="H707">
        <v>1333.2508545000001</v>
      </c>
      <c r="I707">
        <v>1328.6452637</v>
      </c>
      <c r="J707">
        <v>1325.7563477000001</v>
      </c>
      <c r="K707">
        <v>1650</v>
      </c>
      <c r="L707">
        <v>0</v>
      </c>
      <c r="M707">
        <v>0</v>
      </c>
      <c r="N707">
        <v>1650</v>
      </c>
    </row>
    <row r="708" spans="1:14" x14ac:dyDescent="0.25">
      <c r="A708">
        <v>365.00109300000003</v>
      </c>
      <c r="B708" s="1">
        <f>DATE(2011,5,1) + TIME(0,1,34)</f>
        <v>40664.001087962963</v>
      </c>
      <c r="C708">
        <v>80</v>
      </c>
      <c r="D708">
        <v>60.042129516999999</v>
      </c>
      <c r="E708">
        <v>40</v>
      </c>
      <c r="F708">
        <v>39.957458496000001</v>
      </c>
      <c r="G708">
        <v>1338.8764647999999</v>
      </c>
      <c r="H708">
        <v>1335.2397461</v>
      </c>
      <c r="I708">
        <v>1326.8291016000001</v>
      </c>
      <c r="J708">
        <v>1323.9134521000001</v>
      </c>
      <c r="K708">
        <v>1650</v>
      </c>
      <c r="L708">
        <v>0</v>
      </c>
      <c r="M708">
        <v>0</v>
      </c>
      <c r="N708">
        <v>1650</v>
      </c>
    </row>
    <row r="709" spans="1:14" x14ac:dyDescent="0.25">
      <c r="A709">
        <v>365.00328000000002</v>
      </c>
      <c r="B709" s="1">
        <f>DATE(2011,5,1) + TIME(0,4,43)</f>
        <v>40664.003275462965</v>
      </c>
      <c r="C709">
        <v>80</v>
      </c>
      <c r="D709">
        <v>60.101406097000002</v>
      </c>
      <c r="E709">
        <v>40</v>
      </c>
      <c r="F709">
        <v>39.956985474</v>
      </c>
      <c r="G709">
        <v>1340.5682373</v>
      </c>
      <c r="H709">
        <v>1336.8774414</v>
      </c>
      <c r="I709">
        <v>1325.2320557</v>
      </c>
      <c r="J709">
        <v>1322.2840576000001</v>
      </c>
      <c r="K709">
        <v>1650</v>
      </c>
      <c r="L709">
        <v>0</v>
      </c>
      <c r="M709">
        <v>0</v>
      </c>
      <c r="N709">
        <v>1650</v>
      </c>
    </row>
    <row r="710" spans="1:14" x14ac:dyDescent="0.25">
      <c r="A710">
        <v>365.00984099999999</v>
      </c>
      <c r="B710" s="1">
        <f>DATE(2011,5,1) + TIME(0,14,10)</f>
        <v>40664.009837962964</v>
      </c>
      <c r="C710">
        <v>80</v>
      </c>
      <c r="D710">
        <v>60.278297424000002</v>
      </c>
      <c r="E710">
        <v>40</v>
      </c>
      <c r="F710">
        <v>39.956024169999999</v>
      </c>
      <c r="G710">
        <v>1341.5792236</v>
      </c>
      <c r="H710">
        <v>1337.8739014</v>
      </c>
      <c r="I710">
        <v>1324.2504882999999</v>
      </c>
      <c r="J710">
        <v>1321.2852783000001</v>
      </c>
      <c r="K710">
        <v>1650</v>
      </c>
      <c r="L710">
        <v>0</v>
      </c>
      <c r="M710">
        <v>0</v>
      </c>
      <c r="N710">
        <v>1650</v>
      </c>
    </row>
    <row r="711" spans="1:14" x14ac:dyDescent="0.25">
      <c r="A711">
        <v>365.02952399999998</v>
      </c>
      <c r="B711" s="1">
        <f>DATE(2011,5,1) + TIME(0,42,30)</f>
        <v>40664.029513888891</v>
      </c>
      <c r="C711">
        <v>80</v>
      </c>
      <c r="D711">
        <v>60.794776917</v>
      </c>
      <c r="E711">
        <v>40</v>
      </c>
      <c r="F711">
        <v>39.953483581999997</v>
      </c>
      <c r="G711">
        <v>1341.9178466999999</v>
      </c>
      <c r="H711">
        <v>1338.2398682</v>
      </c>
      <c r="I711">
        <v>1323.9510498</v>
      </c>
      <c r="J711">
        <v>1320.9810791</v>
      </c>
      <c r="K711">
        <v>1650</v>
      </c>
      <c r="L711">
        <v>0</v>
      </c>
      <c r="M711">
        <v>0</v>
      </c>
      <c r="N711">
        <v>1650</v>
      </c>
    </row>
    <row r="712" spans="1:14" x14ac:dyDescent="0.25">
      <c r="A712">
        <v>365.05639200000002</v>
      </c>
      <c r="B712" s="1">
        <f>DATE(2011,5,1) + TIME(1,21,12)</f>
        <v>40664.056388888886</v>
      </c>
      <c r="C712">
        <v>80</v>
      </c>
      <c r="D712">
        <v>61.475288390999999</v>
      </c>
      <c r="E712">
        <v>40</v>
      </c>
      <c r="F712">
        <v>39.950099944999998</v>
      </c>
      <c r="G712">
        <v>1341.9387207</v>
      </c>
      <c r="H712">
        <v>1338.2946777</v>
      </c>
      <c r="I712">
        <v>1323.9248047000001</v>
      </c>
      <c r="J712">
        <v>1320.9541016000001</v>
      </c>
      <c r="K712">
        <v>1650</v>
      </c>
      <c r="L712">
        <v>0</v>
      </c>
      <c r="M712">
        <v>0</v>
      </c>
      <c r="N712">
        <v>1650</v>
      </c>
    </row>
    <row r="713" spans="1:14" x14ac:dyDescent="0.25">
      <c r="A713">
        <v>365.08381200000002</v>
      </c>
      <c r="B713" s="1">
        <f>DATE(2011,5,1) + TIME(2,0,41)</f>
        <v>40664.083807870367</v>
      </c>
      <c r="C713">
        <v>80</v>
      </c>
      <c r="D713">
        <v>62.146270752</v>
      </c>
      <c r="E713">
        <v>40</v>
      </c>
      <c r="F713">
        <v>39.946670531999999</v>
      </c>
      <c r="G713">
        <v>1341.9172363</v>
      </c>
      <c r="H713">
        <v>1338.3000488</v>
      </c>
      <c r="I713">
        <v>1323.9257812000001</v>
      </c>
      <c r="J713">
        <v>1320.9549560999999</v>
      </c>
      <c r="K713">
        <v>1650</v>
      </c>
      <c r="L713">
        <v>0</v>
      </c>
      <c r="M713">
        <v>0</v>
      </c>
      <c r="N713">
        <v>1650</v>
      </c>
    </row>
    <row r="714" spans="1:14" x14ac:dyDescent="0.25">
      <c r="A714">
        <v>365.111805</v>
      </c>
      <c r="B714" s="1">
        <f>DATE(2011,5,1) + TIME(2,40,59)</f>
        <v>40664.111793981479</v>
      </c>
      <c r="C714">
        <v>80</v>
      </c>
      <c r="D714">
        <v>62.807666779000002</v>
      </c>
      <c r="E714">
        <v>40</v>
      </c>
      <c r="F714">
        <v>39.943195342999999</v>
      </c>
      <c r="G714">
        <v>1341.8897704999999</v>
      </c>
      <c r="H714">
        <v>1338.2978516000001</v>
      </c>
      <c r="I714">
        <v>1323.9268798999999</v>
      </c>
      <c r="J714">
        <v>1320.9559326000001</v>
      </c>
      <c r="K714">
        <v>1650</v>
      </c>
      <c r="L714">
        <v>0</v>
      </c>
      <c r="M714">
        <v>0</v>
      </c>
      <c r="N714">
        <v>1650</v>
      </c>
    </row>
    <row r="715" spans="1:14" x14ac:dyDescent="0.25">
      <c r="A715">
        <v>365.14039700000001</v>
      </c>
      <c r="B715" s="1">
        <f>DATE(2011,5,1) + TIME(3,22,10)</f>
        <v>40664.140393518515</v>
      </c>
      <c r="C715">
        <v>80</v>
      </c>
      <c r="D715">
        <v>63.459480286000002</v>
      </c>
      <c r="E715">
        <v>40</v>
      </c>
      <c r="F715">
        <v>39.939670563</v>
      </c>
      <c r="G715">
        <v>1341.8638916</v>
      </c>
      <c r="H715">
        <v>1338.2955322</v>
      </c>
      <c r="I715">
        <v>1323.9274902</v>
      </c>
      <c r="J715">
        <v>1320.9562988</v>
      </c>
      <c r="K715">
        <v>1650</v>
      </c>
      <c r="L715">
        <v>0</v>
      </c>
      <c r="M715">
        <v>0</v>
      </c>
      <c r="N715">
        <v>1650</v>
      </c>
    </row>
    <row r="716" spans="1:14" x14ac:dyDescent="0.25">
      <c r="A716">
        <v>365.16961500000002</v>
      </c>
      <c r="B716" s="1">
        <f>DATE(2011,5,1) + TIME(4,4,14)</f>
        <v>40664.169606481482</v>
      </c>
      <c r="C716">
        <v>80</v>
      </c>
      <c r="D716">
        <v>64.101669311999999</v>
      </c>
      <c r="E716">
        <v>40</v>
      </c>
      <c r="F716">
        <v>39.936092377000001</v>
      </c>
      <c r="G716">
        <v>1341.8409423999999</v>
      </c>
      <c r="H716">
        <v>1338.2945557</v>
      </c>
      <c r="I716">
        <v>1323.9277344</v>
      </c>
      <c r="J716">
        <v>1320.9564209</v>
      </c>
      <c r="K716">
        <v>1650</v>
      </c>
      <c r="L716">
        <v>0</v>
      </c>
      <c r="M716">
        <v>0</v>
      </c>
      <c r="N716">
        <v>1650</v>
      </c>
    </row>
    <row r="717" spans="1:14" x14ac:dyDescent="0.25">
      <c r="A717">
        <v>365.199456</v>
      </c>
      <c r="B717" s="1">
        <f>DATE(2011,5,1) + TIME(4,47,12)</f>
        <v>40664.199444444443</v>
      </c>
      <c r="C717">
        <v>80</v>
      </c>
      <c r="D717">
        <v>64.733520507999998</v>
      </c>
      <c r="E717">
        <v>40</v>
      </c>
      <c r="F717">
        <v>39.932468413999999</v>
      </c>
      <c r="G717">
        <v>1341.8210449000001</v>
      </c>
      <c r="H717">
        <v>1338.2950439000001</v>
      </c>
      <c r="I717">
        <v>1323.9279785000001</v>
      </c>
      <c r="J717">
        <v>1320.956543</v>
      </c>
      <c r="K717">
        <v>1650</v>
      </c>
      <c r="L717">
        <v>0</v>
      </c>
      <c r="M717">
        <v>0</v>
      </c>
      <c r="N717">
        <v>1650</v>
      </c>
    </row>
    <row r="718" spans="1:14" x14ac:dyDescent="0.25">
      <c r="A718">
        <v>365.22987799999999</v>
      </c>
      <c r="B718" s="1">
        <f>DATE(2011,5,1) + TIME(5,31,1)</f>
        <v>40664.229872685188</v>
      </c>
      <c r="C718">
        <v>80</v>
      </c>
      <c r="D718">
        <v>65.353713988999999</v>
      </c>
      <c r="E718">
        <v>40</v>
      </c>
      <c r="F718">
        <v>39.928798676</v>
      </c>
      <c r="G718">
        <v>1341.8044434000001</v>
      </c>
      <c r="H718">
        <v>1338.2971190999999</v>
      </c>
      <c r="I718">
        <v>1323.9282227000001</v>
      </c>
      <c r="J718">
        <v>1320.956543</v>
      </c>
      <c r="K718">
        <v>1650</v>
      </c>
      <c r="L718">
        <v>0</v>
      </c>
      <c r="M718">
        <v>0</v>
      </c>
      <c r="N718">
        <v>1650</v>
      </c>
    </row>
    <row r="719" spans="1:14" x14ac:dyDescent="0.25">
      <c r="A719">
        <v>365.26090699999997</v>
      </c>
      <c r="B719" s="1">
        <f>DATE(2011,5,1) + TIME(6,15,42)</f>
        <v>40664.26090277778</v>
      </c>
      <c r="C719">
        <v>80</v>
      </c>
      <c r="D719">
        <v>65.962272643999995</v>
      </c>
      <c r="E719">
        <v>40</v>
      </c>
      <c r="F719">
        <v>39.92508316</v>
      </c>
      <c r="G719">
        <v>1341.7907714999999</v>
      </c>
      <c r="H719">
        <v>1338.3007812000001</v>
      </c>
      <c r="I719">
        <v>1323.9284668</v>
      </c>
      <c r="J719">
        <v>1320.9566649999999</v>
      </c>
      <c r="K719">
        <v>1650</v>
      </c>
      <c r="L719">
        <v>0</v>
      </c>
      <c r="M719">
        <v>0</v>
      </c>
      <c r="N719">
        <v>1650</v>
      </c>
    </row>
    <row r="720" spans="1:14" x14ac:dyDescent="0.25">
      <c r="A720">
        <v>365.29257200000001</v>
      </c>
      <c r="B720" s="1">
        <f>DATE(2011,5,1) + TIME(7,1,18)</f>
        <v>40664.292569444442</v>
      </c>
      <c r="C720">
        <v>80</v>
      </c>
      <c r="D720">
        <v>66.559112549000005</v>
      </c>
      <c r="E720">
        <v>40</v>
      </c>
      <c r="F720">
        <v>39.921318053999997</v>
      </c>
      <c r="G720">
        <v>1341.7800293</v>
      </c>
      <c r="H720">
        <v>1338.3057861</v>
      </c>
      <c r="I720">
        <v>1323.9285889</v>
      </c>
      <c r="J720">
        <v>1320.9566649999999</v>
      </c>
      <c r="K720">
        <v>1650</v>
      </c>
      <c r="L720">
        <v>0</v>
      </c>
      <c r="M720">
        <v>0</v>
      </c>
      <c r="N720">
        <v>1650</v>
      </c>
    </row>
    <row r="721" spans="1:14" x14ac:dyDescent="0.25">
      <c r="A721">
        <v>365.32490200000001</v>
      </c>
      <c r="B721" s="1">
        <f>DATE(2011,5,1) + TIME(7,47,51)</f>
        <v>40664.324895833335</v>
      </c>
      <c r="C721">
        <v>80</v>
      </c>
      <c r="D721">
        <v>67.144226074000002</v>
      </c>
      <c r="E721">
        <v>40</v>
      </c>
      <c r="F721">
        <v>39.917503357000001</v>
      </c>
      <c r="G721">
        <v>1341.7718506000001</v>
      </c>
      <c r="H721">
        <v>1338.3120117000001</v>
      </c>
      <c r="I721">
        <v>1323.9288329999999</v>
      </c>
      <c r="J721">
        <v>1320.9566649999999</v>
      </c>
      <c r="K721">
        <v>1650</v>
      </c>
      <c r="L721">
        <v>0</v>
      </c>
      <c r="M721">
        <v>0</v>
      </c>
      <c r="N721">
        <v>1650</v>
      </c>
    </row>
    <row r="722" spans="1:14" x14ac:dyDescent="0.25">
      <c r="A722">
        <v>365.35792800000002</v>
      </c>
      <c r="B722" s="1">
        <f>DATE(2011,5,1) + TIME(8,35,24)</f>
        <v>40664.357916666668</v>
      </c>
      <c r="C722">
        <v>80</v>
      </c>
      <c r="D722">
        <v>67.717575073000006</v>
      </c>
      <c r="E722">
        <v>40</v>
      </c>
      <c r="F722">
        <v>39.913639068999998</v>
      </c>
      <c r="G722">
        <v>1341.7663574000001</v>
      </c>
      <c r="H722">
        <v>1338.3197021000001</v>
      </c>
      <c r="I722">
        <v>1323.9289550999999</v>
      </c>
      <c r="J722">
        <v>1320.956543</v>
      </c>
      <c r="K722">
        <v>1650</v>
      </c>
      <c r="L722">
        <v>0</v>
      </c>
      <c r="M722">
        <v>0</v>
      </c>
      <c r="N722">
        <v>1650</v>
      </c>
    </row>
    <row r="723" spans="1:14" x14ac:dyDescent="0.25">
      <c r="A723">
        <v>365.391682</v>
      </c>
      <c r="B723" s="1">
        <f>DATE(2011,5,1) + TIME(9,24,1)</f>
        <v>40664.39167824074</v>
      </c>
      <c r="C723">
        <v>80</v>
      </c>
      <c r="D723">
        <v>68.279106139999996</v>
      </c>
      <c r="E723">
        <v>40</v>
      </c>
      <c r="F723">
        <v>39.909717559999997</v>
      </c>
      <c r="G723">
        <v>1341.7633057</v>
      </c>
      <c r="H723">
        <v>1338.3286132999999</v>
      </c>
      <c r="I723">
        <v>1323.9291992000001</v>
      </c>
      <c r="J723">
        <v>1320.956543</v>
      </c>
      <c r="K723">
        <v>1650</v>
      </c>
      <c r="L723">
        <v>0</v>
      </c>
      <c r="M723">
        <v>0</v>
      </c>
      <c r="N723">
        <v>1650</v>
      </c>
    </row>
    <row r="724" spans="1:14" x14ac:dyDescent="0.25">
      <c r="A724">
        <v>365.42620099999999</v>
      </c>
      <c r="B724" s="1">
        <f>DATE(2011,5,1) + TIME(10,13,43)</f>
        <v>40664.426192129627</v>
      </c>
      <c r="C724">
        <v>80</v>
      </c>
      <c r="D724">
        <v>68.828742981000005</v>
      </c>
      <c r="E724">
        <v>40</v>
      </c>
      <c r="F724">
        <v>39.905735016000001</v>
      </c>
      <c r="G724">
        <v>1341.7625731999999</v>
      </c>
      <c r="H724">
        <v>1338.3386230000001</v>
      </c>
      <c r="I724">
        <v>1323.9293213000001</v>
      </c>
      <c r="J724">
        <v>1320.956543</v>
      </c>
      <c r="K724">
        <v>1650</v>
      </c>
      <c r="L724">
        <v>0</v>
      </c>
      <c r="M724">
        <v>0</v>
      </c>
      <c r="N724">
        <v>1650</v>
      </c>
    </row>
    <row r="725" spans="1:14" x14ac:dyDescent="0.25">
      <c r="A725">
        <v>365.46151500000002</v>
      </c>
      <c r="B725" s="1">
        <f>DATE(2011,5,1) + TIME(11,4,34)</f>
        <v>40664.461504629631</v>
      </c>
      <c r="C725">
        <v>80</v>
      </c>
      <c r="D725">
        <v>69.366287231000001</v>
      </c>
      <c r="E725">
        <v>40</v>
      </c>
      <c r="F725">
        <v>39.901695251</v>
      </c>
      <c r="G725">
        <v>1341.7641602000001</v>
      </c>
      <c r="H725">
        <v>1338.3497314000001</v>
      </c>
      <c r="I725">
        <v>1323.9294434000001</v>
      </c>
      <c r="J725">
        <v>1320.9564209</v>
      </c>
      <c r="K725">
        <v>1650</v>
      </c>
      <c r="L725">
        <v>0</v>
      </c>
      <c r="M725">
        <v>0</v>
      </c>
      <c r="N725">
        <v>1650</v>
      </c>
    </row>
    <row r="726" spans="1:14" x14ac:dyDescent="0.25">
      <c r="A726">
        <v>365.49767000000003</v>
      </c>
      <c r="B726" s="1">
        <f>DATE(2011,5,1) + TIME(11,56,38)</f>
        <v>40664.497662037036</v>
      </c>
      <c r="C726">
        <v>80</v>
      </c>
      <c r="D726">
        <v>69.891761779999996</v>
      </c>
      <c r="E726">
        <v>40</v>
      </c>
      <c r="F726">
        <v>39.897590637</v>
      </c>
      <c r="G726">
        <v>1341.7679443</v>
      </c>
      <c r="H726">
        <v>1338.3620605000001</v>
      </c>
      <c r="I726">
        <v>1323.9295654</v>
      </c>
      <c r="J726">
        <v>1320.9562988</v>
      </c>
      <c r="K726">
        <v>1650</v>
      </c>
      <c r="L726">
        <v>0</v>
      </c>
      <c r="M726">
        <v>0</v>
      </c>
      <c r="N726">
        <v>1650</v>
      </c>
    </row>
    <row r="727" spans="1:14" x14ac:dyDescent="0.25">
      <c r="A727">
        <v>365.53471000000002</v>
      </c>
      <c r="B727" s="1">
        <f>DATE(2011,5,1) + TIME(12,49,58)</f>
        <v>40664.534699074073</v>
      </c>
      <c r="C727">
        <v>80</v>
      </c>
      <c r="D727">
        <v>70.404754639000004</v>
      </c>
      <c r="E727">
        <v>40</v>
      </c>
      <c r="F727">
        <v>39.893417358000001</v>
      </c>
      <c r="G727">
        <v>1341.7738036999999</v>
      </c>
      <c r="H727">
        <v>1338.3752440999999</v>
      </c>
      <c r="I727">
        <v>1323.9296875</v>
      </c>
      <c r="J727">
        <v>1320.9561768000001</v>
      </c>
      <c r="K727">
        <v>1650</v>
      </c>
      <c r="L727">
        <v>0</v>
      </c>
      <c r="M727">
        <v>0</v>
      </c>
      <c r="N727">
        <v>1650</v>
      </c>
    </row>
    <row r="728" spans="1:14" x14ac:dyDescent="0.25">
      <c r="A728">
        <v>365.57268299999998</v>
      </c>
      <c r="B728" s="1">
        <f>DATE(2011,5,1) + TIME(13,44,39)</f>
        <v>40664.57267361111</v>
      </c>
      <c r="C728">
        <v>80</v>
      </c>
      <c r="D728">
        <v>70.905372619999994</v>
      </c>
      <c r="E728">
        <v>40</v>
      </c>
      <c r="F728">
        <v>39.889171599999997</v>
      </c>
      <c r="G728">
        <v>1341.7814940999999</v>
      </c>
      <c r="H728">
        <v>1338.3895264</v>
      </c>
      <c r="I728">
        <v>1323.9298096</v>
      </c>
      <c r="J728">
        <v>1320.9560547000001</v>
      </c>
      <c r="K728">
        <v>1650</v>
      </c>
      <c r="L728">
        <v>0</v>
      </c>
      <c r="M728">
        <v>0</v>
      </c>
      <c r="N728">
        <v>1650</v>
      </c>
    </row>
    <row r="729" spans="1:14" x14ac:dyDescent="0.25">
      <c r="A729">
        <v>365.61163800000003</v>
      </c>
      <c r="B729" s="1">
        <f>DATE(2011,5,1) + TIME(14,40,45)</f>
        <v>40664.611631944441</v>
      </c>
      <c r="C729">
        <v>80</v>
      </c>
      <c r="D729">
        <v>71.393547057999996</v>
      </c>
      <c r="E729">
        <v>40</v>
      </c>
      <c r="F729">
        <v>39.884849547999998</v>
      </c>
      <c r="G729">
        <v>1341.7911377</v>
      </c>
      <c r="H729">
        <v>1338.4045410000001</v>
      </c>
      <c r="I729">
        <v>1323.9299315999999</v>
      </c>
      <c r="J729">
        <v>1320.9559326000001</v>
      </c>
      <c r="K729">
        <v>1650</v>
      </c>
      <c r="L729">
        <v>0</v>
      </c>
      <c r="M729">
        <v>0</v>
      </c>
      <c r="N729">
        <v>1650</v>
      </c>
    </row>
    <row r="730" spans="1:14" x14ac:dyDescent="0.25">
      <c r="A730">
        <v>365.65163000000001</v>
      </c>
      <c r="B730" s="1">
        <f>DATE(2011,5,1) + TIME(15,38,20)</f>
        <v>40664.651620370372</v>
      </c>
      <c r="C730">
        <v>80</v>
      </c>
      <c r="D730">
        <v>71.869163513000004</v>
      </c>
      <c r="E730">
        <v>40</v>
      </c>
      <c r="F730">
        <v>39.880451202000003</v>
      </c>
      <c r="G730">
        <v>1341.8024902</v>
      </c>
      <c r="H730">
        <v>1338.4205322</v>
      </c>
      <c r="I730">
        <v>1323.9299315999999</v>
      </c>
      <c r="J730">
        <v>1320.9556885</v>
      </c>
      <c r="K730">
        <v>1650</v>
      </c>
      <c r="L730">
        <v>0</v>
      </c>
      <c r="M730">
        <v>0</v>
      </c>
      <c r="N730">
        <v>1650</v>
      </c>
    </row>
    <row r="731" spans="1:14" x14ac:dyDescent="0.25">
      <c r="A731">
        <v>365.69271700000002</v>
      </c>
      <c r="B731" s="1">
        <f>DATE(2011,5,1) + TIME(16,37,30)</f>
        <v>40664.692708333336</v>
      </c>
      <c r="C731">
        <v>80</v>
      </c>
      <c r="D731">
        <v>72.332069396999998</v>
      </c>
      <c r="E731">
        <v>40</v>
      </c>
      <c r="F731">
        <v>39.875968933000003</v>
      </c>
      <c r="G731">
        <v>1341.8155518000001</v>
      </c>
      <c r="H731">
        <v>1338.4373779</v>
      </c>
      <c r="I731">
        <v>1323.9300536999999</v>
      </c>
      <c r="J731">
        <v>1320.9555664</v>
      </c>
      <c r="K731">
        <v>1650</v>
      </c>
      <c r="L731">
        <v>0</v>
      </c>
      <c r="M731">
        <v>0</v>
      </c>
      <c r="N731">
        <v>1650</v>
      </c>
    </row>
    <row r="732" spans="1:14" x14ac:dyDescent="0.25">
      <c r="A732">
        <v>365.73496399999999</v>
      </c>
      <c r="B732" s="1">
        <f>DATE(2011,5,1) + TIME(17,38,20)</f>
        <v>40664.734953703701</v>
      </c>
      <c r="C732">
        <v>80</v>
      </c>
      <c r="D732">
        <v>72.782127380000006</v>
      </c>
      <c r="E732">
        <v>40</v>
      </c>
      <c r="F732">
        <v>39.871395110999998</v>
      </c>
      <c r="G732">
        <v>1341.8303223</v>
      </c>
      <c r="H732">
        <v>1338.4548339999999</v>
      </c>
      <c r="I732">
        <v>1323.9301757999999</v>
      </c>
      <c r="J732">
        <v>1320.9553223</v>
      </c>
      <c r="K732">
        <v>1650</v>
      </c>
      <c r="L732">
        <v>0</v>
      </c>
      <c r="M732">
        <v>0</v>
      </c>
      <c r="N732">
        <v>1650</v>
      </c>
    </row>
    <row r="733" spans="1:14" x14ac:dyDescent="0.25">
      <c r="A733">
        <v>365.778412</v>
      </c>
      <c r="B733" s="1">
        <f>DATE(2011,5,1) + TIME(18,40,54)</f>
        <v>40664.778402777774</v>
      </c>
      <c r="C733">
        <v>80</v>
      </c>
      <c r="D733">
        <v>73.218933105000005</v>
      </c>
      <c r="E733">
        <v>40</v>
      </c>
      <c r="F733">
        <v>39.866733551000003</v>
      </c>
      <c r="G733">
        <v>1341.8464355000001</v>
      </c>
      <c r="H733">
        <v>1338.4731445</v>
      </c>
      <c r="I733">
        <v>1323.9301757999999</v>
      </c>
      <c r="J733">
        <v>1320.9550781</v>
      </c>
      <c r="K733">
        <v>1650</v>
      </c>
      <c r="L733">
        <v>0</v>
      </c>
      <c r="M733">
        <v>0</v>
      </c>
      <c r="N733">
        <v>1650</v>
      </c>
    </row>
    <row r="734" spans="1:14" x14ac:dyDescent="0.25">
      <c r="A734">
        <v>365.82306699999998</v>
      </c>
      <c r="B734" s="1">
        <f>DATE(2011,5,1) + TIME(19,45,12)</f>
        <v>40664.823055555556</v>
      </c>
      <c r="C734">
        <v>80</v>
      </c>
      <c r="D734">
        <v>73.641754149999997</v>
      </c>
      <c r="E734">
        <v>40</v>
      </c>
      <c r="F734">
        <v>39.861980438000003</v>
      </c>
      <c r="G734">
        <v>1341.8641356999999</v>
      </c>
      <c r="H734">
        <v>1338.4920654</v>
      </c>
      <c r="I734">
        <v>1323.9302978999999</v>
      </c>
      <c r="J734">
        <v>1320.9549560999999</v>
      </c>
      <c r="K734">
        <v>1650</v>
      </c>
      <c r="L734">
        <v>0</v>
      </c>
      <c r="M734">
        <v>0</v>
      </c>
      <c r="N734">
        <v>1650</v>
      </c>
    </row>
    <row r="735" spans="1:14" x14ac:dyDescent="0.25">
      <c r="A735">
        <v>365.86899499999998</v>
      </c>
      <c r="B735" s="1">
        <f>DATE(2011,5,1) + TIME(20,51,21)</f>
        <v>40664.868993055556</v>
      </c>
      <c r="C735">
        <v>80</v>
      </c>
      <c r="D735">
        <v>74.050476074000002</v>
      </c>
      <c r="E735">
        <v>40</v>
      </c>
      <c r="F735">
        <v>39.857131957999997</v>
      </c>
      <c r="G735">
        <v>1341.8830565999999</v>
      </c>
      <c r="H735">
        <v>1338.5114745999999</v>
      </c>
      <c r="I735">
        <v>1323.9302978999999</v>
      </c>
      <c r="J735">
        <v>1320.9547118999999</v>
      </c>
      <c r="K735">
        <v>1650</v>
      </c>
      <c r="L735">
        <v>0</v>
      </c>
      <c r="M735">
        <v>0</v>
      </c>
      <c r="N735">
        <v>1650</v>
      </c>
    </row>
    <row r="736" spans="1:14" x14ac:dyDescent="0.25">
      <c r="A736">
        <v>365.91627099999999</v>
      </c>
      <c r="B736" s="1">
        <f>DATE(2011,5,1) + TIME(21,59,25)</f>
        <v>40664.916261574072</v>
      </c>
      <c r="C736">
        <v>80</v>
      </c>
      <c r="D736">
        <v>74.444976807000003</v>
      </c>
      <c r="E736">
        <v>40</v>
      </c>
      <c r="F736">
        <v>39.852184295999997</v>
      </c>
      <c r="G736">
        <v>1341.9031981999999</v>
      </c>
      <c r="H736">
        <v>1338.5314940999999</v>
      </c>
      <c r="I736">
        <v>1323.9302978999999</v>
      </c>
      <c r="J736">
        <v>1320.9544678</v>
      </c>
      <c r="K736">
        <v>1650</v>
      </c>
      <c r="L736">
        <v>0</v>
      </c>
      <c r="M736">
        <v>0</v>
      </c>
      <c r="N736">
        <v>1650</v>
      </c>
    </row>
    <row r="737" spans="1:14" x14ac:dyDescent="0.25">
      <c r="A737">
        <v>365.96497299999999</v>
      </c>
      <c r="B737" s="1">
        <f>DATE(2011,5,1) + TIME(23,9,33)</f>
        <v>40664.964965277781</v>
      </c>
      <c r="C737">
        <v>80</v>
      </c>
      <c r="D737">
        <v>74.825172424000002</v>
      </c>
      <c r="E737">
        <v>40</v>
      </c>
      <c r="F737">
        <v>39.847129821999999</v>
      </c>
      <c r="G737">
        <v>1341.9244385</v>
      </c>
      <c r="H737">
        <v>1338.5520019999999</v>
      </c>
      <c r="I737">
        <v>1323.9302978999999</v>
      </c>
      <c r="J737">
        <v>1320.9541016000001</v>
      </c>
      <c r="K737">
        <v>1650</v>
      </c>
      <c r="L737">
        <v>0</v>
      </c>
      <c r="M737">
        <v>0</v>
      </c>
      <c r="N737">
        <v>1650</v>
      </c>
    </row>
    <row r="738" spans="1:14" x14ac:dyDescent="0.25">
      <c r="A738">
        <v>366.01518600000003</v>
      </c>
      <c r="B738" s="1">
        <f>DATE(2011,5,2) + TIME(0,21,52)</f>
        <v>40665.015185185184</v>
      </c>
      <c r="C738">
        <v>80</v>
      </c>
      <c r="D738">
        <v>75.190803528000004</v>
      </c>
      <c r="E738">
        <v>40</v>
      </c>
      <c r="F738">
        <v>39.841964722</v>
      </c>
      <c r="G738">
        <v>1341.9466553</v>
      </c>
      <c r="H738">
        <v>1338.5727539</v>
      </c>
      <c r="I738">
        <v>1323.9304199000001</v>
      </c>
      <c r="J738">
        <v>1320.9538574000001</v>
      </c>
      <c r="K738">
        <v>1650</v>
      </c>
      <c r="L738">
        <v>0</v>
      </c>
      <c r="M738">
        <v>0</v>
      </c>
      <c r="N738">
        <v>1650</v>
      </c>
    </row>
    <row r="739" spans="1:14" x14ac:dyDescent="0.25">
      <c r="A739">
        <v>366.06700499999999</v>
      </c>
      <c r="B739" s="1">
        <f>DATE(2011,5,2) + TIME(1,36,29)</f>
        <v>40665.067002314812</v>
      </c>
      <c r="C739">
        <v>80</v>
      </c>
      <c r="D739">
        <v>75.541816710999996</v>
      </c>
      <c r="E739">
        <v>40</v>
      </c>
      <c r="F739">
        <v>39.836681366000001</v>
      </c>
      <c r="G739">
        <v>1341.9697266000001</v>
      </c>
      <c r="H739">
        <v>1338.5938721</v>
      </c>
      <c r="I739">
        <v>1323.9304199000001</v>
      </c>
      <c r="J739">
        <v>1320.9536132999999</v>
      </c>
      <c r="K739">
        <v>1650</v>
      </c>
      <c r="L739">
        <v>0</v>
      </c>
      <c r="M739">
        <v>0</v>
      </c>
      <c r="N739">
        <v>1650</v>
      </c>
    </row>
    <row r="740" spans="1:14" x14ac:dyDescent="0.25">
      <c r="A740">
        <v>366.12053100000003</v>
      </c>
      <c r="B740" s="1">
        <f>DATE(2011,5,2) + TIME(2,53,33)</f>
        <v>40665.120520833334</v>
      </c>
      <c r="C740">
        <v>80</v>
      </c>
      <c r="D740">
        <v>75.878242493000002</v>
      </c>
      <c r="E740">
        <v>40</v>
      </c>
      <c r="F740">
        <v>39.831272124999998</v>
      </c>
      <c r="G740">
        <v>1341.9937743999999</v>
      </c>
      <c r="H740">
        <v>1338.6153564000001</v>
      </c>
      <c r="I740">
        <v>1323.9304199000001</v>
      </c>
      <c r="J740">
        <v>1320.9532471</v>
      </c>
      <c r="K740">
        <v>1650</v>
      </c>
      <c r="L740">
        <v>0</v>
      </c>
      <c r="M740">
        <v>0</v>
      </c>
      <c r="N740">
        <v>1650</v>
      </c>
    </row>
    <row r="741" spans="1:14" x14ac:dyDescent="0.25">
      <c r="A741">
        <v>366.17589400000003</v>
      </c>
      <c r="B741" s="1">
        <f>DATE(2011,5,2) + TIME(4,13,17)</f>
        <v>40665.175891203704</v>
      </c>
      <c r="C741">
        <v>80</v>
      </c>
      <c r="D741">
        <v>76.200149535999998</v>
      </c>
      <c r="E741">
        <v>40</v>
      </c>
      <c r="F741">
        <v>39.825725554999998</v>
      </c>
      <c r="G741">
        <v>1342.0184326000001</v>
      </c>
      <c r="H741">
        <v>1338.6370850000001</v>
      </c>
      <c r="I741">
        <v>1323.9304199000001</v>
      </c>
      <c r="J741">
        <v>1320.9528809000001</v>
      </c>
      <c r="K741">
        <v>1650</v>
      </c>
      <c r="L741">
        <v>0</v>
      </c>
      <c r="M741">
        <v>0</v>
      </c>
      <c r="N741">
        <v>1650</v>
      </c>
    </row>
    <row r="742" spans="1:14" x14ac:dyDescent="0.25">
      <c r="A742">
        <v>366.233205</v>
      </c>
      <c r="B742" s="1">
        <f>DATE(2011,5,2) + TIME(5,35,48)</f>
        <v>40665.233194444445</v>
      </c>
      <c r="C742">
        <v>80</v>
      </c>
      <c r="D742">
        <v>76.507415770999998</v>
      </c>
      <c r="E742">
        <v>40</v>
      </c>
      <c r="F742">
        <v>39.820034026999998</v>
      </c>
      <c r="G742">
        <v>1342.0438231999999</v>
      </c>
      <c r="H742">
        <v>1338.6589355000001</v>
      </c>
      <c r="I742">
        <v>1323.9304199000001</v>
      </c>
      <c r="J742">
        <v>1320.9526367000001</v>
      </c>
      <c r="K742">
        <v>1650</v>
      </c>
      <c r="L742">
        <v>0</v>
      </c>
      <c r="M742">
        <v>0</v>
      </c>
      <c r="N742">
        <v>1650</v>
      </c>
    </row>
    <row r="743" spans="1:14" x14ac:dyDescent="0.25">
      <c r="A743">
        <v>366.29259100000002</v>
      </c>
      <c r="B743" s="1">
        <f>DATE(2011,5,2) + TIME(7,1,19)</f>
        <v>40665.292581018519</v>
      </c>
      <c r="C743">
        <v>80</v>
      </c>
      <c r="D743">
        <v>76.799995421999995</v>
      </c>
      <c r="E743">
        <v>40</v>
      </c>
      <c r="F743">
        <v>39.814189911</v>
      </c>
      <c r="G743">
        <v>1342.0697021000001</v>
      </c>
      <c r="H743">
        <v>1338.6809082</v>
      </c>
      <c r="I743">
        <v>1323.9304199000001</v>
      </c>
      <c r="J743">
        <v>1320.9522704999999</v>
      </c>
      <c r="K743">
        <v>1650</v>
      </c>
      <c r="L743">
        <v>0</v>
      </c>
      <c r="M743">
        <v>0</v>
      </c>
      <c r="N743">
        <v>1650</v>
      </c>
    </row>
    <row r="744" spans="1:14" x14ac:dyDescent="0.25">
      <c r="A744">
        <v>366.35419999999999</v>
      </c>
      <c r="B744" s="1">
        <f>DATE(2011,5,2) + TIME(8,30,2)</f>
        <v>40665.354189814818</v>
      </c>
      <c r="C744">
        <v>80</v>
      </c>
      <c r="D744">
        <v>77.077880859000004</v>
      </c>
      <c r="E744">
        <v>40</v>
      </c>
      <c r="F744">
        <v>39.808185577000003</v>
      </c>
      <c r="G744">
        <v>1342.0961914</v>
      </c>
      <c r="H744">
        <v>1338.7028809000001</v>
      </c>
      <c r="I744">
        <v>1323.9304199000001</v>
      </c>
      <c r="J744">
        <v>1320.9519043</v>
      </c>
      <c r="K744">
        <v>1650</v>
      </c>
      <c r="L744">
        <v>0</v>
      </c>
      <c r="M744">
        <v>0</v>
      </c>
      <c r="N744">
        <v>1650</v>
      </c>
    </row>
    <row r="745" spans="1:14" x14ac:dyDescent="0.25">
      <c r="A745">
        <v>366.41819600000002</v>
      </c>
      <c r="B745" s="1">
        <f>DATE(2011,5,2) + TIME(10,2,12)</f>
        <v>40665.418194444443</v>
      </c>
      <c r="C745">
        <v>80</v>
      </c>
      <c r="D745">
        <v>77.341117858999993</v>
      </c>
      <c r="E745">
        <v>40</v>
      </c>
      <c r="F745">
        <v>39.802005768000001</v>
      </c>
      <c r="G745">
        <v>1342.1229248</v>
      </c>
      <c r="H745">
        <v>1338.7249756000001</v>
      </c>
      <c r="I745">
        <v>1323.9302978999999</v>
      </c>
      <c r="J745">
        <v>1320.9515381000001</v>
      </c>
      <c r="K745">
        <v>1650</v>
      </c>
      <c r="L745">
        <v>0</v>
      </c>
      <c r="M745">
        <v>0</v>
      </c>
      <c r="N745">
        <v>1650</v>
      </c>
    </row>
    <row r="746" spans="1:14" x14ac:dyDescent="0.25">
      <c r="A746">
        <v>366.484758</v>
      </c>
      <c r="B746" s="1">
        <f>DATE(2011,5,2) + TIME(11,38,3)</f>
        <v>40665.484756944446</v>
      </c>
      <c r="C746">
        <v>80</v>
      </c>
      <c r="D746">
        <v>77.589759826999995</v>
      </c>
      <c r="E746">
        <v>40</v>
      </c>
      <c r="F746">
        <v>39.795635222999998</v>
      </c>
      <c r="G746">
        <v>1342.1500243999999</v>
      </c>
      <c r="H746">
        <v>1338.7469481999999</v>
      </c>
      <c r="I746">
        <v>1323.9302978999999</v>
      </c>
      <c r="J746">
        <v>1320.9511719</v>
      </c>
      <c r="K746">
        <v>1650</v>
      </c>
      <c r="L746">
        <v>0</v>
      </c>
      <c r="M746">
        <v>0</v>
      </c>
      <c r="N746">
        <v>1650</v>
      </c>
    </row>
    <row r="747" spans="1:14" x14ac:dyDescent="0.25">
      <c r="A747">
        <v>366.55408999999997</v>
      </c>
      <c r="B747" s="1">
        <f>DATE(2011,5,2) + TIME(13,17,53)</f>
        <v>40665.554085648146</v>
      </c>
      <c r="C747">
        <v>80</v>
      </c>
      <c r="D747">
        <v>77.823890685999999</v>
      </c>
      <c r="E747">
        <v>40</v>
      </c>
      <c r="F747">
        <v>39.789066314999999</v>
      </c>
      <c r="G747">
        <v>1342.1773682</v>
      </c>
      <c r="H747">
        <v>1338.7689209</v>
      </c>
      <c r="I747">
        <v>1323.9302978999999</v>
      </c>
      <c r="J747">
        <v>1320.9506836</v>
      </c>
      <c r="K747">
        <v>1650</v>
      </c>
      <c r="L747">
        <v>0</v>
      </c>
      <c r="M747">
        <v>0</v>
      </c>
      <c r="N747">
        <v>1650</v>
      </c>
    </row>
    <row r="748" spans="1:14" x14ac:dyDescent="0.25">
      <c r="A748">
        <v>366.626417</v>
      </c>
      <c r="B748" s="1">
        <f>DATE(2011,5,2) + TIME(15,2,2)</f>
        <v>40665.62641203704</v>
      </c>
      <c r="C748">
        <v>80</v>
      </c>
      <c r="D748">
        <v>78.043640136999997</v>
      </c>
      <c r="E748">
        <v>40</v>
      </c>
      <c r="F748">
        <v>39.782279967999997</v>
      </c>
      <c r="G748">
        <v>1342.2047118999999</v>
      </c>
      <c r="H748">
        <v>1338.7906493999999</v>
      </c>
      <c r="I748">
        <v>1323.9301757999999</v>
      </c>
      <c r="J748">
        <v>1320.9503173999999</v>
      </c>
      <c r="K748">
        <v>1650</v>
      </c>
      <c r="L748">
        <v>0</v>
      </c>
      <c r="M748">
        <v>0</v>
      </c>
      <c r="N748">
        <v>1650</v>
      </c>
    </row>
    <row r="749" spans="1:14" x14ac:dyDescent="0.25">
      <c r="A749">
        <v>366.70199300000002</v>
      </c>
      <c r="B749" s="1">
        <f>DATE(2011,5,2) + TIME(16,50,52)</f>
        <v>40665.701990740738</v>
      </c>
      <c r="C749">
        <v>80</v>
      </c>
      <c r="D749">
        <v>78.249153136999993</v>
      </c>
      <c r="E749">
        <v>40</v>
      </c>
      <c r="F749">
        <v>39.775260924999998</v>
      </c>
      <c r="G749">
        <v>1342.2321777</v>
      </c>
      <c r="H749">
        <v>1338.8122559000001</v>
      </c>
      <c r="I749">
        <v>1323.9301757999999</v>
      </c>
      <c r="J749">
        <v>1320.9498291</v>
      </c>
      <c r="K749">
        <v>1650</v>
      </c>
      <c r="L749">
        <v>0</v>
      </c>
      <c r="M749">
        <v>0</v>
      </c>
      <c r="N749">
        <v>1650</v>
      </c>
    </row>
    <row r="750" spans="1:14" x14ac:dyDescent="0.25">
      <c r="A750">
        <v>366.78110700000002</v>
      </c>
      <c r="B750" s="1">
        <f>DATE(2011,5,2) + TIME(18,44,47)</f>
        <v>40665.781099537038</v>
      </c>
      <c r="C750">
        <v>80</v>
      </c>
      <c r="D750">
        <v>78.440620421999995</v>
      </c>
      <c r="E750">
        <v>40</v>
      </c>
      <c r="F750">
        <v>39.767982482999997</v>
      </c>
      <c r="G750">
        <v>1342.2596435999999</v>
      </c>
      <c r="H750">
        <v>1338.8336182</v>
      </c>
      <c r="I750">
        <v>1323.9300536999999</v>
      </c>
      <c r="J750">
        <v>1320.9494629000001</v>
      </c>
      <c r="K750">
        <v>1650</v>
      </c>
      <c r="L750">
        <v>0</v>
      </c>
      <c r="M750">
        <v>0</v>
      </c>
      <c r="N750">
        <v>1650</v>
      </c>
    </row>
    <row r="751" spans="1:14" x14ac:dyDescent="0.25">
      <c r="A751">
        <v>366.86410599999999</v>
      </c>
      <c r="B751" s="1">
        <f>DATE(2011,5,2) + TIME(20,44,18)</f>
        <v>40665.86409722222</v>
      </c>
      <c r="C751">
        <v>80</v>
      </c>
      <c r="D751">
        <v>78.618301392000006</v>
      </c>
      <c r="E751">
        <v>40</v>
      </c>
      <c r="F751">
        <v>39.760425568000002</v>
      </c>
      <c r="G751">
        <v>1342.2868652</v>
      </c>
      <c r="H751">
        <v>1338.8546143000001</v>
      </c>
      <c r="I751">
        <v>1323.9300536999999</v>
      </c>
      <c r="J751">
        <v>1320.9489745999999</v>
      </c>
      <c r="K751">
        <v>1650</v>
      </c>
      <c r="L751">
        <v>0</v>
      </c>
      <c r="M751">
        <v>0</v>
      </c>
      <c r="N751">
        <v>1650</v>
      </c>
    </row>
    <row r="752" spans="1:14" x14ac:dyDescent="0.25">
      <c r="A752">
        <v>366.95138900000001</v>
      </c>
      <c r="B752" s="1">
        <f>DATE(2011,5,2) + TIME(22,50,0)</f>
        <v>40665.951388888891</v>
      </c>
      <c r="C752">
        <v>80</v>
      </c>
      <c r="D752">
        <v>78.782501221000004</v>
      </c>
      <c r="E752">
        <v>40</v>
      </c>
      <c r="F752">
        <v>39.752563477000002</v>
      </c>
      <c r="G752">
        <v>1342.3139647999999</v>
      </c>
      <c r="H752">
        <v>1338.8753661999999</v>
      </c>
      <c r="I752">
        <v>1323.9299315999999</v>
      </c>
      <c r="J752">
        <v>1320.9484863</v>
      </c>
      <c r="K752">
        <v>1650</v>
      </c>
      <c r="L752">
        <v>0</v>
      </c>
      <c r="M752">
        <v>0</v>
      </c>
      <c r="N752">
        <v>1650</v>
      </c>
    </row>
    <row r="753" spans="1:14" x14ac:dyDescent="0.25">
      <c r="A753">
        <v>367.04330599999997</v>
      </c>
      <c r="B753" s="1">
        <f>DATE(2011,5,3) + TIME(1,2,21)</f>
        <v>40666.043298611112</v>
      </c>
      <c r="C753">
        <v>80</v>
      </c>
      <c r="D753">
        <v>78.933357239000003</v>
      </c>
      <c r="E753">
        <v>40</v>
      </c>
      <c r="F753">
        <v>39.744373322000001</v>
      </c>
      <c r="G753">
        <v>1342.3406981999999</v>
      </c>
      <c r="H753">
        <v>1338.8956298999999</v>
      </c>
      <c r="I753">
        <v>1323.9298096</v>
      </c>
      <c r="J753">
        <v>1320.9479980000001</v>
      </c>
      <c r="K753">
        <v>1650</v>
      </c>
      <c r="L753">
        <v>0</v>
      </c>
      <c r="M753">
        <v>0</v>
      </c>
      <c r="N753">
        <v>1650</v>
      </c>
    </row>
    <row r="754" spans="1:14" x14ac:dyDescent="0.25">
      <c r="A754">
        <v>367.13998299999997</v>
      </c>
      <c r="B754" s="1">
        <f>DATE(2011,5,3) + TIME(3,21,34)</f>
        <v>40666.139976851853</v>
      </c>
      <c r="C754">
        <v>80</v>
      </c>
      <c r="D754">
        <v>79.070793151999993</v>
      </c>
      <c r="E754">
        <v>40</v>
      </c>
      <c r="F754">
        <v>39.735847473</v>
      </c>
      <c r="G754">
        <v>1342.3670654</v>
      </c>
      <c r="H754">
        <v>1338.9155272999999</v>
      </c>
      <c r="I754">
        <v>1323.9296875</v>
      </c>
      <c r="J754">
        <v>1320.9473877</v>
      </c>
      <c r="K754">
        <v>1650</v>
      </c>
      <c r="L754">
        <v>0</v>
      </c>
      <c r="M754">
        <v>0</v>
      </c>
      <c r="N754">
        <v>1650</v>
      </c>
    </row>
    <row r="755" spans="1:14" x14ac:dyDescent="0.25">
      <c r="A755">
        <v>367.24186800000001</v>
      </c>
      <c r="B755" s="1">
        <f>DATE(2011,5,3) + TIME(5,48,17)</f>
        <v>40666.241863425923</v>
      </c>
      <c r="C755">
        <v>80</v>
      </c>
      <c r="D755">
        <v>79.195259093999994</v>
      </c>
      <c r="E755">
        <v>40</v>
      </c>
      <c r="F755">
        <v>39.726959229000002</v>
      </c>
      <c r="G755">
        <v>1342.3928223</v>
      </c>
      <c r="H755">
        <v>1338.9348144999999</v>
      </c>
      <c r="I755">
        <v>1323.9295654</v>
      </c>
      <c r="J755">
        <v>1320.9468993999999</v>
      </c>
      <c r="K755">
        <v>1650</v>
      </c>
      <c r="L755">
        <v>0</v>
      </c>
      <c r="M755">
        <v>0</v>
      </c>
      <c r="N755">
        <v>1650</v>
      </c>
    </row>
    <row r="756" spans="1:14" x14ac:dyDescent="0.25">
      <c r="A756">
        <v>367.34900199999998</v>
      </c>
      <c r="B756" s="1">
        <f>DATE(2011,5,3) + TIME(8,22,33)</f>
        <v>40666.348993055559</v>
      </c>
      <c r="C756">
        <v>80</v>
      </c>
      <c r="D756">
        <v>79.306854247999993</v>
      </c>
      <c r="E756">
        <v>40</v>
      </c>
      <c r="F756">
        <v>39.717716217000003</v>
      </c>
      <c r="G756">
        <v>1342.4179687999999</v>
      </c>
      <c r="H756">
        <v>1338.9534911999999</v>
      </c>
      <c r="I756">
        <v>1323.9293213000001</v>
      </c>
      <c r="J756">
        <v>1320.9462891000001</v>
      </c>
      <c r="K756">
        <v>1650</v>
      </c>
      <c r="L756">
        <v>0</v>
      </c>
      <c r="M756">
        <v>0</v>
      </c>
      <c r="N756">
        <v>1650</v>
      </c>
    </row>
    <row r="757" spans="1:14" x14ac:dyDescent="0.25">
      <c r="A757">
        <v>367.45713999999998</v>
      </c>
      <c r="B757" s="1">
        <f>DATE(2011,5,3) + TIME(10,58,16)</f>
        <v>40666.457129629627</v>
      </c>
      <c r="C757">
        <v>80</v>
      </c>
      <c r="D757">
        <v>79.402717589999995</v>
      </c>
      <c r="E757">
        <v>40</v>
      </c>
      <c r="F757">
        <v>39.708450317</v>
      </c>
      <c r="G757">
        <v>1342.4428711</v>
      </c>
      <c r="H757">
        <v>1338.9716797000001</v>
      </c>
      <c r="I757">
        <v>1323.9291992000001</v>
      </c>
      <c r="J757">
        <v>1320.9456786999999</v>
      </c>
      <c r="K757">
        <v>1650</v>
      </c>
      <c r="L757">
        <v>0</v>
      </c>
      <c r="M757">
        <v>0</v>
      </c>
      <c r="N757">
        <v>1650</v>
      </c>
    </row>
    <row r="758" spans="1:14" x14ac:dyDescent="0.25">
      <c r="A758">
        <v>367.56671799999998</v>
      </c>
      <c r="B758" s="1">
        <f>DATE(2011,5,3) + TIME(13,36,4)</f>
        <v>40666.566712962966</v>
      </c>
      <c r="C758">
        <v>80</v>
      </c>
      <c r="D758">
        <v>79.485183715999995</v>
      </c>
      <c r="E758">
        <v>40</v>
      </c>
      <c r="F758">
        <v>39.699134827000002</v>
      </c>
      <c r="G758">
        <v>1342.4656981999999</v>
      </c>
      <c r="H758">
        <v>1338.9884033000001</v>
      </c>
      <c r="I758">
        <v>1323.9289550999999</v>
      </c>
      <c r="J758">
        <v>1320.9450684000001</v>
      </c>
      <c r="K758">
        <v>1650</v>
      </c>
      <c r="L758">
        <v>0</v>
      </c>
      <c r="M758">
        <v>0</v>
      </c>
      <c r="N758">
        <v>1650</v>
      </c>
    </row>
    <row r="759" spans="1:14" x14ac:dyDescent="0.25">
      <c r="A759">
        <v>367.67803199999997</v>
      </c>
      <c r="B759" s="1">
        <f>DATE(2011,5,3) + TIME(16,16,22)</f>
        <v>40666.678032407406</v>
      </c>
      <c r="C759">
        <v>80</v>
      </c>
      <c r="D759">
        <v>79.556091308999996</v>
      </c>
      <c r="E759">
        <v>40</v>
      </c>
      <c r="F759">
        <v>39.689743042000003</v>
      </c>
      <c r="G759">
        <v>1342.4866943</v>
      </c>
      <c r="H759">
        <v>1339.0037841999999</v>
      </c>
      <c r="I759">
        <v>1323.9288329999999</v>
      </c>
      <c r="J759">
        <v>1320.9444579999999</v>
      </c>
      <c r="K759">
        <v>1650</v>
      </c>
      <c r="L759">
        <v>0</v>
      </c>
      <c r="M759">
        <v>0</v>
      </c>
      <c r="N759">
        <v>1650</v>
      </c>
    </row>
    <row r="760" spans="1:14" x14ac:dyDescent="0.25">
      <c r="A760">
        <v>367.79139600000002</v>
      </c>
      <c r="B760" s="1">
        <f>DATE(2011,5,3) + TIME(18,59,36)</f>
        <v>40666.791388888887</v>
      </c>
      <c r="C760">
        <v>80</v>
      </c>
      <c r="D760">
        <v>79.617019653</v>
      </c>
      <c r="E760">
        <v>40</v>
      </c>
      <c r="F760">
        <v>39.680252074999999</v>
      </c>
      <c r="G760">
        <v>1342.5058594</v>
      </c>
      <c r="H760">
        <v>1339.0178223</v>
      </c>
      <c r="I760">
        <v>1323.9285889</v>
      </c>
      <c r="J760">
        <v>1320.9438477000001</v>
      </c>
      <c r="K760">
        <v>1650</v>
      </c>
      <c r="L760">
        <v>0</v>
      </c>
      <c r="M760">
        <v>0</v>
      </c>
      <c r="N760">
        <v>1650</v>
      </c>
    </row>
    <row r="761" spans="1:14" x14ac:dyDescent="0.25">
      <c r="A761">
        <v>367.90656899999999</v>
      </c>
      <c r="B761" s="1">
        <f>DATE(2011,5,3) + TIME(21,45,27)</f>
        <v>40666.9065625</v>
      </c>
      <c r="C761">
        <v>80</v>
      </c>
      <c r="D761">
        <v>79.669097899999997</v>
      </c>
      <c r="E761">
        <v>40</v>
      </c>
      <c r="F761">
        <v>39.670677185000002</v>
      </c>
      <c r="G761">
        <v>1342.5235596</v>
      </c>
      <c r="H761">
        <v>1339.0307617000001</v>
      </c>
      <c r="I761">
        <v>1323.9283447</v>
      </c>
      <c r="J761">
        <v>1320.9432373</v>
      </c>
      <c r="K761">
        <v>1650</v>
      </c>
      <c r="L761">
        <v>0</v>
      </c>
      <c r="M761">
        <v>0</v>
      </c>
      <c r="N761">
        <v>1650</v>
      </c>
    </row>
    <row r="762" spans="1:14" x14ac:dyDescent="0.25">
      <c r="A762">
        <v>368.02272099999999</v>
      </c>
      <c r="B762" s="1">
        <f>DATE(2011,5,4) + TIME(0,32,43)</f>
        <v>40667.022719907407</v>
      </c>
      <c r="C762">
        <v>80</v>
      </c>
      <c r="D762">
        <v>79.713226317999997</v>
      </c>
      <c r="E762">
        <v>40</v>
      </c>
      <c r="F762">
        <v>39.661083220999998</v>
      </c>
      <c r="G762">
        <v>1342.5396728999999</v>
      </c>
      <c r="H762">
        <v>1339.0424805</v>
      </c>
      <c r="I762">
        <v>1323.9281006000001</v>
      </c>
      <c r="J762">
        <v>1320.9426269999999</v>
      </c>
      <c r="K762">
        <v>1650</v>
      </c>
      <c r="L762">
        <v>0</v>
      </c>
      <c r="M762">
        <v>0</v>
      </c>
      <c r="N762">
        <v>1650</v>
      </c>
    </row>
    <row r="763" spans="1:14" x14ac:dyDescent="0.25">
      <c r="A763">
        <v>368.14010400000001</v>
      </c>
      <c r="B763" s="1">
        <f>DATE(2011,5,4) + TIME(3,21,44)</f>
        <v>40667.140092592592</v>
      </c>
      <c r="C763">
        <v>80</v>
      </c>
      <c r="D763">
        <v>79.750617981000005</v>
      </c>
      <c r="E763">
        <v>40</v>
      </c>
      <c r="F763">
        <v>39.651451111</v>
      </c>
      <c r="G763">
        <v>1342.5541992000001</v>
      </c>
      <c r="H763">
        <v>1339.0531006000001</v>
      </c>
      <c r="I763">
        <v>1323.9278564000001</v>
      </c>
      <c r="J763">
        <v>1320.9420166</v>
      </c>
      <c r="K763">
        <v>1650</v>
      </c>
      <c r="L763">
        <v>0</v>
      </c>
      <c r="M763">
        <v>0</v>
      </c>
      <c r="N763">
        <v>1650</v>
      </c>
    </row>
    <row r="764" spans="1:14" x14ac:dyDescent="0.25">
      <c r="A764">
        <v>368.25894199999999</v>
      </c>
      <c r="B764" s="1">
        <f>DATE(2011,5,4) + TIME(6,12,52)</f>
        <v>40667.258935185186</v>
      </c>
      <c r="C764">
        <v>80</v>
      </c>
      <c r="D764">
        <v>79.782295227000006</v>
      </c>
      <c r="E764">
        <v>40</v>
      </c>
      <c r="F764">
        <v>39.641757964999996</v>
      </c>
      <c r="G764">
        <v>1342.5671387</v>
      </c>
      <c r="H764">
        <v>1339.0626221</v>
      </c>
      <c r="I764">
        <v>1323.9274902</v>
      </c>
      <c r="J764">
        <v>1320.9414062000001</v>
      </c>
      <c r="K764">
        <v>1650</v>
      </c>
      <c r="L764">
        <v>0</v>
      </c>
      <c r="M764">
        <v>0</v>
      </c>
      <c r="N764">
        <v>1650</v>
      </c>
    </row>
    <row r="765" spans="1:14" x14ac:dyDescent="0.25">
      <c r="A765">
        <v>368.37945999999999</v>
      </c>
      <c r="B765" s="1">
        <f>DATE(2011,5,4) + TIME(9,6,25)</f>
        <v>40667.37945601852</v>
      </c>
      <c r="C765">
        <v>80</v>
      </c>
      <c r="D765">
        <v>79.809112549000005</v>
      </c>
      <c r="E765">
        <v>40</v>
      </c>
      <c r="F765">
        <v>39.631996155000003</v>
      </c>
      <c r="G765">
        <v>1342.5786132999999</v>
      </c>
      <c r="H765">
        <v>1339.0711670000001</v>
      </c>
      <c r="I765">
        <v>1323.9272461</v>
      </c>
      <c r="J765">
        <v>1320.9406738</v>
      </c>
      <c r="K765">
        <v>1650</v>
      </c>
      <c r="L765">
        <v>0</v>
      </c>
      <c r="M765">
        <v>0</v>
      </c>
      <c r="N765">
        <v>1650</v>
      </c>
    </row>
    <row r="766" spans="1:14" x14ac:dyDescent="0.25">
      <c r="A766">
        <v>368.50190500000002</v>
      </c>
      <c r="B766" s="1">
        <f>DATE(2011,5,4) + TIME(12,2,44)</f>
        <v>40667.501898148148</v>
      </c>
      <c r="C766">
        <v>80</v>
      </c>
      <c r="D766">
        <v>79.831802367999998</v>
      </c>
      <c r="E766">
        <v>40</v>
      </c>
      <c r="F766">
        <v>39.622135161999999</v>
      </c>
      <c r="G766">
        <v>1342.5888672000001</v>
      </c>
      <c r="H766">
        <v>1339.0788574000001</v>
      </c>
      <c r="I766">
        <v>1323.9270019999999</v>
      </c>
      <c r="J766">
        <v>1320.9400635</v>
      </c>
      <c r="K766">
        <v>1650</v>
      </c>
      <c r="L766">
        <v>0</v>
      </c>
      <c r="M766">
        <v>0</v>
      </c>
      <c r="N766">
        <v>1650</v>
      </c>
    </row>
    <row r="767" spans="1:14" x14ac:dyDescent="0.25">
      <c r="A767">
        <v>368.62655999999998</v>
      </c>
      <c r="B767" s="1">
        <f>DATE(2011,5,4) + TIME(15,2,14)</f>
        <v>40667.626550925925</v>
      </c>
      <c r="C767">
        <v>80</v>
      </c>
      <c r="D767">
        <v>79.850990295000003</v>
      </c>
      <c r="E767">
        <v>40</v>
      </c>
      <c r="F767">
        <v>39.612167358000001</v>
      </c>
      <c r="G767">
        <v>1342.5977783000001</v>
      </c>
      <c r="H767">
        <v>1339.0855713000001</v>
      </c>
      <c r="I767">
        <v>1323.9266356999999</v>
      </c>
      <c r="J767">
        <v>1320.9394531</v>
      </c>
      <c r="K767">
        <v>1650</v>
      </c>
      <c r="L767">
        <v>0</v>
      </c>
      <c r="M767">
        <v>0</v>
      </c>
      <c r="N767">
        <v>1650</v>
      </c>
    </row>
    <row r="768" spans="1:14" x14ac:dyDescent="0.25">
      <c r="A768">
        <v>368.75364100000002</v>
      </c>
      <c r="B768" s="1">
        <f>DATE(2011,5,4) + TIME(18,5,14)</f>
        <v>40667.753634259258</v>
      </c>
      <c r="C768">
        <v>80</v>
      </c>
      <c r="D768">
        <v>79.8671875</v>
      </c>
      <c r="E768">
        <v>40</v>
      </c>
      <c r="F768">
        <v>39.602066039999997</v>
      </c>
      <c r="G768">
        <v>1342.6055908000001</v>
      </c>
      <c r="H768">
        <v>1339.0915527</v>
      </c>
      <c r="I768">
        <v>1323.9262695</v>
      </c>
      <c r="J768">
        <v>1320.9387207</v>
      </c>
      <c r="K768">
        <v>1650</v>
      </c>
      <c r="L768">
        <v>0</v>
      </c>
      <c r="M768">
        <v>0</v>
      </c>
      <c r="N768">
        <v>1650</v>
      </c>
    </row>
    <row r="769" spans="1:14" x14ac:dyDescent="0.25">
      <c r="A769">
        <v>368.88342699999998</v>
      </c>
      <c r="B769" s="1">
        <f>DATE(2011,5,4) + TIME(21,12,8)</f>
        <v>40667.883425925924</v>
      </c>
      <c r="C769">
        <v>80</v>
      </c>
      <c r="D769">
        <v>79.880836486999996</v>
      </c>
      <c r="E769">
        <v>40</v>
      </c>
      <c r="F769">
        <v>39.591815947999997</v>
      </c>
      <c r="G769">
        <v>1342.6123047000001</v>
      </c>
      <c r="H769">
        <v>1339.0968018000001</v>
      </c>
      <c r="I769">
        <v>1323.9260254000001</v>
      </c>
      <c r="J769">
        <v>1320.9381103999999</v>
      </c>
      <c r="K769">
        <v>1650</v>
      </c>
      <c r="L769">
        <v>0</v>
      </c>
      <c r="M769">
        <v>0</v>
      </c>
      <c r="N769">
        <v>1650</v>
      </c>
    </row>
    <row r="770" spans="1:14" x14ac:dyDescent="0.25">
      <c r="A770">
        <v>369.01621599999999</v>
      </c>
      <c r="B770" s="1">
        <f>DATE(2011,5,5) + TIME(0,23,21)</f>
        <v>40668.016215277778</v>
      </c>
      <c r="C770">
        <v>80</v>
      </c>
      <c r="D770">
        <v>79.892318725999999</v>
      </c>
      <c r="E770">
        <v>40</v>
      </c>
      <c r="F770">
        <v>39.581401825</v>
      </c>
      <c r="G770">
        <v>1342.6180420000001</v>
      </c>
      <c r="H770">
        <v>1339.1014404</v>
      </c>
      <c r="I770">
        <v>1323.9256591999999</v>
      </c>
      <c r="J770">
        <v>1320.9373779</v>
      </c>
      <c r="K770">
        <v>1650</v>
      </c>
      <c r="L770">
        <v>0</v>
      </c>
      <c r="M770">
        <v>0</v>
      </c>
      <c r="N770">
        <v>1650</v>
      </c>
    </row>
    <row r="771" spans="1:14" x14ac:dyDescent="0.25">
      <c r="A771">
        <v>369.15232900000001</v>
      </c>
      <c r="B771" s="1">
        <f>DATE(2011,5,5) + TIME(3,39,21)</f>
        <v>40668.152326388888</v>
      </c>
      <c r="C771">
        <v>80</v>
      </c>
      <c r="D771">
        <v>79.901969910000005</v>
      </c>
      <c r="E771">
        <v>40</v>
      </c>
      <c r="F771">
        <v>39.570793152</v>
      </c>
      <c r="G771">
        <v>1342.6226807</v>
      </c>
      <c r="H771">
        <v>1339.1053466999999</v>
      </c>
      <c r="I771">
        <v>1323.925293</v>
      </c>
      <c r="J771">
        <v>1320.9367675999999</v>
      </c>
      <c r="K771">
        <v>1650</v>
      </c>
      <c r="L771">
        <v>0</v>
      </c>
      <c r="M771">
        <v>0</v>
      </c>
      <c r="N771">
        <v>1650</v>
      </c>
    </row>
    <row r="772" spans="1:14" x14ac:dyDescent="0.25">
      <c r="A772">
        <v>369.29224900000003</v>
      </c>
      <c r="B772" s="1">
        <f>DATE(2011,5,5) + TIME(7,0,50)</f>
        <v>40668.292245370372</v>
      </c>
      <c r="C772">
        <v>80</v>
      </c>
      <c r="D772">
        <v>79.910064696999996</v>
      </c>
      <c r="E772">
        <v>40</v>
      </c>
      <c r="F772">
        <v>39.559963226000001</v>
      </c>
      <c r="G772">
        <v>1342.6264647999999</v>
      </c>
      <c r="H772">
        <v>1339.1086425999999</v>
      </c>
      <c r="I772">
        <v>1323.9249268000001</v>
      </c>
      <c r="J772">
        <v>1320.9360352000001</v>
      </c>
      <c r="K772">
        <v>1650</v>
      </c>
      <c r="L772">
        <v>0</v>
      </c>
      <c r="M772">
        <v>0</v>
      </c>
      <c r="N772">
        <v>1650</v>
      </c>
    </row>
    <row r="773" spans="1:14" x14ac:dyDescent="0.25">
      <c r="A773">
        <v>369.43638299999998</v>
      </c>
      <c r="B773" s="1">
        <f>DATE(2011,5,5) + TIME(10,28,23)</f>
        <v>40668.436377314814</v>
      </c>
      <c r="C773">
        <v>80</v>
      </c>
      <c r="D773">
        <v>79.916831970000004</v>
      </c>
      <c r="E773">
        <v>40</v>
      </c>
      <c r="F773">
        <v>39.548881530999999</v>
      </c>
      <c r="G773">
        <v>1342.6292725000001</v>
      </c>
      <c r="H773">
        <v>1339.1113281</v>
      </c>
      <c r="I773">
        <v>1323.9245605000001</v>
      </c>
      <c r="J773">
        <v>1320.9353027</v>
      </c>
      <c r="K773">
        <v>1650</v>
      </c>
      <c r="L773">
        <v>0</v>
      </c>
      <c r="M773">
        <v>0</v>
      </c>
      <c r="N773">
        <v>1650</v>
      </c>
    </row>
    <row r="774" spans="1:14" x14ac:dyDescent="0.25">
      <c r="A774">
        <v>369.58518900000001</v>
      </c>
      <c r="B774" s="1">
        <f>DATE(2011,5,5) + TIME(14,2,40)</f>
        <v>40668.585185185184</v>
      </c>
      <c r="C774">
        <v>80</v>
      </c>
      <c r="D774">
        <v>79.922485351999995</v>
      </c>
      <c r="E774">
        <v>40</v>
      </c>
      <c r="F774">
        <v>39.537521362</v>
      </c>
      <c r="G774">
        <v>1342.6313477000001</v>
      </c>
      <c r="H774">
        <v>1339.1135254000001</v>
      </c>
      <c r="I774">
        <v>1323.9240723</v>
      </c>
      <c r="J774">
        <v>1320.9344481999999</v>
      </c>
      <c r="K774">
        <v>1650</v>
      </c>
      <c r="L774">
        <v>0</v>
      </c>
      <c r="M774">
        <v>0</v>
      </c>
      <c r="N774">
        <v>1650</v>
      </c>
    </row>
    <row r="775" spans="1:14" x14ac:dyDescent="0.25">
      <c r="A775">
        <v>369.737685</v>
      </c>
      <c r="B775" s="1">
        <f>DATE(2011,5,5) + TIME(17,42,15)</f>
        <v>40668.737673611111</v>
      </c>
      <c r="C775">
        <v>80</v>
      </c>
      <c r="D775">
        <v>79.927154540999993</v>
      </c>
      <c r="E775">
        <v>40</v>
      </c>
      <c r="F775">
        <v>39.525951384999999</v>
      </c>
      <c r="G775">
        <v>1342.6324463000001</v>
      </c>
      <c r="H775">
        <v>1339.1151123</v>
      </c>
      <c r="I775">
        <v>1323.9237060999999</v>
      </c>
      <c r="J775">
        <v>1320.9337158000001</v>
      </c>
      <c r="K775">
        <v>1650</v>
      </c>
      <c r="L775">
        <v>0</v>
      </c>
      <c r="M775">
        <v>0</v>
      </c>
      <c r="N775">
        <v>1650</v>
      </c>
    </row>
    <row r="776" spans="1:14" x14ac:dyDescent="0.25">
      <c r="A776">
        <v>369.89333699999997</v>
      </c>
      <c r="B776" s="1">
        <f>DATE(2011,5,5) + TIME(21,26,24)</f>
        <v>40668.893333333333</v>
      </c>
      <c r="C776">
        <v>80</v>
      </c>
      <c r="D776">
        <v>79.930984496999997</v>
      </c>
      <c r="E776">
        <v>40</v>
      </c>
      <c r="F776">
        <v>39.514209747000002</v>
      </c>
      <c r="G776">
        <v>1342.6329346</v>
      </c>
      <c r="H776">
        <v>1339.1163329999999</v>
      </c>
      <c r="I776">
        <v>1323.9232178</v>
      </c>
      <c r="J776">
        <v>1320.9329834</v>
      </c>
      <c r="K776">
        <v>1650</v>
      </c>
      <c r="L776">
        <v>0</v>
      </c>
      <c r="M776">
        <v>0</v>
      </c>
      <c r="N776">
        <v>1650</v>
      </c>
    </row>
    <row r="777" spans="1:14" x14ac:dyDescent="0.25">
      <c r="A777">
        <v>370.05243999999999</v>
      </c>
      <c r="B777" s="1">
        <f>DATE(2011,5,6) + TIME(1,15,30)</f>
        <v>40669.052430555559</v>
      </c>
      <c r="C777">
        <v>80</v>
      </c>
      <c r="D777">
        <v>79.934127808</v>
      </c>
      <c r="E777">
        <v>40</v>
      </c>
      <c r="F777">
        <v>39.502273559999999</v>
      </c>
      <c r="G777">
        <v>1342.6324463000001</v>
      </c>
      <c r="H777">
        <v>1339.1169434000001</v>
      </c>
      <c r="I777">
        <v>1323.9227295000001</v>
      </c>
      <c r="J777">
        <v>1320.9321289</v>
      </c>
      <c r="K777">
        <v>1650</v>
      </c>
      <c r="L777">
        <v>0</v>
      </c>
      <c r="M777">
        <v>0</v>
      </c>
      <c r="N777">
        <v>1650</v>
      </c>
    </row>
    <row r="778" spans="1:14" x14ac:dyDescent="0.25">
      <c r="A778">
        <v>370.21529399999997</v>
      </c>
      <c r="B778" s="1">
        <f>DATE(2011,5,6) + TIME(5,10,1)</f>
        <v>40669.215289351851</v>
      </c>
      <c r="C778">
        <v>80</v>
      </c>
      <c r="D778">
        <v>79.936698914000004</v>
      </c>
      <c r="E778">
        <v>40</v>
      </c>
      <c r="F778">
        <v>39.490127563000001</v>
      </c>
      <c r="G778">
        <v>1342.6312256000001</v>
      </c>
      <c r="H778">
        <v>1339.1170654</v>
      </c>
      <c r="I778">
        <v>1323.9222411999999</v>
      </c>
      <c r="J778">
        <v>1320.9312743999999</v>
      </c>
      <c r="K778">
        <v>1650</v>
      </c>
      <c r="L778">
        <v>0</v>
      </c>
      <c r="M778">
        <v>0</v>
      </c>
      <c r="N778">
        <v>1650</v>
      </c>
    </row>
    <row r="779" spans="1:14" x14ac:dyDescent="0.25">
      <c r="A779">
        <v>370.382249</v>
      </c>
      <c r="B779" s="1">
        <f>DATE(2011,5,6) + TIME(9,10,26)</f>
        <v>40669.382245370369</v>
      </c>
      <c r="C779">
        <v>80</v>
      </c>
      <c r="D779">
        <v>79.938796996999997</v>
      </c>
      <c r="E779">
        <v>40</v>
      </c>
      <c r="F779">
        <v>39.477748871000003</v>
      </c>
      <c r="G779">
        <v>1342.6293945</v>
      </c>
      <c r="H779">
        <v>1339.1168213000001</v>
      </c>
      <c r="I779">
        <v>1323.9217529</v>
      </c>
      <c r="J779">
        <v>1320.9304199000001</v>
      </c>
      <c r="K779">
        <v>1650</v>
      </c>
      <c r="L779">
        <v>0</v>
      </c>
      <c r="M779">
        <v>0</v>
      </c>
      <c r="N779">
        <v>1650</v>
      </c>
    </row>
    <row r="780" spans="1:14" x14ac:dyDescent="0.25">
      <c r="A780">
        <v>370.55368199999998</v>
      </c>
      <c r="B780" s="1">
        <f>DATE(2011,5,6) + TIME(13,17,18)</f>
        <v>40669.553680555553</v>
      </c>
      <c r="C780">
        <v>80</v>
      </c>
      <c r="D780">
        <v>79.940521239999995</v>
      </c>
      <c r="E780">
        <v>40</v>
      </c>
      <c r="F780">
        <v>39.465114593999999</v>
      </c>
      <c r="G780">
        <v>1342.6267089999999</v>
      </c>
      <c r="H780">
        <v>1339.1160889</v>
      </c>
      <c r="I780">
        <v>1323.9211425999999</v>
      </c>
      <c r="J780">
        <v>1320.9295654</v>
      </c>
      <c r="K780">
        <v>1650</v>
      </c>
      <c r="L780">
        <v>0</v>
      </c>
      <c r="M780">
        <v>0</v>
      </c>
      <c r="N780">
        <v>1650</v>
      </c>
    </row>
    <row r="781" spans="1:14" x14ac:dyDescent="0.25">
      <c r="A781">
        <v>370.73000999999999</v>
      </c>
      <c r="B781" s="1">
        <f>DATE(2011,5,6) + TIME(17,31,12)</f>
        <v>40669.730000000003</v>
      </c>
      <c r="C781">
        <v>80</v>
      </c>
      <c r="D781">
        <v>79.941925049000005</v>
      </c>
      <c r="E781">
        <v>40</v>
      </c>
      <c r="F781">
        <v>39.452198029000002</v>
      </c>
      <c r="G781">
        <v>1342.6235352000001</v>
      </c>
      <c r="H781">
        <v>1339.1149902</v>
      </c>
      <c r="I781">
        <v>1323.9206543</v>
      </c>
      <c r="J781">
        <v>1320.9285889</v>
      </c>
      <c r="K781">
        <v>1650</v>
      </c>
      <c r="L781">
        <v>0</v>
      </c>
      <c r="M781">
        <v>0</v>
      </c>
      <c r="N781">
        <v>1650</v>
      </c>
    </row>
    <row r="782" spans="1:14" x14ac:dyDescent="0.25">
      <c r="A782">
        <v>370.91169300000001</v>
      </c>
      <c r="B782" s="1">
        <f>DATE(2011,5,6) + TIME(21,52,50)</f>
        <v>40669.911689814813</v>
      </c>
      <c r="C782">
        <v>80</v>
      </c>
      <c r="D782">
        <v>79.943069457999997</v>
      </c>
      <c r="E782">
        <v>40</v>
      </c>
      <c r="F782">
        <v>39.438976287999999</v>
      </c>
      <c r="G782">
        <v>1342.619751</v>
      </c>
      <c r="H782">
        <v>1339.1134033000001</v>
      </c>
      <c r="I782">
        <v>1323.9200439000001</v>
      </c>
      <c r="J782">
        <v>1320.9277344</v>
      </c>
      <c r="K782">
        <v>1650</v>
      </c>
      <c r="L782">
        <v>0</v>
      </c>
      <c r="M782">
        <v>0</v>
      </c>
      <c r="N782">
        <v>1650</v>
      </c>
    </row>
    <row r="783" spans="1:14" x14ac:dyDescent="0.25">
      <c r="A783">
        <v>371.09924699999999</v>
      </c>
      <c r="B783" s="1">
        <f>DATE(2011,5,7) + TIME(2,22,54)</f>
        <v>40670.099236111113</v>
      </c>
      <c r="C783">
        <v>80</v>
      </c>
      <c r="D783">
        <v>79.944000243999994</v>
      </c>
      <c r="E783">
        <v>40</v>
      </c>
      <c r="F783">
        <v>39.425415039000001</v>
      </c>
      <c r="G783">
        <v>1342.6153564000001</v>
      </c>
      <c r="H783">
        <v>1339.1115723</v>
      </c>
      <c r="I783">
        <v>1323.9194336</v>
      </c>
      <c r="J783">
        <v>1320.9267577999999</v>
      </c>
      <c r="K783">
        <v>1650</v>
      </c>
      <c r="L783">
        <v>0</v>
      </c>
      <c r="M783">
        <v>0</v>
      </c>
      <c r="N783">
        <v>1650</v>
      </c>
    </row>
    <row r="784" spans="1:14" x14ac:dyDescent="0.25">
      <c r="A784">
        <v>371.29324300000002</v>
      </c>
      <c r="B784" s="1">
        <f>DATE(2011,5,7) + TIME(7,2,16)</f>
        <v>40670.293240740742</v>
      </c>
      <c r="C784">
        <v>80</v>
      </c>
      <c r="D784">
        <v>79.944755553999997</v>
      </c>
      <c r="E784">
        <v>40</v>
      </c>
      <c r="F784">
        <v>39.411483765</v>
      </c>
      <c r="G784">
        <v>1342.6103516000001</v>
      </c>
      <c r="H784">
        <v>1339.1094971</v>
      </c>
      <c r="I784">
        <v>1323.9188231999999</v>
      </c>
      <c r="J784">
        <v>1320.9256591999999</v>
      </c>
      <c r="K784">
        <v>1650</v>
      </c>
      <c r="L784">
        <v>0</v>
      </c>
      <c r="M784">
        <v>0</v>
      </c>
      <c r="N784">
        <v>1650</v>
      </c>
    </row>
    <row r="785" spans="1:14" x14ac:dyDescent="0.25">
      <c r="A785">
        <v>371.49465800000002</v>
      </c>
      <c r="B785" s="1">
        <f>DATE(2011,5,7) + TIME(11,52,18)</f>
        <v>40670.494652777779</v>
      </c>
      <c r="C785">
        <v>80</v>
      </c>
      <c r="D785">
        <v>79.945373535000002</v>
      </c>
      <c r="E785">
        <v>40</v>
      </c>
      <c r="F785">
        <v>39.397121429000002</v>
      </c>
      <c r="G785">
        <v>1342.6047363</v>
      </c>
      <c r="H785">
        <v>1339.1069336</v>
      </c>
      <c r="I785">
        <v>1323.9182129000001</v>
      </c>
      <c r="J785">
        <v>1320.9246826000001</v>
      </c>
      <c r="K785">
        <v>1650</v>
      </c>
      <c r="L785">
        <v>0</v>
      </c>
      <c r="M785">
        <v>0</v>
      </c>
      <c r="N785">
        <v>1650</v>
      </c>
    </row>
    <row r="786" spans="1:14" x14ac:dyDescent="0.25">
      <c r="A786">
        <v>371.70356199999998</v>
      </c>
      <c r="B786" s="1">
        <f>DATE(2011,5,7) + TIME(16,53,7)</f>
        <v>40670.703553240739</v>
      </c>
      <c r="C786">
        <v>80</v>
      </c>
      <c r="D786">
        <v>79.945869446000003</v>
      </c>
      <c r="E786">
        <v>40</v>
      </c>
      <c r="F786">
        <v>39.382328033</v>
      </c>
      <c r="G786">
        <v>1342.5986327999999</v>
      </c>
      <c r="H786">
        <v>1339.104126</v>
      </c>
      <c r="I786">
        <v>1323.9174805</v>
      </c>
      <c r="J786">
        <v>1320.9235839999999</v>
      </c>
      <c r="K786">
        <v>1650</v>
      </c>
      <c r="L786">
        <v>0</v>
      </c>
      <c r="M786">
        <v>0</v>
      </c>
      <c r="N786">
        <v>1650</v>
      </c>
    </row>
    <row r="787" spans="1:14" x14ac:dyDescent="0.25">
      <c r="A787">
        <v>371.91830900000002</v>
      </c>
      <c r="B787" s="1">
        <f>DATE(2011,5,7) + TIME(22,2,21)</f>
        <v>40670.918298611112</v>
      </c>
      <c r="C787">
        <v>80</v>
      </c>
      <c r="D787">
        <v>79.946273804</v>
      </c>
      <c r="E787">
        <v>40</v>
      </c>
      <c r="F787">
        <v>39.367206572999997</v>
      </c>
      <c r="G787">
        <v>1342.5919189000001</v>
      </c>
      <c r="H787">
        <v>1339.1009521000001</v>
      </c>
      <c r="I787">
        <v>1323.9167480000001</v>
      </c>
      <c r="J787">
        <v>1320.9224853999999</v>
      </c>
      <c r="K787">
        <v>1650</v>
      </c>
      <c r="L787">
        <v>0</v>
      </c>
      <c r="M787">
        <v>0</v>
      </c>
      <c r="N787">
        <v>1650</v>
      </c>
    </row>
    <row r="788" spans="1:14" x14ac:dyDescent="0.25">
      <c r="A788">
        <v>372.13529999999997</v>
      </c>
      <c r="B788" s="1">
        <f>DATE(2011,5,8) + TIME(3,14,49)</f>
        <v>40671.135289351849</v>
      </c>
      <c r="C788">
        <v>80</v>
      </c>
      <c r="D788">
        <v>79.946586608999993</v>
      </c>
      <c r="E788">
        <v>40</v>
      </c>
      <c r="F788">
        <v>39.351974487</v>
      </c>
      <c r="G788">
        <v>1342.5848389</v>
      </c>
      <c r="H788">
        <v>1339.0975341999999</v>
      </c>
      <c r="I788">
        <v>1323.9160156</v>
      </c>
      <c r="J788">
        <v>1320.9213867000001</v>
      </c>
      <c r="K788">
        <v>1650</v>
      </c>
      <c r="L788">
        <v>0</v>
      </c>
      <c r="M788">
        <v>0</v>
      </c>
      <c r="N788">
        <v>1650</v>
      </c>
    </row>
    <row r="789" spans="1:14" x14ac:dyDescent="0.25">
      <c r="A789">
        <v>372.353498</v>
      </c>
      <c r="B789" s="1">
        <f>DATE(2011,5,8) + TIME(8,29,2)</f>
        <v>40671.353495370371</v>
      </c>
      <c r="C789">
        <v>80</v>
      </c>
      <c r="D789">
        <v>79.946830750000004</v>
      </c>
      <c r="E789">
        <v>40</v>
      </c>
      <c r="F789">
        <v>39.336696625000002</v>
      </c>
      <c r="G789">
        <v>1342.5773925999999</v>
      </c>
      <c r="H789">
        <v>1339.0938721</v>
      </c>
      <c r="I789">
        <v>1323.9152832</v>
      </c>
      <c r="J789">
        <v>1320.9201660000001</v>
      </c>
      <c r="K789">
        <v>1650</v>
      </c>
      <c r="L789">
        <v>0</v>
      </c>
      <c r="M789">
        <v>0</v>
      </c>
      <c r="N789">
        <v>1650</v>
      </c>
    </row>
    <row r="790" spans="1:14" x14ac:dyDescent="0.25">
      <c r="A790">
        <v>372.57338499999997</v>
      </c>
      <c r="B790" s="1">
        <f>DATE(2011,5,8) + TIME(13,45,40)</f>
        <v>40671.573379629626</v>
      </c>
      <c r="C790">
        <v>80</v>
      </c>
      <c r="D790">
        <v>79.947013854999994</v>
      </c>
      <c r="E790">
        <v>40</v>
      </c>
      <c r="F790">
        <v>39.321357726999999</v>
      </c>
      <c r="G790">
        <v>1342.5695800999999</v>
      </c>
      <c r="H790">
        <v>1339.0900879000001</v>
      </c>
      <c r="I790">
        <v>1323.9145507999999</v>
      </c>
      <c r="J790">
        <v>1320.9190673999999</v>
      </c>
      <c r="K790">
        <v>1650</v>
      </c>
      <c r="L790">
        <v>0</v>
      </c>
      <c r="M790">
        <v>0</v>
      </c>
      <c r="N790">
        <v>1650</v>
      </c>
    </row>
    <row r="791" spans="1:14" x14ac:dyDescent="0.25">
      <c r="A791">
        <v>372.79543100000001</v>
      </c>
      <c r="B791" s="1">
        <f>DATE(2011,5,8) + TIME(19,5,25)</f>
        <v>40671.795428240737</v>
      </c>
      <c r="C791">
        <v>80</v>
      </c>
      <c r="D791">
        <v>79.947166443</v>
      </c>
      <c r="E791">
        <v>40</v>
      </c>
      <c r="F791">
        <v>39.305927277000002</v>
      </c>
      <c r="G791">
        <v>1342.5616454999999</v>
      </c>
      <c r="H791">
        <v>1339.0861815999999</v>
      </c>
      <c r="I791">
        <v>1323.9136963000001</v>
      </c>
      <c r="J791">
        <v>1320.9178466999999</v>
      </c>
      <c r="K791">
        <v>1650</v>
      </c>
      <c r="L791">
        <v>0</v>
      </c>
      <c r="M791">
        <v>0</v>
      </c>
      <c r="N791">
        <v>1650</v>
      </c>
    </row>
    <row r="792" spans="1:14" x14ac:dyDescent="0.25">
      <c r="A792">
        <v>373.02019799999999</v>
      </c>
      <c r="B792" s="1">
        <f>DATE(2011,5,9) + TIME(0,29,5)</f>
        <v>40672.020196759258</v>
      </c>
      <c r="C792">
        <v>80</v>
      </c>
      <c r="D792">
        <v>79.947280883999994</v>
      </c>
      <c r="E792">
        <v>40</v>
      </c>
      <c r="F792">
        <v>39.290374755999999</v>
      </c>
      <c r="G792">
        <v>1342.5533447</v>
      </c>
      <c r="H792">
        <v>1339.0820312000001</v>
      </c>
      <c r="I792">
        <v>1323.9129639</v>
      </c>
      <c r="J792">
        <v>1320.9167480000001</v>
      </c>
      <c r="K792">
        <v>1650</v>
      </c>
      <c r="L792">
        <v>0</v>
      </c>
      <c r="M792">
        <v>0</v>
      </c>
      <c r="N792">
        <v>1650</v>
      </c>
    </row>
    <row r="793" spans="1:14" x14ac:dyDescent="0.25">
      <c r="A793">
        <v>373.24809299999998</v>
      </c>
      <c r="B793" s="1">
        <f>DATE(2011,5,9) + TIME(5,57,15)</f>
        <v>40672.248090277775</v>
      </c>
      <c r="C793">
        <v>80</v>
      </c>
      <c r="D793">
        <v>79.947364807</v>
      </c>
      <c r="E793">
        <v>40</v>
      </c>
      <c r="F793">
        <v>39.274684905999997</v>
      </c>
      <c r="G793">
        <v>1342.5449219</v>
      </c>
      <c r="H793">
        <v>1339.0778809000001</v>
      </c>
      <c r="I793">
        <v>1323.9121094</v>
      </c>
      <c r="J793">
        <v>1320.9155272999999</v>
      </c>
      <c r="K793">
        <v>1650</v>
      </c>
      <c r="L793">
        <v>0</v>
      </c>
      <c r="M793">
        <v>0</v>
      </c>
      <c r="N793">
        <v>1650</v>
      </c>
    </row>
    <row r="794" spans="1:14" x14ac:dyDescent="0.25">
      <c r="A794">
        <v>373.479603</v>
      </c>
      <c r="B794" s="1">
        <f>DATE(2011,5,9) + TIME(11,30,37)</f>
        <v>40672.479594907411</v>
      </c>
      <c r="C794">
        <v>80</v>
      </c>
      <c r="D794">
        <v>79.947425842000001</v>
      </c>
      <c r="E794">
        <v>40</v>
      </c>
      <c r="F794">
        <v>39.258827209000003</v>
      </c>
      <c r="G794">
        <v>1342.5363769999999</v>
      </c>
      <c r="H794">
        <v>1339.0734863</v>
      </c>
      <c r="I794">
        <v>1323.9112548999999</v>
      </c>
      <c r="J794">
        <v>1320.9143065999999</v>
      </c>
      <c r="K794">
        <v>1650</v>
      </c>
      <c r="L794">
        <v>0</v>
      </c>
      <c r="M794">
        <v>0</v>
      </c>
      <c r="N794">
        <v>1650</v>
      </c>
    </row>
    <row r="795" spans="1:14" x14ac:dyDescent="0.25">
      <c r="A795">
        <v>373.71524499999998</v>
      </c>
      <c r="B795" s="1">
        <f>DATE(2011,5,9) + TIME(17,9,57)</f>
        <v>40672.715243055558</v>
      </c>
      <c r="C795">
        <v>80</v>
      </c>
      <c r="D795">
        <v>79.947471618999998</v>
      </c>
      <c r="E795">
        <v>40</v>
      </c>
      <c r="F795">
        <v>39.242778778000002</v>
      </c>
      <c r="G795">
        <v>1342.5274658000001</v>
      </c>
      <c r="H795">
        <v>1339.0690918</v>
      </c>
      <c r="I795">
        <v>1323.9104004000001</v>
      </c>
      <c r="J795">
        <v>1320.9129639</v>
      </c>
      <c r="K795">
        <v>1650</v>
      </c>
      <c r="L795">
        <v>0</v>
      </c>
      <c r="M795">
        <v>0</v>
      </c>
      <c r="N795">
        <v>1650</v>
      </c>
    </row>
    <row r="796" spans="1:14" x14ac:dyDescent="0.25">
      <c r="A796">
        <v>373.95556599999998</v>
      </c>
      <c r="B796" s="1">
        <f>DATE(2011,5,9) + TIME(22,56,0)</f>
        <v>40672.955555555556</v>
      </c>
      <c r="C796">
        <v>80</v>
      </c>
      <c r="D796">
        <v>79.947502135999997</v>
      </c>
      <c r="E796">
        <v>40</v>
      </c>
      <c r="F796">
        <v>39.226505279999998</v>
      </c>
      <c r="G796">
        <v>1342.5184326000001</v>
      </c>
      <c r="H796">
        <v>1339.0645752</v>
      </c>
      <c r="I796">
        <v>1323.9095459</v>
      </c>
      <c r="J796">
        <v>1320.9117432</v>
      </c>
      <c r="K796">
        <v>1650</v>
      </c>
      <c r="L796">
        <v>0</v>
      </c>
      <c r="M796">
        <v>0</v>
      </c>
      <c r="N796">
        <v>1650</v>
      </c>
    </row>
    <row r="797" spans="1:14" x14ac:dyDescent="0.25">
      <c r="A797">
        <v>374.20146499999998</v>
      </c>
      <c r="B797" s="1">
        <f>DATE(2011,5,10) + TIME(4,50,6)</f>
        <v>40673.201458333337</v>
      </c>
      <c r="C797">
        <v>80</v>
      </c>
      <c r="D797">
        <v>79.947517395000006</v>
      </c>
      <c r="E797">
        <v>40</v>
      </c>
      <c r="F797">
        <v>39.209957123000002</v>
      </c>
      <c r="G797">
        <v>1342.5092772999999</v>
      </c>
      <c r="H797">
        <v>1339.0599365</v>
      </c>
      <c r="I797">
        <v>1323.9086914</v>
      </c>
      <c r="J797">
        <v>1320.9104004000001</v>
      </c>
      <c r="K797">
        <v>1650</v>
      </c>
      <c r="L797">
        <v>0</v>
      </c>
      <c r="M797">
        <v>0</v>
      </c>
      <c r="N797">
        <v>1650</v>
      </c>
    </row>
    <row r="798" spans="1:14" x14ac:dyDescent="0.25">
      <c r="A798">
        <v>374.45385599999997</v>
      </c>
      <c r="B798" s="1">
        <f>DATE(2011,5,10) + TIME(10,53,33)</f>
        <v>40673.45385416667</v>
      </c>
      <c r="C798">
        <v>80</v>
      </c>
      <c r="D798">
        <v>79.947525024000001</v>
      </c>
      <c r="E798">
        <v>40</v>
      </c>
      <c r="F798">
        <v>39.193088531000001</v>
      </c>
      <c r="G798">
        <v>1342.4998779</v>
      </c>
      <c r="H798">
        <v>1339.0551757999999</v>
      </c>
      <c r="I798">
        <v>1323.9078368999999</v>
      </c>
      <c r="J798">
        <v>1320.9090576000001</v>
      </c>
      <c r="K798">
        <v>1650</v>
      </c>
      <c r="L798">
        <v>0</v>
      </c>
      <c r="M798">
        <v>0</v>
      </c>
      <c r="N798">
        <v>1650</v>
      </c>
    </row>
    <row r="799" spans="1:14" x14ac:dyDescent="0.25">
      <c r="A799">
        <v>374.71351800000002</v>
      </c>
      <c r="B799" s="1">
        <f>DATE(2011,5,10) + TIME(17,7,27)</f>
        <v>40673.713506944441</v>
      </c>
      <c r="C799">
        <v>80</v>
      </c>
      <c r="D799">
        <v>79.947517395000006</v>
      </c>
      <c r="E799">
        <v>40</v>
      </c>
      <c r="F799">
        <v>39.175853729000004</v>
      </c>
      <c r="G799">
        <v>1342.4902344</v>
      </c>
      <c r="H799">
        <v>1339.050293</v>
      </c>
      <c r="I799">
        <v>1323.9068603999999</v>
      </c>
      <c r="J799">
        <v>1320.9077147999999</v>
      </c>
      <c r="K799">
        <v>1650</v>
      </c>
      <c r="L799">
        <v>0</v>
      </c>
      <c r="M799">
        <v>0</v>
      </c>
      <c r="N799">
        <v>1650</v>
      </c>
    </row>
    <row r="800" spans="1:14" x14ac:dyDescent="0.25">
      <c r="A800">
        <v>374.97735599999999</v>
      </c>
      <c r="B800" s="1">
        <f>DATE(2011,5,10) + TIME(23,27,23)</f>
        <v>40673.977349537039</v>
      </c>
      <c r="C800">
        <v>80</v>
      </c>
      <c r="D800">
        <v>79.947502135999997</v>
      </c>
      <c r="E800">
        <v>40</v>
      </c>
      <c r="F800">
        <v>39.158428192000002</v>
      </c>
      <c r="G800">
        <v>1342.4803466999999</v>
      </c>
      <c r="H800">
        <v>1339.0454102000001</v>
      </c>
      <c r="I800">
        <v>1323.9058838000001</v>
      </c>
      <c r="J800">
        <v>1320.90625</v>
      </c>
      <c r="K800">
        <v>1650</v>
      </c>
      <c r="L800">
        <v>0</v>
      </c>
      <c r="M800">
        <v>0</v>
      </c>
      <c r="N800">
        <v>1650</v>
      </c>
    </row>
    <row r="801" spans="1:14" x14ac:dyDescent="0.25">
      <c r="A801">
        <v>375.24399799999998</v>
      </c>
      <c r="B801" s="1">
        <f>DATE(2011,5,11) + TIME(5,51,21)</f>
        <v>40674.243993055556</v>
      </c>
      <c r="C801">
        <v>80</v>
      </c>
      <c r="D801">
        <v>79.947479247999993</v>
      </c>
      <c r="E801">
        <v>40</v>
      </c>
      <c r="F801">
        <v>39.140884399000001</v>
      </c>
      <c r="G801">
        <v>1342.4698486</v>
      </c>
      <c r="H801">
        <v>1339.0400391000001</v>
      </c>
      <c r="I801">
        <v>1323.9049072</v>
      </c>
      <c r="J801">
        <v>1320.9047852000001</v>
      </c>
      <c r="K801">
        <v>1650</v>
      </c>
      <c r="L801">
        <v>0</v>
      </c>
      <c r="M801">
        <v>0</v>
      </c>
      <c r="N801">
        <v>1650</v>
      </c>
    </row>
    <row r="802" spans="1:14" x14ac:dyDescent="0.25">
      <c r="A802">
        <v>375.51396699999998</v>
      </c>
      <c r="B802" s="1">
        <f>DATE(2011,5,11) + TIME(12,20,6)</f>
        <v>40674.513958333337</v>
      </c>
      <c r="C802">
        <v>80</v>
      </c>
      <c r="D802">
        <v>79.947456360000004</v>
      </c>
      <c r="E802">
        <v>40</v>
      </c>
      <c r="F802">
        <v>39.123207092000001</v>
      </c>
      <c r="G802">
        <v>1342.4593506000001</v>
      </c>
      <c r="H802">
        <v>1339.034668</v>
      </c>
      <c r="I802">
        <v>1323.9039307</v>
      </c>
      <c r="J802">
        <v>1320.9033202999999</v>
      </c>
      <c r="K802">
        <v>1650</v>
      </c>
      <c r="L802">
        <v>0</v>
      </c>
      <c r="M802">
        <v>0</v>
      </c>
      <c r="N802">
        <v>1650</v>
      </c>
    </row>
    <row r="803" spans="1:14" x14ac:dyDescent="0.25">
      <c r="A803">
        <v>375.7878</v>
      </c>
      <c r="B803" s="1">
        <f>DATE(2011,5,11) + TIME(18,54,25)</f>
        <v>40674.787789351853</v>
      </c>
      <c r="C803">
        <v>80</v>
      </c>
      <c r="D803">
        <v>79.947418213000006</v>
      </c>
      <c r="E803">
        <v>40</v>
      </c>
      <c r="F803">
        <v>39.105365753000001</v>
      </c>
      <c r="G803">
        <v>1342.4488524999999</v>
      </c>
      <c r="H803">
        <v>1339.0292969</v>
      </c>
      <c r="I803">
        <v>1323.9029541</v>
      </c>
      <c r="J803">
        <v>1320.9018555</v>
      </c>
      <c r="K803">
        <v>1650</v>
      </c>
      <c r="L803">
        <v>0</v>
      </c>
      <c r="M803">
        <v>0</v>
      </c>
      <c r="N803">
        <v>1650</v>
      </c>
    </row>
    <row r="804" spans="1:14" x14ac:dyDescent="0.25">
      <c r="A804">
        <v>376.06603899999999</v>
      </c>
      <c r="B804" s="1">
        <f>DATE(2011,5,12) + TIME(1,35,5)</f>
        <v>40675.066030092596</v>
      </c>
      <c r="C804">
        <v>80</v>
      </c>
      <c r="D804">
        <v>79.947380065999994</v>
      </c>
      <c r="E804">
        <v>40</v>
      </c>
      <c r="F804">
        <v>39.087333678999997</v>
      </c>
      <c r="G804">
        <v>1342.4382324000001</v>
      </c>
      <c r="H804">
        <v>1339.0239257999999</v>
      </c>
      <c r="I804">
        <v>1323.9018555</v>
      </c>
      <c r="J804">
        <v>1320.9003906</v>
      </c>
      <c r="K804">
        <v>1650</v>
      </c>
      <c r="L804">
        <v>0</v>
      </c>
      <c r="M804">
        <v>0</v>
      </c>
      <c r="N804">
        <v>1650</v>
      </c>
    </row>
    <row r="805" spans="1:14" x14ac:dyDescent="0.25">
      <c r="A805">
        <v>376.34916099999998</v>
      </c>
      <c r="B805" s="1">
        <f>DATE(2011,5,12) + TIME(8,22,47)</f>
        <v>40675.34915509259</v>
      </c>
      <c r="C805">
        <v>80</v>
      </c>
      <c r="D805">
        <v>79.947334290000001</v>
      </c>
      <c r="E805">
        <v>40</v>
      </c>
      <c r="F805">
        <v>39.069095611999998</v>
      </c>
      <c r="G805">
        <v>1342.4277344</v>
      </c>
      <c r="H805">
        <v>1339.0185547000001</v>
      </c>
      <c r="I805">
        <v>1323.9007568</v>
      </c>
      <c r="J805">
        <v>1320.8988036999999</v>
      </c>
      <c r="K805">
        <v>1650</v>
      </c>
      <c r="L805">
        <v>0</v>
      </c>
      <c r="M805">
        <v>0</v>
      </c>
      <c r="N805">
        <v>1650</v>
      </c>
    </row>
    <row r="806" spans="1:14" x14ac:dyDescent="0.25">
      <c r="A806">
        <v>376.63773700000002</v>
      </c>
      <c r="B806" s="1">
        <f>DATE(2011,5,12) + TIME(15,18,20)</f>
        <v>40675.637731481482</v>
      </c>
      <c r="C806">
        <v>80</v>
      </c>
      <c r="D806">
        <v>79.947288513000004</v>
      </c>
      <c r="E806">
        <v>40</v>
      </c>
      <c r="F806">
        <v>39.050617217999999</v>
      </c>
      <c r="G806">
        <v>1342.4171143000001</v>
      </c>
      <c r="H806">
        <v>1339.0131836</v>
      </c>
      <c r="I806">
        <v>1323.8997803</v>
      </c>
      <c r="J806">
        <v>1320.8972168</v>
      </c>
      <c r="K806">
        <v>1650</v>
      </c>
      <c r="L806">
        <v>0</v>
      </c>
      <c r="M806">
        <v>0</v>
      </c>
      <c r="N806">
        <v>1650</v>
      </c>
    </row>
    <row r="807" spans="1:14" x14ac:dyDescent="0.25">
      <c r="A807">
        <v>376.93238600000001</v>
      </c>
      <c r="B807" s="1">
        <f>DATE(2011,5,12) + TIME(22,22,38)</f>
        <v>40675.932384259257</v>
      </c>
      <c r="C807">
        <v>80</v>
      </c>
      <c r="D807">
        <v>79.947235106999997</v>
      </c>
      <c r="E807">
        <v>40</v>
      </c>
      <c r="F807">
        <v>39.031867980999998</v>
      </c>
      <c r="G807">
        <v>1342.4064940999999</v>
      </c>
      <c r="H807">
        <v>1339.0078125</v>
      </c>
      <c r="I807">
        <v>1323.8985596</v>
      </c>
      <c r="J807">
        <v>1320.8955077999999</v>
      </c>
      <c r="K807">
        <v>1650</v>
      </c>
      <c r="L807">
        <v>0</v>
      </c>
      <c r="M807">
        <v>0</v>
      </c>
      <c r="N807">
        <v>1650</v>
      </c>
    </row>
    <row r="808" spans="1:14" x14ac:dyDescent="0.25">
      <c r="A808">
        <v>377.23378100000002</v>
      </c>
      <c r="B808" s="1">
        <f>DATE(2011,5,13) + TIME(5,36,38)</f>
        <v>40676.233773148146</v>
      </c>
      <c r="C808">
        <v>80</v>
      </c>
      <c r="D808">
        <v>79.947181701999995</v>
      </c>
      <c r="E808">
        <v>40</v>
      </c>
      <c r="F808">
        <v>39.012821197999997</v>
      </c>
      <c r="G808">
        <v>1342.3957519999999</v>
      </c>
      <c r="H808">
        <v>1339.0024414</v>
      </c>
      <c r="I808">
        <v>1323.8974608999999</v>
      </c>
      <c r="J808">
        <v>1320.8939209</v>
      </c>
      <c r="K808">
        <v>1650</v>
      </c>
      <c r="L808">
        <v>0</v>
      </c>
      <c r="M808">
        <v>0</v>
      </c>
      <c r="N808">
        <v>1650</v>
      </c>
    </row>
    <row r="809" spans="1:14" x14ac:dyDescent="0.25">
      <c r="A809">
        <v>377.54265500000002</v>
      </c>
      <c r="B809" s="1">
        <f>DATE(2011,5,13) + TIME(13,1,25)</f>
        <v>40676.542650462965</v>
      </c>
      <c r="C809">
        <v>80</v>
      </c>
      <c r="D809">
        <v>79.947128296000002</v>
      </c>
      <c r="E809">
        <v>40</v>
      </c>
      <c r="F809">
        <v>38.993434905999997</v>
      </c>
      <c r="G809">
        <v>1342.3850098</v>
      </c>
      <c r="H809">
        <v>1338.9969481999999</v>
      </c>
      <c r="I809">
        <v>1323.8962402</v>
      </c>
      <c r="J809">
        <v>1320.8922118999999</v>
      </c>
      <c r="K809">
        <v>1650</v>
      </c>
      <c r="L809">
        <v>0</v>
      </c>
      <c r="M809">
        <v>0</v>
      </c>
      <c r="N809">
        <v>1650</v>
      </c>
    </row>
    <row r="810" spans="1:14" x14ac:dyDescent="0.25">
      <c r="A810">
        <v>377.859825</v>
      </c>
      <c r="B810" s="1">
        <f>DATE(2011,5,13) + TIME(20,38,8)</f>
        <v>40676.859814814816</v>
      </c>
      <c r="C810">
        <v>80</v>
      </c>
      <c r="D810">
        <v>79.947067261000001</v>
      </c>
      <c r="E810">
        <v>40</v>
      </c>
      <c r="F810">
        <v>38.973670959000003</v>
      </c>
      <c r="G810">
        <v>1342.3741454999999</v>
      </c>
      <c r="H810">
        <v>1338.9914550999999</v>
      </c>
      <c r="I810">
        <v>1323.8951416</v>
      </c>
      <c r="J810">
        <v>1320.8903809000001</v>
      </c>
      <c r="K810">
        <v>1650</v>
      </c>
      <c r="L810">
        <v>0</v>
      </c>
      <c r="M810">
        <v>0</v>
      </c>
      <c r="N810">
        <v>1650</v>
      </c>
    </row>
    <row r="811" spans="1:14" x14ac:dyDescent="0.25">
      <c r="A811">
        <v>378.18728499999997</v>
      </c>
      <c r="B811" s="1">
        <f>DATE(2011,5,14) + TIME(4,29,41)</f>
        <v>40677.187280092592</v>
      </c>
      <c r="C811">
        <v>80</v>
      </c>
      <c r="D811">
        <v>79.947006225999999</v>
      </c>
      <c r="E811">
        <v>40</v>
      </c>
      <c r="F811">
        <v>38.953430175999998</v>
      </c>
      <c r="G811">
        <v>1342.3630370999999</v>
      </c>
      <c r="H811">
        <v>1338.9859618999999</v>
      </c>
      <c r="I811">
        <v>1323.8937988</v>
      </c>
      <c r="J811">
        <v>1320.8885498</v>
      </c>
      <c r="K811">
        <v>1650</v>
      </c>
      <c r="L811">
        <v>0</v>
      </c>
      <c r="M811">
        <v>0</v>
      </c>
      <c r="N811">
        <v>1650</v>
      </c>
    </row>
    <row r="812" spans="1:14" x14ac:dyDescent="0.25">
      <c r="A812">
        <v>378.52621099999999</v>
      </c>
      <c r="B812" s="1">
        <f>DATE(2011,5,14) + TIME(12,37,44)</f>
        <v>40677.526203703703</v>
      </c>
      <c r="C812">
        <v>80</v>
      </c>
      <c r="D812">
        <v>79.946945189999994</v>
      </c>
      <c r="E812">
        <v>40</v>
      </c>
      <c r="F812">
        <v>38.932655334000003</v>
      </c>
      <c r="G812">
        <v>1342.3519286999999</v>
      </c>
      <c r="H812">
        <v>1338.9803466999999</v>
      </c>
      <c r="I812">
        <v>1323.8925781</v>
      </c>
      <c r="J812">
        <v>1320.8867187999999</v>
      </c>
      <c r="K812">
        <v>1650</v>
      </c>
      <c r="L812">
        <v>0</v>
      </c>
      <c r="M812">
        <v>0</v>
      </c>
      <c r="N812">
        <v>1650</v>
      </c>
    </row>
    <row r="813" spans="1:14" x14ac:dyDescent="0.25">
      <c r="A813">
        <v>378.86812500000002</v>
      </c>
      <c r="B813" s="1">
        <f>DATE(2011,5,14) + TIME(20,50,5)</f>
        <v>40677.868113425924</v>
      </c>
      <c r="C813">
        <v>80</v>
      </c>
      <c r="D813">
        <v>79.946876525999997</v>
      </c>
      <c r="E813">
        <v>40</v>
      </c>
      <c r="F813">
        <v>38.911758423000002</v>
      </c>
      <c r="G813">
        <v>1342.3404541</v>
      </c>
      <c r="H813">
        <v>1338.9747314000001</v>
      </c>
      <c r="I813">
        <v>1323.8912353999999</v>
      </c>
      <c r="J813">
        <v>1320.8847656</v>
      </c>
      <c r="K813">
        <v>1650</v>
      </c>
      <c r="L813">
        <v>0</v>
      </c>
      <c r="M813">
        <v>0</v>
      </c>
      <c r="N813">
        <v>1650</v>
      </c>
    </row>
    <row r="814" spans="1:14" x14ac:dyDescent="0.25">
      <c r="A814">
        <v>379.21371900000003</v>
      </c>
      <c r="B814" s="1">
        <f>DATE(2011,5,15) + TIME(5,7,45)</f>
        <v>40678.21371527778</v>
      </c>
      <c r="C814">
        <v>80</v>
      </c>
      <c r="D814">
        <v>79.946807860999996</v>
      </c>
      <c r="E814">
        <v>40</v>
      </c>
      <c r="F814">
        <v>38.890712737999998</v>
      </c>
      <c r="G814">
        <v>1342.3292236</v>
      </c>
      <c r="H814">
        <v>1338.9691161999999</v>
      </c>
      <c r="I814">
        <v>1323.8897704999999</v>
      </c>
      <c r="J814">
        <v>1320.8826904</v>
      </c>
      <c r="K814">
        <v>1650</v>
      </c>
      <c r="L814">
        <v>0</v>
      </c>
      <c r="M814">
        <v>0</v>
      </c>
      <c r="N814">
        <v>1650</v>
      </c>
    </row>
    <row r="815" spans="1:14" x14ac:dyDescent="0.25">
      <c r="A815">
        <v>379.56370600000002</v>
      </c>
      <c r="B815" s="1">
        <f>DATE(2011,5,15) + TIME(13,31,44)</f>
        <v>40678.563703703701</v>
      </c>
      <c r="C815">
        <v>80</v>
      </c>
      <c r="D815">
        <v>79.946746825999995</v>
      </c>
      <c r="E815">
        <v>40</v>
      </c>
      <c r="F815">
        <v>38.869503021</v>
      </c>
      <c r="G815">
        <v>1342.3179932</v>
      </c>
      <c r="H815">
        <v>1338.9636230000001</v>
      </c>
      <c r="I815">
        <v>1323.8884277</v>
      </c>
      <c r="J815">
        <v>1320.8807373</v>
      </c>
      <c r="K815">
        <v>1650</v>
      </c>
      <c r="L815">
        <v>0</v>
      </c>
      <c r="M815">
        <v>0</v>
      </c>
      <c r="N815">
        <v>1650</v>
      </c>
    </row>
    <row r="816" spans="1:14" x14ac:dyDescent="0.25">
      <c r="A816">
        <v>379.91895399999999</v>
      </c>
      <c r="B816" s="1">
        <f>DATE(2011,5,15) + TIME(22,3,17)</f>
        <v>40678.918946759259</v>
      </c>
      <c r="C816">
        <v>80</v>
      </c>
      <c r="D816">
        <v>79.946678161999998</v>
      </c>
      <c r="E816">
        <v>40</v>
      </c>
      <c r="F816">
        <v>38.848094940000003</v>
      </c>
      <c r="G816">
        <v>1342.3068848</v>
      </c>
      <c r="H816">
        <v>1338.9581298999999</v>
      </c>
      <c r="I816">
        <v>1323.8869629000001</v>
      </c>
      <c r="J816">
        <v>1320.8785399999999</v>
      </c>
      <c r="K816">
        <v>1650</v>
      </c>
      <c r="L816">
        <v>0</v>
      </c>
      <c r="M816">
        <v>0</v>
      </c>
      <c r="N816">
        <v>1650</v>
      </c>
    </row>
    <row r="817" spans="1:14" x14ac:dyDescent="0.25">
      <c r="A817">
        <v>380.281387</v>
      </c>
      <c r="B817" s="1">
        <f>DATE(2011,5,16) + TIME(6,45,11)</f>
        <v>40679.281377314815</v>
      </c>
      <c r="C817">
        <v>80</v>
      </c>
      <c r="D817">
        <v>79.946609496999997</v>
      </c>
      <c r="E817">
        <v>40</v>
      </c>
      <c r="F817">
        <v>38.826400757000002</v>
      </c>
      <c r="G817">
        <v>1342.2956543</v>
      </c>
      <c r="H817">
        <v>1338.9526367000001</v>
      </c>
      <c r="I817">
        <v>1323.8854980000001</v>
      </c>
      <c r="J817">
        <v>1320.8764647999999</v>
      </c>
      <c r="K817">
        <v>1650</v>
      </c>
      <c r="L817">
        <v>0</v>
      </c>
      <c r="M817">
        <v>0</v>
      </c>
      <c r="N817">
        <v>1650</v>
      </c>
    </row>
    <row r="818" spans="1:14" x14ac:dyDescent="0.25">
      <c r="A818">
        <v>380.65203700000001</v>
      </c>
      <c r="B818" s="1">
        <f>DATE(2011,5,16) + TIME(15,38,56)</f>
        <v>40679.652037037034</v>
      </c>
      <c r="C818">
        <v>80</v>
      </c>
      <c r="D818">
        <v>79.946533203000001</v>
      </c>
      <c r="E818">
        <v>40</v>
      </c>
      <c r="F818">
        <v>38.804374695</v>
      </c>
      <c r="G818">
        <v>1342.2845459</v>
      </c>
      <c r="H818">
        <v>1338.9471435999999</v>
      </c>
      <c r="I818">
        <v>1323.8840332</v>
      </c>
      <c r="J818">
        <v>1320.8742675999999</v>
      </c>
      <c r="K818">
        <v>1650</v>
      </c>
      <c r="L818">
        <v>0</v>
      </c>
      <c r="M818">
        <v>0</v>
      </c>
      <c r="N818">
        <v>1650</v>
      </c>
    </row>
    <row r="819" spans="1:14" x14ac:dyDescent="0.25">
      <c r="A819">
        <v>381.032038</v>
      </c>
      <c r="B819" s="1">
        <f>DATE(2011,5,17) + TIME(0,46,8)</f>
        <v>40680.032037037039</v>
      </c>
      <c r="C819">
        <v>80</v>
      </c>
      <c r="D819">
        <v>79.946464539000004</v>
      </c>
      <c r="E819">
        <v>40</v>
      </c>
      <c r="F819">
        <v>38.781967162999997</v>
      </c>
      <c r="G819">
        <v>1342.2733154</v>
      </c>
      <c r="H819">
        <v>1338.9416504000001</v>
      </c>
      <c r="I819">
        <v>1323.8824463000001</v>
      </c>
      <c r="J819">
        <v>1320.8720702999999</v>
      </c>
      <c r="K819">
        <v>1650</v>
      </c>
      <c r="L819">
        <v>0</v>
      </c>
      <c r="M819">
        <v>0</v>
      </c>
      <c r="N819">
        <v>1650</v>
      </c>
    </row>
    <row r="820" spans="1:14" x14ac:dyDescent="0.25">
      <c r="A820">
        <v>381.42265600000002</v>
      </c>
      <c r="B820" s="1">
        <f>DATE(2011,5,17) + TIME(10,8,37)</f>
        <v>40680.422650462962</v>
      </c>
      <c r="C820">
        <v>80</v>
      </c>
      <c r="D820">
        <v>79.946395874000004</v>
      </c>
      <c r="E820">
        <v>40</v>
      </c>
      <c r="F820">
        <v>38.759124755999999</v>
      </c>
      <c r="G820">
        <v>1342.2619629000001</v>
      </c>
      <c r="H820">
        <v>1338.9361572</v>
      </c>
      <c r="I820">
        <v>1323.8808594</v>
      </c>
      <c r="J820">
        <v>1320.869751</v>
      </c>
      <c r="K820">
        <v>1650</v>
      </c>
      <c r="L820">
        <v>0</v>
      </c>
      <c r="M820">
        <v>0</v>
      </c>
      <c r="N820">
        <v>1650</v>
      </c>
    </row>
    <row r="821" spans="1:14" x14ac:dyDescent="0.25">
      <c r="A821">
        <v>381.818648</v>
      </c>
      <c r="B821" s="1">
        <f>DATE(2011,5,17) + TIME(19,38,51)</f>
        <v>40680.818645833337</v>
      </c>
      <c r="C821">
        <v>80</v>
      </c>
      <c r="D821">
        <v>79.946319579999994</v>
      </c>
      <c r="E821">
        <v>40</v>
      </c>
      <c r="F821">
        <v>38.736068725999999</v>
      </c>
      <c r="G821">
        <v>1342.2506103999999</v>
      </c>
      <c r="H821">
        <v>1338.9305420000001</v>
      </c>
      <c r="I821">
        <v>1323.8792725000001</v>
      </c>
      <c r="J821">
        <v>1320.8673096</v>
      </c>
      <c r="K821">
        <v>1650</v>
      </c>
      <c r="L821">
        <v>0</v>
      </c>
      <c r="M821">
        <v>0</v>
      </c>
      <c r="N821">
        <v>1650</v>
      </c>
    </row>
    <row r="822" spans="1:14" x14ac:dyDescent="0.25">
      <c r="A822">
        <v>382.21654599999999</v>
      </c>
      <c r="B822" s="1">
        <f>DATE(2011,5,18) + TIME(5,11,49)</f>
        <v>40681.216539351852</v>
      </c>
      <c r="C822">
        <v>80</v>
      </c>
      <c r="D822">
        <v>79.946250915999997</v>
      </c>
      <c r="E822">
        <v>40</v>
      </c>
      <c r="F822">
        <v>38.712978362999998</v>
      </c>
      <c r="G822">
        <v>1342.2392577999999</v>
      </c>
      <c r="H822">
        <v>1338.9250488</v>
      </c>
      <c r="I822">
        <v>1323.8775635</v>
      </c>
      <c r="J822">
        <v>1320.8648682</v>
      </c>
      <c r="K822">
        <v>1650</v>
      </c>
      <c r="L822">
        <v>0</v>
      </c>
      <c r="M822">
        <v>0</v>
      </c>
      <c r="N822">
        <v>1650</v>
      </c>
    </row>
    <row r="823" spans="1:14" x14ac:dyDescent="0.25">
      <c r="A823">
        <v>382.61716000000001</v>
      </c>
      <c r="B823" s="1">
        <f>DATE(2011,5,18) + TIME(14,48,42)</f>
        <v>40681.617152777777</v>
      </c>
      <c r="C823">
        <v>80</v>
      </c>
      <c r="D823">
        <v>79.946174622000001</v>
      </c>
      <c r="E823">
        <v>40</v>
      </c>
      <c r="F823">
        <v>38.689826965000002</v>
      </c>
      <c r="G823">
        <v>1342.2280272999999</v>
      </c>
      <c r="H823">
        <v>1338.9196777</v>
      </c>
      <c r="I823">
        <v>1323.8758545000001</v>
      </c>
      <c r="J823">
        <v>1320.8623047000001</v>
      </c>
      <c r="K823">
        <v>1650</v>
      </c>
      <c r="L823">
        <v>0</v>
      </c>
      <c r="M823">
        <v>0</v>
      </c>
      <c r="N823">
        <v>1650</v>
      </c>
    </row>
    <row r="824" spans="1:14" x14ac:dyDescent="0.25">
      <c r="A824">
        <v>383.02127899999999</v>
      </c>
      <c r="B824" s="1">
        <f>DATE(2011,5,19) + TIME(0,30,38)</f>
        <v>40682.021273148152</v>
      </c>
      <c r="C824">
        <v>80</v>
      </c>
      <c r="D824">
        <v>79.946105957</v>
      </c>
      <c r="E824">
        <v>40</v>
      </c>
      <c r="F824">
        <v>38.666595459</v>
      </c>
      <c r="G824">
        <v>1342.2169189000001</v>
      </c>
      <c r="H824">
        <v>1338.9143065999999</v>
      </c>
      <c r="I824">
        <v>1323.8741454999999</v>
      </c>
      <c r="J824">
        <v>1320.8597411999999</v>
      </c>
      <c r="K824">
        <v>1650</v>
      </c>
      <c r="L824">
        <v>0</v>
      </c>
      <c r="M824">
        <v>0</v>
      </c>
      <c r="N824">
        <v>1650</v>
      </c>
    </row>
    <row r="825" spans="1:14" x14ac:dyDescent="0.25">
      <c r="A825">
        <v>383.42970100000002</v>
      </c>
      <c r="B825" s="1">
        <f>DATE(2011,5,19) + TIME(10,18,46)</f>
        <v>40682.429699074077</v>
      </c>
      <c r="C825">
        <v>80</v>
      </c>
      <c r="D825">
        <v>79.946037292</v>
      </c>
      <c r="E825">
        <v>40</v>
      </c>
      <c r="F825">
        <v>38.643257140999999</v>
      </c>
      <c r="G825">
        <v>1342.2059326000001</v>
      </c>
      <c r="H825">
        <v>1338.9089355000001</v>
      </c>
      <c r="I825">
        <v>1323.8723144999999</v>
      </c>
      <c r="J825">
        <v>1320.8571777</v>
      </c>
      <c r="K825">
        <v>1650</v>
      </c>
      <c r="L825">
        <v>0</v>
      </c>
      <c r="M825">
        <v>0</v>
      </c>
      <c r="N825">
        <v>1650</v>
      </c>
    </row>
    <row r="826" spans="1:14" x14ac:dyDescent="0.25">
      <c r="A826">
        <v>383.84338000000002</v>
      </c>
      <c r="B826" s="1">
        <f>DATE(2011,5,19) + TIME(20,14,28)</f>
        <v>40682.84337962963</v>
      </c>
      <c r="C826">
        <v>80</v>
      </c>
      <c r="D826">
        <v>79.945960998999993</v>
      </c>
      <c r="E826">
        <v>40</v>
      </c>
      <c r="F826">
        <v>38.619773864999999</v>
      </c>
      <c r="G826">
        <v>1342.1950684000001</v>
      </c>
      <c r="H826">
        <v>1338.9036865</v>
      </c>
      <c r="I826">
        <v>1323.8704834</v>
      </c>
      <c r="J826">
        <v>1320.8546143000001</v>
      </c>
      <c r="K826">
        <v>1650</v>
      </c>
      <c r="L826">
        <v>0</v>
      </c>
      <c r="M826">
        <v>0</v>
      </c>
      <c r="N826">
        <v>1650</v>
      </c>
    </row>
    <row r="827" spans="1:14" x14ac:dyDescent="0.25">
      <c r="A827">
        <v>384.26306</v>
      </c>
      <c r="B827" s="1">
        <f>DATE(2011,5,20) + TIME(6,18,48)</f>
        <v>40683.263055555559</v>
      </c>
      <c r="C827">
        <v>80</v>
      </c>
      <c r="D827">
        <v>79.945892334000007</v>
      </c>
      <c r="E827">
        <v>40</v>
      </c>
      <c r="F827">
        <v>38.596118926999999</v>
      </c>
      <c r="G827">
        <v>1342.1842041</v>
      </c>
      <c r="H827">
        <v>1338.8984375</v>
      </c>
      <c r="I827">
        <v>1323.8686522999999</v>
      </c>
      <c r="J827">
        <v>1320.8518065999999</v>
      </c>
      <c r="K827">
        <v>1650</v>
      </c>
      <c r="L827">
        <v>0</v>
      </c>
      <c r="M827">
        <v>0</v>
      </c>
      <c r="N827">
        <v>1650</v>
      </c>
    </row>
    <row r="828" spans="1:14" x14ac:dyDescent="0.25">
      <c r="A828">
        <v>384.68958099999998</v>
      </c>
      <c r="B828" s="1">
        <f>DATE(2011,5,20) + TIME(16,32,59)</f>
        <v>40683.689571759256</v>
      </c>
      <c r="C828">
        <v>80</v>
      </c>
      <c r="D828">
        <v>79.945823669000006</v>
      </c>
      <c r="E828">
        <v>40</v>
      </c>
      <c r="F828">
        <v>38.572257995999998</v>
      </c>
      <c r="G828">
        <v>1342.1733397999999</v>
      </c>
      <c r="H828">
        <v>1338.8931885</v>
      </c>
      <c r="I828">
        <v>1323.8668213000001</v>
      </c>
      <c r="J828">
        <v>1320.8491211</v>
      </c>
      <c r="K828">
        <v>1650</v>
      </c>
      <c r="L828">
        <v>0</v>
      </c>
      <c r="M828">
        <v>0</v>
      </c>
      <c r="N828">
        <v>1650</v>
      </c>
    </row>
    <row r="829" spans="1:14" x14ac:dyDescent="0.25">
      <c r="A829">
        <v>385.12387999999999</v>
      </c>
      <c r="B829" s="1">
        <f>DATE(2011,5,21) + TIME(2,58,23)</f>
        <v>40684.123877314814</v>
      </c>
      <c r="C829">
        <v>80</v>
      </c>
      <c r="D829">
        <v>79.945755004999995</v>
      </c>
      <c r="E829">
        <v>40</v>
      </c>
      <c r="F829">
        <v>38.548145294000001</v>
      </c>
      <c r="G829">
        <v>1342.1624756000001</v>
      </c>
      <c r="H829">
        <v>1338.8880615</v>
      </c>
      <c r="I829">
        <v>1323.8648682</v>
      </c>
      <c r="J829">
        <v>1320.8463135</v>
      </c>
      <c r="K829">
        <v>1650</v>
      </c>
      <c r="L829">
        <v>0</v>
      </c>
      <c r="M829">
        <v>0</v>
      </c>
      <c r="N829">
        <v>1650</v>
      </c>
    </row>
    <row r="830" spans="1:14" x14ac:dyDescent="0.25">
      <c r="A830">
        <v>385.56696099999999</v>
      </c>
      <c r="B830" s="1">
        <f>DATE(2011,5,21) + TIME(13,36,25)</f>
        <v>40684.56695601852</v>
      </c>
      <c r="C830">
        <v>80</v>
      </c>
      <c r="D830">
        <v>79.945686339999995</v>
      </c>
      <c r="E830">
        <v>40</v>
      </c>
      <c r="F830">
        <v>38.523742675999998</v>
      </c>
      <c r="G830">
        <v>1342.1516113</v>
      </c>
      <c r="H830">
        <v>1338.8828125</v>
      </c>
      <c r="I830">
        <v>1323.8629149999999</v>
      </c>
      <c r="J830">
        <v>1320.8433838000001</v>
      </c>
      <c r="K830">
        <v>1650</v>
      </c>
      <c r="L830">
        <v>0</v>
      </c>
      <c r="M830">
        <v>0</v>
      </c>
      <c r="N830">
        <v>1650</v>
      </c>
    </row>
    <row r="831" spans="1:14" x14ac:dyDescent="0.25">
      <c r="A831">
        <v>386.02192600000001</v>
      </c>
      <c r="B831" s="1">
        <f>DATE(2011,5,22) + TIME(0,31,34)</f>
        <v>40685.021921296298</v>
      </c>
      <c r="C831">
        <v>80</v>
      </c>
      <c r="D831">
        <v>79.945617675999998</v>
      </c>
      <c r="E831">
        <v>40</v>
      </c>
      <c r="F831">
        <v>38.498920441000003</v>
      </c>
      <c r="G831">
        <v>1342.1408690999999</v>
      </c>
      <c r="H831">
        <v>1338.8775635</v>
      </c>
      <c r="I831">
        <v>1323.8608397999999</v>
      </c>
      <c r="J831">
        <v>1320.840332</v>
      </c>
      <c r="K831">
        <v>1650</v>
      </c>
      <c r="L831">
        <v>0</v>
      </c>
      <c r="M831">
        <v>0</v>
      </c>
      <c r="N831">
        <v>1650</v>
      </c>
    </row>
    <row r="832" spans="1:14" x14ac:dyDescent="0.25">
      <c r="A832">
        <v>386.489711</v>
      </c>
      <c r="B832" s="1">
        <f>DATE(2011,5,22) + TIME(11,45,10)</f>
        <v>40685.489699074074</v>
      </c>
      <c r="C832">
        <v>80</v>
      </c>
      <c r="D832">
        <v>79.945541382000002</v>
      </c>
      <c r="E832">
        <v>40</v>
      </c>
      <c r="F832">
        <v>38.473632811999998</v>
      </c>
      <c r="G832">
        <v>1342.1298827999999</v>
      </c>
      <c r="H832">
        <v>1338.8724365</v>
      </c>
      <c r="I832">
        <v>1323.8587646000001</v>
      </c>
      <c r="J832">
        <v>1320.8371582</v>
      </c>
      <c r="K832">
        <v>1650</v>
      </c>
      <c r="L832">
        <v>0</v>
      </c>
      <c r="M832">
        <v>0</v>
      </c>
      <c r="N832">
        <v>1650</v>
      </c>
    </row>
    <row r="833" spans="1:14" x14ac:dyDescent="0.25">
      <c r="A833">
        <v>386.96533499999998</v>
      </c>
      <c r="B833" s="1">
        <f>DATE(2011,5,22) + TIME(23,10,4)</f>
        <v>40685.965324074074</v>
      </c>
      <c r="C833">
        <v>80</v>
      </c>
      <c r="D833">
        <v>79.945472717000001</v>
      </c>
      <c r="E833">
        <v>40</v>
      </c>
      <c r="F833">
        <v>38.448070526000002</v>
      </c>
      <c r="G833">
        <v>1342.1187743999999</v>
      </c>
      <c r="H833">
        <v>1338.8670654</v>
      </c>
      <c r="I833">
        <v>1323.8565673999999</v>
      </c>
      <c r="J833">
        <v>1320.8339844</v>
      </c>
      <c r="K833">
        <v>1650</v>
      </c>
      <c r="L833">
        <v>0</v>
      </c>
      <c r="M833">
        <v>0</v>
      </c>
      <c r="N833">
        <v>1650</v>
      </c>
    </row>
    <row r="834" spans="1:14" x14ac:dyDescent="0.25">
      <c r="A834">
        <v>387.44611400000002</v>
      </c>
      <c r="B834" s="1">
        <f>DATE(2011,5,23) + TIME(10,42,24)</f>
        <v>40686.446111111109</v>
      </c>
      <c r="C834">
        <v>80</v>
      </c>
      <c r="D834">
        <v>79.945404053000004</v>
      </c>
      <c r="E834">
        <v>40</v>
      </c>
      <c r="F834">
        <v>38.422348022000001</v>
      </c>
      <c r="G834">
        <v>1342.1077881000001</v>
      </c>
      <c r="H834">
        <v>1338.8618164</v>
      </c>
      <c r="I834">
        <v>1323.8542480000001</v>
      </c>
      <c r="J834">
        <v>1320.8306885</v>
      </c>
      <c r="K834">
        <v>1650</v>
      </c>
      <c r="L834">
        <v>0</v>
      </c>
      <c r="M834">
        <v>0</v>
      </c>
      <c r="N834">
        <v>1650</v>
      </c>
    </row>
    <row r="835" spans="1:14" x14ac:dyDescent="0.25">
      <c r="A835">
        <v>387.93421000000001</v>
      </c>
      <c r="B835" s="1">
        <f>DATE(2011,5,23) + TIME(22,25,15)</f>
        <v>40686.934201388889</v>
      </c>
      <c r="C835">
        <v>80</v>
      </c>
      <c r="D835">
        <v>79.945335388000004</v>
      </c>
      <c r="E835">
        <v>40</v>
      </c>
      <c r="F835">
        <v>38.396404265999998</v>
      </c>
      <c r="G835">
        <v>1342.0968018000001</v>
      </c>
      <c r="H835">
        <v>1338.8565673999999</v>
      </c>
      <c r="I835">
        <v>1323.8519286999999</v>
      </c>
      <c r="J835">
        <v>1320.8272704999999</v>
      </c>
      <c r="K835">
        <v>1650</v>
      </c>
      <c r="L835">
        <v>0</v>
      </c>
      <c r="M835">
        <v>0</v>
      </c>
      <c r="N835">
        <v>1650</v>
      </c>
    </row>
    <row r="836" spans="1:14" x14ac:dyDescent="0.25">
      <c r="A836">
        <v>388.43202700000001</v>
      </c>
      <c r="B836" s="1">
        <f>DATE(2011,5,24) + TIME(10,22,7)</f>
        <v>40687.432025462964</v>
      </c>
      <c r="C836">
        <v>80</v>
      </c>
      <c r="D836">
        <v>79.945259093999994</v>
      </c>
      <c r="E836">
        <v>40</v>
      </c>
      <c r="F836">
        <v>38.370147705000001</v>
      </c>
      <c r="G836">
        <v>1342.0858154</v>
      </c>
      <c r="H836">
        <v>1338.8514404</v>
      </c>
      <c r="I836">
        <v>1323.8496094</v>
      </c>
      <c r="J836">
        <v>1320.8237305</v>
      </c>
      <c r="K836">
        <v>1650</v>
      </c>
      <c r="L836">
        <v>0</v>
      </c>
      <c r="M836">
        <v>0</v>
      </c>
      <c r="N836">
        <v>1650</v>
      </c>
    </row>
    <row r="837" spans="1:14" x14ac:dyDescent="0.25">
      <c r="A837">
        <v>388.94112100000001</v>
      </c>
      <c r="B837" s="1">
        <f>DATE(2011,5,24) + TIME(22,35,12)</f>
        <v>40687.941111111111</v>
      </c>
      <c r="C837">
        <v>80</v>
      </c>
      <c r="D837">
        <v>79.945190429999997</v>
      </c>
      <c r="E837">
        <v>40</v>
      </c>
      <c r="F837">
        <v>38.343521117999998</v>
      </c>
      <c r="G837">
        <v>1342.0748291</v>
      </c>
      <c r="H837">
        <v>1338.8461914</v>
      </c>
      <c r="I837">
        <v>1323.847168</v>
      </c>
      <c r="J837">
        <v>1320.8200684000001</v>
      </c>
      <c r="K837">
        <v>1650</v>
      </c>
      <c r="L837">
        <v>0</v>
      </c>
      <c r="M837">
        <v>0</v>
      </c>
      <c r="N837">
        <v>1650</v>
      </c>
    </row>
    <row r="838" spans="1:14" x14ac:dyDescent="0.25">
      <c r="A838">
        <v>389.46322800000002</v>
      </c>
      <c r="B838" s="1">
        <f>DATE(2011,5,25) + TIME(11,7,2)</f>
        <v>40688.463217592594</v>
      </c>
      <c r="C838">
        <v>80</v>
      </c>
      <c r="D838">
        <v>79.945121764999996</v>
      </c>
      <c r="E838">
        <v>40</v>
      </c>
      <c r="F838">
        <v>38.316459655999999</v>
      </c>
      <c r="G838">
        <v>1342.0638428</v>
      </c>
      <c r="H838">
        <v>1338.8409423999999</v>
      </c>
      <c r="I838">
        <v>1323.8446045000001</v>
      </c>
      <c r="J838">
        <v>1320.8164062000001</v>
      </c>
      <c r="K838">
        <v>1650</v>
      </c>
      <c r="L838">
        <v>0</v>
      </c>
      <c r="M838">
        <v>0</v>
      </c>
      <c r="N838">
        <v>1650</v>
      </c>
    </row>
    <row r="839" spans="1:14" x14ac:dyDescent="0.25">
      <c r="A839">
        <v>390.00022300000001</v>
      </c>
      <c r="B839" s="1">
        <f>DATE(2011,5,26) + TIME(0,0,19)</f>
        <v>40689.000219907408</v>
      </c>
      <c r="C839">
        <v>80</v>
      </c>
      <c r="D839">
        <v>79.945053100999999</v>
      </c>
      <c r="E839">
        <v>40</v>
      </c>
      <c r="F839">
        <v>38.288887023999997</v>
      </c>
      <c r="G839">
        <v>1342.0527344</v>
      </c>
      <c r="H839">
        <v>1338.8356934000001</v>
      </c>
      <c r="I839">
        <v>1323.8420410000001</v>
      </c>
      <c r="J839">
        <v>1320.8125</v>
      </c>
      <c r="K839">
        <v>1650</v>
      </c>
      <c r="L839">
        <v>0</v>
      </c>
      <c r="M839">
        <v>0</v>
      </c>
      <c r="N839">
        <v>1650</v>
      </c>
    </row>
    <row r="840" spans="1:14" x14ac:dyDescent="0.25">
      <c r="A840">
        <v>390.54470900000001</v>
      </c>
      <c r="B840" s="1">
        <f>DATE(2011,5,26) + TIME(13,4,22)</f>
        <v>40689.544699074075</v>
      </c>
      <c r="C840">
        <v>80</v>
      </c>
      <c r="D840">
        <v>79.944984435999999</v>
      </c>
      <c r="E840">
        <v>40</v>
      </c>
      <c r="F840">
        <v>38.261062621999997</v>
      </c>
      <c r="G840">
        <v>1342.0415039</v>
      </c>
      <c r="H840">
        <v>1338.8304443</v>
      </c>
      <c r="I840">
        <v>1323.8393555</v>
      </c>
      <c r="J840">
        <v>1320.8084716999999</v>
      </c>
      <c r="K840">
        <v>1650</v>
      </c>
      <c r="L840">
        <v>0</v>
      </c>
      <c r="M840">
        <v>0</v>
      </c>
      <c r="N840">
        <v>1650</v>
      </c>
    </row>
    <row r="841" spans="1:14" x14ac:dyDescent="0.25">
      <c r="A841">
        <v>391.09776399999998</v>
      </c>
      <c r="B841" s="1">
        <f>DATE(2011,5,27) + TIME(2,20,46)</f>
        <v>40690.097754629627</v>
      </c>
      <c r="C841">
        <v>80</v>
      </c>
      <c r="D841">
        <v>79.944908142000003</v>
      </c>
      <c r="E841">
        <v>40</v>
      </c>
      <c r="F841">
        <v>38.232971190999997</v>
      </c>
      <c r="G841">
        <v>1342.0302733999999</v>
      </c>
      <c r="H841">
        <v>1338.8251952999999</v>
      </c>
      <c r="I841">
        <v>1323.8365478999999</v>
      </c>
      <c r="J841">
        <v>1320.8043213000001</v>
      </c>
      <c r="K841">
        <v>1650</v>
      </c>
      <c r="L841">
        <v>0</v>
      </c>
      <c r="M841">
        <v>0</v>
      </c>
      <c r="N841">
        <v>1650</v>
      </c>
    </row>
    <row r="842" spans="1:14" x14ac:dyDescent="0.25">
      <c r="A842">
        <v>391.65410200000002</v>
      </c>
      <c r="B842" s="1">
        <f>DATE(2011,5,27) + TIME(15,41,54)</f>
        <v>40690.654097222221</v>
      </c>
      <c r="C842">
        <v>80</v>
      </c>
      <c r="D842">
        <v>79.944839478000006</v>
      </c>
      <c r="E842">
        <v>40</v>
      </c>
      <c r="F842">
        <v>38.204818725999999</v>
      </c>
      <c r="G842">
        <v>1342.0191649999999</v>
      </c>
      <c r="H842">
        <v>1338.8198242000001</v>
      </c>
      <c r="I842">
        <v>1323.8336182</v>
      </c>
      <c r="J842">
        <v>1320.8000488</v>
      </c>
      <c r="K842">
        <v>1650</v>
      </c>
      <c r="L842">
        <v>0</v>
      </c>
      <c r="M842">
        <v>0</v>
      </c>
      <c r="N842">
        <v>1650</v>
      </c>
    </row>
    <row r="843" spans="1:14" x14ac:dyDescent="0.25">
      <c r="A843">
        <v>392.21218099999999</v>
      </c>
      <c r="B843" s="1">
        <f>DATE(2011,5,28) + TIME(5,5,32)</f>
        <v>40691.212175925924</v>
      </c>
      <c r="C843">
        <v>80</v>
      </c>
      <c r="D843">
        <v>79.944770813000005</v>
      </c>
      <c r="E843">
        <v>40</v>
      </c>
      <c r="F843">
        <v>38.176685333000002</v>
      </c>
      <c r="G843">
        <v>1342.0081786999999</v>
      </c>
      <c r="H843">
        <v>1338.8146973</v>
      </c>
      <c r="I843">
        <v>1323.8306885</v>
      </c>
      <c r="J843">
        <v>1320.7956543</v>
      </c>
      <c r="K843">
        <v>1650</v>
      </c>
      <c r="L843">
        <v>0</v>
      </c>
      <c r="M843">
        <v>0</v>
      </c>
      <c r="N843">
        <v>1650</v>
      </c>
    </row>
    <row r="844" spans="1:14" x14ac:dyDescent="0.25">
      <c r="A844">
        <v>392.77322700000002</v>
      </c>
      <c r="B844" s="1">
        <f>DATE(2011,5,28) + TIME(18,33,26)</f>
        <v>40691.773217592592</v>
      </c>
      <c r="C844">
        <v>80</v>
      </c>
      <c r="D844">
        <v>79.944709778000004</v>
      </c>
      <c r="E844">
        <v>40</v>
      </c>
      <c r="F844">
        <v>38.148559570000003</v>
      </c>
      <c r="G844">
        <v>1341.9973144999999</v>
      </c>
      <c r="H844">
        <v>1338.8095702999999</v>
      </c>
      <c r="I844">
        <v>1323.8277588000001</v>
      </c>
      <c r="J844">
        <v>1320.7912598</v>
      </c>
      <c r="K844">
        <v>1650</v>
      </c>
      <c r="L844">
        <v>0</v>
      </c>
      <c r="M844">
        <v>0</v>
      </c>
      <c r="N844">
        <v>1650</v>
      </c>
    </row>
    <row r="845" spans="1:14" x14ac:dyDescent="0.25">
      <c r="A845">
        <v>393.33844599999998</v>
      </c>
      <c r="B845" s="1">
        <f>DATE(2011,5,29) + TIME(8,7,21)</f>
        <v>40692.338437500002</v>
      </c>
      <c r="C845">
        <v>80</v>
      </c>
      <c r="D845">
        <v>79.944641113000003</v>
      </c>
      <c r="E845">
        <v>40</v>
      </c>
      <c r="F845">
        <v>38.120410919000001</v>
      </c>
      <c r="G845">
        <v>1341.9863281</v>
      </c>
      <c r="H845">
        <v>1338.8043213000001</v>
      </c>
      <c r="I845">
        <v>1323.824707</v>
      </c>
      <c r="J845">
        <v>1320.7867432</v>
      </c>
      <c r="K845">
        <v>1650</v>
      </c>
      <c r="L845">
        <v>0</v>
      </c>
      <c r="M845">
        <v>0</v>
      </c>
      <c r="N845">
        <v>1650</v>
      </c>
    </row>
    <row r="846" spans="1:14" x14ac:dyDescent="0.25">
      <c r="A846">
        <v>393.90908300000001</v>
      </c>
      <c r="B846" s="1">
        <f>DATE(2011,5,29) + TIME(21,49,4)</f>
        <v>40692.909074074072</v>
      </c>
      <c r="C846">
        <v>80</v>
      </c>
      <c r="D846">
        <v>79.944572449000006</v>
      </c>
      <c r="E846">
        <v>40</v>
      </c>
      <c r="F846">
        <v>38.092208862</v>
      </c>
      <c r="G846">
        <v>1341.9754639</v>
      </c>
      <c r="H846">
        <v>1338.7990723</v>
      </c>
      <c r="I846">
        <v>1323.8216553</v>
      </c>
      <c r="J846">
        <v>1320.7821045000001</v>
      </c>
      <c r="K846">
        <v>1650</v>
      </c>
      <c r="L846">
        <v>0</v>
      </c>
      <c r="M846">
        <v>0</v>
      </c>
      <c r="N846">
        <v>1650</v>
      </c>
    </row>
    <row r="847" spans="1:14" x14ac:dyDescent="0.25">
      <c r="A847">
        <v>394.486492</v>
      </c>
      <c r="B847" s="1">
        <f>DATE(2011,5,30) + TIME(11,40,32)</f>
        <v>40693.486481481479</v>
      </c>
      <c r="C847">
        <v>80</v>
      </c>
      <c r="D847">
        <v>79.944503784000005</v>
      </c>
      <c r="E847">
        <v>40</v>
      </c>
      <c r="F847">
        <v>38.063899994000003</v>
      </c>
      <c r="G847">
        <v>1341.9647216999999</v>
      </c>
      <c r="H847">
        <v>1338.7939452999999</v>
      </c>
      <c r="I847">
        <v>1323.8184814000001</v>
      </c>
      <c r="J847">
        <v>1320.7773437999999</v>
      </c>
      <c r="K847">
        <v>1650</v>
      </c>
      <c r="L847">
        <v>0</v>
      </c>
      <c r="M847">
        <v>0</v>
      </c>
      <c r="N847">
        <v>1650</v>
      </c>
    </row>
    <row r="848" spans="1:14" x14ac:dyDescent="0.25">
      <c r="A848">
        <v>395.07197600000001</v>
      </c>
      <c r="B848" s="1">
        <f>DATE(2011,5,31) + TIME(1,43,38)</f>
        <v>40694.071967592594</v>
      </c>
      <c r="C848">
        <v>80</v>
      </c>
      <c r="D848">
        <v>79.944442749000004</v>
      </c>
      <c r="E848">
        <v>40</v>
      </c>
      <c r="F848">
        <v>38.035438538000001</v>
      </c>
      <c r="G848">
        <v>1341.9539795000001</v>
      </c>
      <c r="H848">
        <v>1338.7888184000001</v>
      </c>
      <c r="I848">
        <v>1323.8153076000001</v>
      </c>
      <c r="J848">
        <v>1320.7724608999999</v>
      </c>
      <c r="K848">
        <v>1650</v>
      </c>
      <c r="L848">
        <v>0</v>
      </c>
      <c r="M848">
        <v>0</v>
      </c>
      <c r="N848">
        <v>1650</v>
      </c>
    </row>
    <row r="849" spans="1:14" x14ac:dyDescent="0.25">
      <c r="A849">
        <v>395.66674499999999</v>
      </c>
      <c r="B849" s="1">
        <f>DATE(2011,5,31) + TIME(16,0,6)</f>
        <v>40694.66673611111</v>
      </c>
      <c r="C849">
        <v>80</v>
      </c>
      <c r="D849">
        <v>79.944374084000003</v>
      </c>
      <c r="E849">
        <v>40</v>
      </c>
      <c r="F849">
        <v>38.006782532000003</v>
      </c>
      <c r="G849">
        <v>1341.9432373</v>
      </c>
      <c r="H849">
        <v>1338.7838135</v>
      </c>
      <c r="I849">
        <v>1323.8120117000001</v>
      </c>
      <c r="J849">
        <v>1320.7674560999999</v>
      </c>
      <c r="K849">
        <v>1650</v>
      </c>
      <c r="L849">
        <v>0</v>
      </c>
      <c r="M849">
        <v>0</v>
      </c>
      <c r="N849">
        <v>1650</v>
      </c>
    </row>
    <row r="850" spans="1:14" x14ac:dyDescent="0.25">
      <c r="A850">
        <v>396</v>
      </c>
      <c r="B850" s="1">
        <f>DATE(2011,6,1) + TIME(0,0,0)</f>
        <v>40695</v>
      </c>
      <c r="C850">
        <v>80</v>
      </c>
      <c r="D850">
        <v>79.944328307999996</v>
      </c>
      <c r="E850">
        <v>40</v>
      </c>
      <c r="F850">
        <v>37.988239288000003</v>
      </c>
      <c r="G850">
        <v>1341.9324951000001</v>
      </c>
      <c r="H850">
        <v>1338.7785644999999</v>
      </c>
      <c r="I850">
        <v>1323.8084716999999</v>
      </c>
      <c r="J850">
        <v>1320.7626952999999</v>
      </c>
      <c r="K850">
        <v>1650</v>
      </c>
      <c r="L850">
        <v>0</v>
      </c>
      <c r="M850">
        <v>0</v>
      </c>
      <c r="N850">
        <v>1650</v>
      </c>
    </row>
    <row r="851" spans="1:14" x14ac:dyDescent="0.25">
      <c r="A851">
        <v>396.60549700000001</v>
      </c>
      <c r="B851" s="1">
        <f>DATE(2011,6,1) + TIME(14,31,54)</f>
        <v>40695.605486111112</v>
      </c>
      <c r="C851">
        <v>80</v>
      </c>
      <c r="D851">
        <v>79.944267272999994</v>
      </c>
      <c r="E851">
        <v>40</v>
      </c>
      <c r="F851">
        <v>37.960197448999999</v>
      </c>
      <c r="G851">
        <v>1341.9267577999999</v>
      </c>
      <c r="H851">
        <v>1338.7757568</v>
      </c>
      <c r="I851">
        <v>1323.8066406</v>
      </c>
      <c r="J851">
        <v>1320.7591553</v>
      </c>
      <c r="K851">
        <v>1650</v>
      </c>
      <c r="L851">
        <v>0</v>
      </c>
      <c r="M851">
        <v>0</v>
      </c>
      <c r="N851">
        <v>1650</v>
      </c>
    </row>
    <row r="852" spans="1:14" x14ac:dyDescent="0.25">
      <c r="A852">
        <v>397.23682400000001</v>
      </c>
      <c r="B852" s="1">
        <f>DATE(2011,6,2) + TIME(5,41,1)</f>
        <v>40696.236817129633</v>
      </c>
      <c r="C852">
        <v>80</v>
      </c>
      <c r="D852">
        <v>79.944213867000002</v>
      </c>
      <c r="E852">
        <v>40</v>
      </c>
      <c r="F852">
        <v>37.931190491000002</v>
      </c>
      <c r="G852">
        <v>1341.9161377</v>
      </c>
      <c r="H852">
        <v>1338.7707519999999</v>
      </c>
      <c r="I852">
        <v>1323.8031006000001</v>
      </c>
      <c r="J852">
        <v>1320.7537841999999</v>
      </c>
      <c r="K852">
        <v>1650</v>
      </c>
      <c r="L852">
        <v>0</v>
      </c>
      <c r="M852">
        <v>0</v>
      </c>
      <c r="N852">
        <v>1650</v>
      </c>
    </row>
    <row r="853" spans="1:14" x14ac:dyDescent="0.25">
      <c r="A853">
        <v>397.88239399999998</v>
      </c>
      <c r="B853" s="1">
        <f>DATE(2011,6,2) + TIME(21,10,38)</f>
        <v>40696.882384259261</v>
      </c>
      <c r="C853">
        <v>80</v>
      </c>
      <c r="D853">
        <v>79.944152832</v>
      </c>
      <c r="E853">
        <v>40</v>
      </c>
      <c r="F853">
        <v>37.901565552000001</v>
      </c>
      <c r="G853">
        <v>1341.9052733999999</v>
      </c>
      <c r="H853">
        <v>1338.7655029</v>
      </c>
      <c r="I853">
        <v>1323.7993164</v>
      </c>
      <c r="J853">
        <v>1320.7481689000001</v>
      </c>
      <c r="K853">
        <v>1650</v>
      </c>
      <c r="L853">
        <v>0</v>
      </c>
      <c r="M853">
        <v>0</v>
      </c>
      <c r="N853">
        <v>1650</v>
      </c>
    </row>
    <row r="854" spans="1:14" x14ac:dyDescent="0.25">
      <c r="A854">
        <v>398.54324300000002</v>
      </c>
      <c r="B854" s="1">
        <f>DATE(2011,6,3) + TIME(13,2,16)</f>
        <v>40697.543240740742</v>
      </c>
      <c r="C854">
        <v>80</v>
      </c>
      <c r="D854">
        <v>79.944091796999999</v>
      </c>
      <c r="E854">
        <v>40</v>
      </c>
      <c r="F854">
        <v>37.871356964</v>
      </c>
      <c r="G854">
        <v>1341.8942870999999</v>
      </c>
      <c r="H854">
        <v>1338.7602539</v>
      </c>
      <c r="I854">
        <v>1323.7955322</v>
      </c>
      <c r="J854">
        <v>1320.7423096</v>
      </c>
      <c r="K854">
        <v>1650</v>
      </c>
      <c r="L854">
        <v>0</v>
      </c>
      <c r="M854">
        <v>0</v>
      </c>
      <c r="N854">
        <v>1650</v>
      </c>
    </row>
    <row r="855" spans="1:14" x14ac:dyDescent="0.25">
      <c r="A855">
        <v>399.22181799999998</v>
      </c>
      <c r="B855" s="1">
        <f>DATE(2011,6,4) + TIME(5,19,25)</f>
        <v>40698.221817129626</v>
      </c>
      <c r="C855">
        <v>80</v>
      </c>
      <c r="D855">
        <v>79.944023131999998</v>
      </c>
      <c r="E855">
        <v>40</v>
      </c>
      <c r="F855">
        <v>37.840530395999998</v>
      </c>
      <c r="G855">
        <v>1341.8833007999999</v>
      </c>
      <c r="H855">
        <v>1338.7550048999999</v>
      </c>
      <c r="I855">
        <v>1323.7915039</v>
      </c>
      <c r="J855">
        <v>1320.7362060999999</v>
      </c>
      <c r="K855">
        <v>1650</v>
      </c>
      <c r="L855">
        <v>0</v>
      </c>
      <c r="M855">
        <v>0</v>
      </c>
      <c r="N855">
        <v>1650</v>
      </c>
    </row>
    <row r="856" spans="1:14" x14ac:dyDescent="0.25">
      <c r="A856">
        <v>399.918316</v>
      </c>
      <c r="B856" s="1">
        <f>DATE(2011,6,4) + TIME(22,2,22)</f>
        <v>40698.918310185189</v>
      </c>
      <c r="C856">
        <v>80</v>
      </c>
      <c r="D856">
        <v>79.943962096999996</v>
      </c>
      <c r="E856">
        <v>40</v>
      </c>
      <c r="F856">
        <v>37.809097289999997</v>
      </c>
      <c r="G856">
        <v>1341.8721923999999</v>
      </c>
      <c r="H856">
        <v>1338.7496338000001</v>
      </c>
      <c r="I856">
        <v>1323.7873535000001</v>
      </c>
      <c r="J856">
        <v>1320.7298584</v>
      </c>
      <c r="K856">
        <v>1650</v>
      </c>
      <c r="L856">
        <v>0</v>
      </c>
      <c r="M856">
        <v>0</v>
      </c>
      <c r="N856">
        <v>1650</v>
      </c>
    </row>
    <row r="857" spans="1:14" x14ac:dyDescent="0.25">
      <c r="A857">
        <v>400.63305600000001</v>
      </c>
      <c r="B857" s="1">
        <f>DATE(2011,6,5) + TIME(15,11,36)</f>
        <v>40699.633055555554</v>
      </c>
      <c r="C857">
        <v>80</v>
      </c>
      <c r="D857">
        <v>79.943901061999995</v>
      </c>
      <c r="E857">
        <v>40</v>
      </c>
      <c r="F857">
        <v>37.777069091999998</v>
      </c>
      <c r="G857">
        <v>1341.8610839999999</v>
      </c>
      <c r="H857">
        <v>1338.7442627</v>
      </c>
      <c r="I857">
        <v>1323.7829589999999</v>
      </c>
      <c r="J857">
        <v>1320.7232666</v>
      </c>
      <c r="K857">
        <v>1650</v>
      </c>
      <c r="L857">
        <v>0</v>
      </c>
      <c r="M857">
        <v>0</v>
      </c>
      <c r="N857">
        <v>1650</v>
      </c>
    </row>
    <row r="858" spans="1:14" x14ac:dyDescent="0.25">
      <c r="A858">
        <v>400.999709</v>
      </c>
      <c r="B858" s="1">
        <f>DATE(2011,6,5) + TIME(23,59,34)</f>
        <v>40699.999699074076</v>
      </c>
      <c r="C858">
        <v>80</v>
      </c>
      <c r="D858">
        <v>79.943847656000003</v>
      </c>
      <c r="E858">
        <v>40</v>
      </c>
      <c r="F858">
        <v>37.757205962999997</v>
      </c>
      <c r="G858">
        <v>1341.8496094</v>
      </c>
      <c r="H858">
        <v>1338.7387695</v>
      </c>
      <c r="I858">
        <v>1323.7784423999999</v>
      </c>
      <c r="J858">
        <v>1320.7169189000001</v>
      </c>
      <c r="K858">
        <v>1650</v>
      </c>
      <c r="L858">
        <v>0</v>
      </c>
      <c r="M858">
        <v>0</v>
      </c>
      <c r="N858">
        <v>1650</v>
      </c>
    </row>
    <row r="859" spans="1:14" x14ac:dyDescent="0.25">
      <c r="A859">
        <v>401.36636199999998</v>
      </c>
      <c r="B859" s="1">
        <f>DATE(2011,6,6) + TIME(8,47,33)</f>
        <v>40700.366354166668</v>
      </c>
      <c r="C859">
        <v>80</v>
      </c>
      <c r="D859">
        <v>79.943809509000005</v>
      </c>
      <c r="E859">
        <v>40</v>
      </c>
      <c r="F859">
        <v>37.738094330000003</v>
      </c>
      <c r="G859">
        <v>1341.8439940999999</v>
      </c>
      <c r="H859">
        <v>1338.7359618999999</v>
      </c>
      <c r="I859">
        <v>1323.776001</v>
      </c>
      <c r="J859">
        <v>1320.7130127</v>
      </c>
      <c r="K859">
        <v>1650</v>
      </c>
      <c r="L859">
        <v>0</v>
      </c>
      <c r="M859">
        <v>0</v>
      </c>
      <c r="N859">
        <v>1650</v>
      </c>
    </row>
    <row r="860" spans="1:14" x14ac:dyDescent="0.25">
      <c r="A860">
        <v>401.73301600000002</v>
      </c>
      <c r="B860" s="1">
        <f>DATE(2011,6,6) + TIME(17,35,32)</f>
        <v>40700.73300925926</v>
      </c>
      <c r="C860">
        <v>80</v>
      </c>
      <c r="D860">
        <v>79.943771362000007</v>
      </c>
      <c r="E860">
        <v>40</v>
      </c>
      <c r="F860">
        <v>37.719593048</v>
      </c>
      <c r="G860">
        <v>1341.8382568</v>
      </c>
      <c r="H860">
        <v>1338.7332764</v>
      </c>
      <c r="I860">
        <v>1323.7735596</v>
      </c>
      <c r="J860">
        <v>1320.7091064000001</v>
      </c>
      <c r="K860">
        <v>1650</v>
      </c>
      <c r="L860">
        <v>0</v>
      </c>
      <c r="M860">
        <v>0</v>
      </c>
      <c r="N860">
        <v>1650</v>
      </c>
    </row>
    <row r="861" spans="1:14" x14ac:dyDescent="0.25">
      <c r="A861">
        <v>402.09966900000001</v>
      </c>
      <c r="B861" s="1">
        <f>DATE(2011,6,7) + TIME(2,23,31)</f>
        <v>40701.099664351852</v>
      </c>
      <c r="C861">
        <v>80</v>
      </c>
      <c r="D861">
        <v>79.943733214999995</v>
      </c>
      <c r="E861">
        <v>40</v>
      </c>
      <c r="F861">
        <v>37.701576232999997</v>
      </c>
      <c r="G861">
        <v>1341.8326416</v>
      </c>
      <c r="H861">
        <v>1338.7305908000001</v>
      </c>
      <c r="I861">
        <v>1323.7711182</v>
      </c>
      <c r="J861">
        <v>1320.7053223</v>
      </c>
      <c r="K861">
        <v>1650</v>
      </c>
      <c r="L861">
        <v>0</v>
      </c>
      <c r="M861">
        <v>0</v>
      </c>
      <c r="N861">
        <v>1650</v>
      </c>
    </row>
    <row r="862" spans="1:14" x14ac:dyDescent="0.25">
      <c r="A862">
        <v>402.46632199999999</v>
      </c>
      <c r="B862" s="1">
        <f>DATE(2011,6,7) + TIME(11,11,30)</f>
        <v>40701.466319444444</v>
      </c>
      <c r="C862">
        <v>80</v>
      </c>
      <c r="D862">
        <v>79.943695067999997</v>
      </c>
      <c r="E862">
        <v>40</v>
      </c>
      <c r="F862">
        <v>37.683956146</v>
      </c>
      <c r="G862">
        <v>1341.8271483999999</v>
      </c>
      <c r="H862">
        <v>1338.7279053</v>
      </c>
      <c r="I862">
        <v>1323.7686768000001</v>
      </c>
      <c r="J862">
        <v>1320.7014160000001</v>
      </c>
      <c r="K862">
        <v>1650</v>
      </c>
      <c r="L862">
        <v>0</v>
      </c>
      <c r="M862">
        <v>0</v>
      </c>
      <c r="N862">
        <v>1650</v>
      </c>
    </row>
    <row r="863" spans="1:14" x14ac:dyDescent="0.25">
      <c r="A863">
        <v>402.83297499999998</v>
      </c>
      <c r="B863" s="1">
        <f>DATE(2011,6,7) + TIME(19,59,29)</f>
        <v>40701.832974537036</v>
      </c>
      <c r="C863">
        <v>80</v>
      </c>
      <c r="D863">
        <v>79.943664550999998</v>
      </c>
      <c r="E863">
        <v>40</v>
      </c>
      <c r="F863">
        <v>37.666656494000001</v>
      </c>
      <c r="G863">
        <v>1341.8216553</v>
      </c>
      <c r="H863">
        <v>1338.7252197</v>
      </c>
      <c r="I863">
        <v>1323.7662353999999</v>
      </c>
      <c r="J863">
        <v>1320.6976318</v>
      </c>
      <c r="K863">
        <v>1650</v>
      </c>
      <c r="L863">
        <v>0</v>
      </c>
      <c r="M863">
        <v>0</v>
      </c>
      <c r="N863">
        <v>1650</v>
      </c>
    </row>
    <row r="864" spans="1:14" x14ac:dyDescent="0.25">
      <c r="A864">
        <v>403.19962800000002</v>
      </c>
      <c r="B864" s="1">
        <f>DATE(2011,6,8) + TIME(4,47,27)</f>
        <v>40702.199618055558</v>
      </c>
      <c r="C864">
        <v>80</v>
      </c>
      <c r="D864">
        <v>79.943634032999995</v>
      </c>
      <c r="E864">
        <v>40</v>
      </c>
      <c r="F864">
        <v>37.649620056000003</v>
      </c>
      <c r="G864">
        <v>1341.8161620999999</v>
      </c>
      <c r="H864">
        <v>1338.7225341999999</v>
      </c>
      <c r="I864">
        <v>1323.7637939000001</v>
      </c>
      <c r="J864">
        <v>1320.6937256000001</v>
      </c>
      <c r="K864">
        <v>1650</v>
      </c>
      <c r="L864">
        <v>0</v>
      </c>
      <c r="M864">
        <v>0</v>
      </c>
      <c r="N864">
        <v>1650</v>
      </c>
    </row>
    <row r="865" spans="1:14" x14ac:dyDescent="0.25">
      <c r="A865">
        <v>403.93293499999999</v>
      </c>
      <c r="B865" s="1">
        <f>DATE(2011,6,8) + TIME(22,23,25)</f>
        <v>40702.932928240742</v>
      </c>
      <c r="C865">
        <v>80</v>
      </c>
      <c r="D865">
        <v>79.943603515999996</v>
      </c>
      <c r="E865">
        <v>40</v>
      </c>
      <c r="F865">
        <v>37.622016907000003</v>
      </c>
      <c r="G865">
        <v>1341.8107910000001</v>
      </c>
      <c r="H865">
        <v>1338.7199707</v>
      </c>
      <c r="I865">
        <v>1323.7612305</v>
      </c>
      <c r="J865">
        <v>1320.6892089999999</v>
      </c>
      <c r="K865">
        <v>1650</v>
      </c>
      <c r="L865">
        <v>0</v>
      </c>
      <c r="M865">
        <v>0</v>
      </c>
      <c r="N865">
        <v>1650</v>
      </c>
    </row>
    <row r="866" spans="1:14" x14ac:dyDescent="0.25">
      <c r="A866">
        <v>404.66718800000001</v>
      </c>
      <c r="B866" s="1">
        <f>DATE(2011,6,9) + TIME(16,0,45)</f>
        <v>40703.667187500003</v>
      </c>
      <c r="C866">
        <v>80</v>
      </c>
      <c r="D866">
        <v>79.943557738999999</v>
      </c>
      <c r="E866">
        <v>40</v>
      </c>
      <c r="F866">
        <v>37.592857361</v>
      </c>
      <c r="G866">
        <v>1341.8000488</v>
      </c>
      <c r="H866">
        <v>1338.7148437999999</v>
      </c>
      <c r="I866">
        <v>1323.7564697</v>
      </c>
      <c r="J866">
        <v>1320.6818848</v>
      </c>
      <c r="K866">
        <v>1650</v>
      </c>
      <c r="L866">
        <v>0</v>
      </c>
      <c r="M866">
        <v>0</v>
      </c>
      <c r="N866">
        <v>1650</v>
      </c>
    </row>
    <row r="867" spans="1:14" x14ac:dyDescent="0.25">
      <c r="A867">
        <v>405.40714700000001</v>
      </c>
      <c r="B867" s="1">
        <f>DATE(2011,6,10) + TIME(9,46,17)</f>
        <v>40704.407141203701</v>
      </c>
      <c r="C867">
        <v>80</v>
      </c>
      <c r="D867">
        <v>79.943504333000007</v>
      </c>
      <c r="E867">
        <v>40</v>
      </c>
      <c r="F867">
        <v>37.562648772999999</v>
      </c>
      <c r="G867">
        <v>1341.7894286999999</v>
      </c>
      <c r="H867">
        <v>1338.7097168</v>
      </c>
      <c r="I867">
        <v>1323.7514647999999</v>
      </c>
      <c r="J867">
        <v>1320.6743164</v>
      </c>
      <c r="K867">
        <v>1650</v>
      </c>
      <c r="L867">
        <v>0</v>
      </c>
      <c r="M867">
        <v>0</v>
      </c>
      <c r="N867">
        <v>1650</v>
      </c>
    </row>
    <row r="868" spans="1:14" x14ac:dyDescent="0.25">
      <c r="A868">
        <v>406.15457400000003</v>
      </c>
      <c r="B868" s="1">
        <f>DATE(2011,6,11) + TIME(3,42,35)</f>
        <v>40705.15457175926</v>
      </c>
      <c r="C868">
        <v>80</v>
      </c>
      <c r="D868">
        <v>79.943458557</v>
      </c>
      <c r="E868">
        <v>40</v>
      </c>
      <c r="F868">
        <v>37.531715392999999</v>
      </c>
      <c r="G868">
        <v>1341.7789307</v>
      </c>
      <c r="H868">
        <v>1338.7045897999999</v>
      </c>
      <c r="I868">
        <v>1323.7464600000001</v>
      </c>
      <c r="J868">
        <v>1320.6665039</v>
      </c>
      <c r="K868">
        <v>1650</v>
      </c>
      <c r="L868">
        <v>0</v>
      </c>
      <c r="M868">
        <v>0</v>
      </c>
      <c r="N868">
        <v>1650</v>
      </c>
    </row>
    <row r="869" spans="1:14" x14ac:dyDescent="0.25">
      <c r="A869">
        <v>406.91150299999998</v>
      </c>
      <c r="B869" s="1">
        <f>DATE(2011,6,11) + TIME(21,52,33)</f>
        <v>40705.911493055559</v>
      </c>
      <c r="C869">
        <v>80</v>
      </c>
      <c r="D869">
        <v>79.943405150999993</v>
      </c>
      <c r="E869">
        <v>40</v>
      </c>
      <c r="F869">
        <v>37.500240325999997</v>
      </c>
      <c r="G869">
        <v>1341.7684326000001</v>
      </c>
      <c r="H869">
        <v>1338.6994629000001</v>
      </c>
      <c r="I869">
        <v>1323.7412108999999</v>
      </c>
      <c r="J869">
        <v>1320.6583252</v>
      </c>
      <c r="K869">
        <v>1650</v>
      </c>
      <c r="L869">
        <v>0</v>
      </c>
      <c r="M869">
        <v>0</v>
      </c>
      <c r="N869">
        <v>1650</v>
      </c>
    </row>
    <row r="870" spans="1:14" x14ac:dyDescent="0.25">
      <c r="A870">
        <v>407.67982499999999</v>
      </c>
      <c r="B870" s="1">
        <f>DATE(2011,6,12) + TIME(16,18,56)</f>
        <v>40706.679814814815</v>
      </c>
      <c r="C870">
        <v>80</v>
      </c>
      <c r="D870">
        <v>79.943351746000005</v>
      </c>
      <c r="E870">
        <v>40</v>
      </c>
      <c r="F870">
        <v>37.468315124999997</v>
      </c>
      <c r="G870">
        <v>1341.7580565999999</v>
      </c>
      <c r="H870">
        <v>1338.6943358999999</v>
      </c>
      <c r="I870">
        <v>1323.7358397999999</v>
      </c>
      <c r="J870">
        <v>1320.6499022999999</v>
      </c>
      <c r="K870">
        <v>1650</v>
      </c>
      <c r="L870">
        <v>0</v>
      </c>
      <c r="M870">
        <v>0</v>
      </c>
      <c r="N870">
        <v>1650</v>
      </c>
    </row>
    <row r="871" spans="1:14" x14ac:dyDescent="0.25">
      <c r="A871">
        <v>408.46229</v>
      </c>
      <c r="B871" s="1">
        <f>DATE(2011,6,13) + TIME(11,5,41)</f>
        <v>40707.462280092594</v>
      </c>
      <c r="C871">
        <v>80</v>
      </c>
      <c r="D871">
        <v>79.943298339999998</v>
      </c>
      <c r="E871">
        <v>40</v>
      </c>
      <c r="F871">
        <v>37.435951232999997</v>
      </c>
      <c r="G871">
        <v>1341.7476807</v>
      </c>
      <c r="H871">
        <v>1338.6893310999999</v>
      </c>
      <c r="I871">
        <v>1323.7303466999999</v>
      </c>
      <c r="J871">
        <v>1320.6412353999999</v>
      </c>
      <c r="K871">
        <v>1650</v>
      </c>
      <c r="L871">
        <v>0</v>
      </c>
      <c r="M871">
        <v>0</v>
      </c>
      <c r="N871">
        <v>1650</v>
      </c>
    </row>
    <row r="872" spans="1:14" x14ac:dyDescent="0.25">
      <c r="A872">
        <v>409.26647400000002</v>
      </c>
      <c r="B872" s="1">
        <f>DATE(2011,6,14) + TIME(6,23,43)</f>
        <v>40708.266469907408</v>
      </c>
      <c r="C872">
        <v>80</v>
      </c>
      <c r="D872">
        <v>79.943244934000006</v>
      </c>
      <c r="E872">
        <v>40</v>
      </c>
      <c r="F872">
        <v>37.402996063000003</v>
      </c>
      <c r="G872">
        <v>1341.7371826000001</v>
      </c>
      <c r="H872">
        <v>1338.6842041</v>
      </c>
      <c r="I872">
        <v>1323.7246094</v>
      </c>
      <c r="J872">
        <v>1320.6322021000001</v>
      </c>
      <c r="K872">
        <v>1650</v>
      </c>
      <c r="L872">
        <v>0</v>
      </c>
      <c r="M872">
        <v>0</v>
      </c>
      <c r="N872">
        <v>1650</v>
      </c>
    </row>
    <row r="873" spans="1:14" x14ac:dyDescent="0.25">
      <c r="A873">
        <v>410.09343200000001</v>
      </c>
      <c r="B873" s="1">
        <f>DATE(2011,6,15) + TIME(2,14,32)</f>
        <v>40709.093425925923</v>
      </c>
      <c r="C873">
        <v>80</v>
      </c>
      <c r="D873">
        <v>79.943199157999999</v>
      </c>
      <c r="E873">
        <v>40</v>
      </c>
      <c r="F873">
        <v>37.369422913000001</v>
      </c>
      <c r="G873">
        <v>1341.7265625</v>
      </c>
      <c r="H873">
        <v>1338.6789550999999</v>
      </c>
      <c r="I873">
        <v>1323.71875</v>
      </c>
      <c r="J873">
        <v>1320.6228027</v>
      </c>
      <c r="K873">
        <v>1650</v>
      </c>
      <c r="L873">
        <v>0</v>
      </c>
      <c r="M873">
        <v>0</v>
      </c>
      <c r="N873">
        <v>1650</v>
      </c>
    </row>
    <row r="874" spans="1:14" x14ac:dyDescent="0.25">
      <c r="A874">
        <v>410.94104499999997</v>
      </c>
      <c r="B874" s="1">
        <f>DATE(2011,6,15) + TIME(22,35,6)</f>
        <v>40709.941041666665</v>
      </c>
      <c r="C874">
        <v>80</v>
      </c>
      <c r="D874">
        <v>79.943145752000007</v>
      </c>
      <c r="E874">
        <v>40</v>
      </c>
      <c r="F874">
        <v>37.335273743000002</v>
      </c>
      <c r="G874">
        <v>1341.7159423999999</v>
      </c>
      <c r="H874">
        <v>1338.6737060999999</v>
      </c>
      <c r="I874">
        <v>1323.7125243999999</v>
      </c>
      <c r="J874">
        <v>1320.6130370999999</v>
      </c>
      <c r="K874">
        <v>1650</v>
      </c>
      <c r="L874">
        <v>0</v>
      </c>
      <c r="M874">
        <v>0</v>
      </c>
      <c r="N874">
        <v>1650</v>
      </c>
    </row>
    <row r="875" spans="1:14" x14ac:dyDescent="0.25">
      <c r="A875">
        <v>411.81284399999998</v>
      </c>
      <c r="B875" s="1">
        <f>DATE(2011,6,16) + TIME(19,30,29)</f>
        <v>40710.812835648147</v>
      </c>
      <c r="C875">
        <v>80</v>
      </c>
      <c r="D875">
        <v>79.943092346</v>
      </c>
      <c r="E875">
        <v>40</v>
      </c>
      <c r="F875">
        <v>37.300487517999997</v>
      </c>
      <c r="G875">
        <v>1341.7050781</v>
      </c>
      <c r="H875">
        <v>1338.6683350000001</v>
      </c>
      <c r="I875">
        <v>1323.7060547000001</v>
      </c>
      <c r="J875">
        <v>1320.6027832</v>
      </c>
      <c r="K875">
        <v>1650</v>
      </c>
      <c r="L875">
        <v>0</v>
      </c>
      <c r="M875">
        <v>0</v>
      </c>
      <c r="N875">
        <v>1650</v>
      </c>
    </row>
    <row r="876" spans="1:14" x14ac:dyDescent="0.25">
      <c r="A876">
        <v>412.71175199999999</v>
      </c>
      <c r="B876" s="1">
        <f>DATE(2011,6,17) + TIME(17,4,55)</f>
        <v>40711.711747685185</v>
      </c>
      <c r="C876">
        <v>80</v>
      </c>
      <c r="D876">
        <v>79.943046570000007</v>
      </c>
      <c r="E876">
        <v>40</v>
      </c>
      <c r="F876">
        <v>37.264995575</v>
      </c>
      <c r="G876">
        <v>1341.6942139</v>
      </c>
      <c r="H876">
        <v>1338.6628418</v>
      </c>
      <c r="I876">
        <v>1323.6993408000001</v>
      </c>
      <c r="J876">
        <v>1320.5921631000001</v>
      </c>
      <c r="K876">
        <v>1650</v>
      </c>
      <c r="L876">
        <v>0</v>
      </c>
      <c r="M876">
        <v>0</v>
      </c>
      <c r="N876">
        <v>1650</v>
      </c>
    </row>
    <row r="877" spans="1:14" x14ac:dyDescent="0.25">
      <c r="A877">
        <v>413.64099599999997</v>
      </c>
      <c r="B877" s="1">
        <f>DATE(2011,6,18) + TIME(15,23,2)</f>
        <v>40712.64099537037</v>
      </c>
      <c r="C877">
        <v>80</v>
      </c>
      <c r="D877">
        <v>79.942993164000001</v>
      </c>
      <c r="E877">
        <v>40</v>
      </c>
      <c r="F877">
        <v>37.228710175000003</v>
      </c>
      <c r="G877">
        <v>1341.6831055</v>
      </c>
      <c r="H877">
        <v>1338.6573486</v>
      </c>
      <c r="I877">
        <v>1323.6923827999999</v>
      </c>
      <c r="J877">
        <v>1320.5809326000001</v>
      </c>
      <c r="K877">
        <v>1650</v>
      </c>
      <c r="L877">
        <v>0</v>
      </c>
      <c r="M877">
        <v>0</v>
      </c>
      <c r="N877">
        <v>1650</v>
      </c>
    </row>
    <row r="878" spans="1:14" x14ac:dyDescent="0.25">
      <c r="A878">
        <v>414.11826000000002</v>
      </c>
      <c r="B878" s="1">
        <f>DATE(2011,6,19) + TIME(2,50,17)</f>
        <v>40713.118252314816</v>
      </c>
      <c r="C878">
        <v>80</v>
      </c>
      <c r="D878">
        <v>79.942947387999993</v>
      </c>
      <c r="E878">
        <v>40</v>
      </c>
      <c r="F878">
        <v>37.205280303999999</v>
      </c>
      <c r="G878">
        <v>1341.6717529</v>
      </c>
      <c r="H878">
        <v>1338.6516113</v>
      </c>
      <c r="I878">
        <v>1323.6853027</v>
      </c>
      <c r="J878">
        <v>1320.5704346</v>
      </c>
      <c r="K878">
        <v>1650</v>
      </c>
      <c r="L878">
        <v>0</v>
      </c>
      <c r="M878">
        <v>0</v>
      </c>
      <c r="N878">
        <v>1650</v>
      </c>
    </row>
    <row r="879" spans="1:14" x14ac:dyDescent="0.25">
      <c r="A879">
        <v>414.59552400000001</v>
      </c>
      <c r="B879" s="1">
        <f>DATE(2011,6,19) + TIME(14,17,33)</f>
        <v>40713.595520833333</v>
      </c>
      <c r="C879">
        <v>80</v>
      </c>
      <c r="D879">
        <v>79.942909240999995</v>
      </c>
      <c r="E879">
        <v>40</v>
      </c>
      <c r="F879">
        <v>37.183139801000003</v>
      </c>
      <c r="G879">
        <v>1341.6660156</v>
      </c>
      <c r="H879">
        <v>1338.6486815999999</v>
      </c>
      <c r="I879">
        <v>1323.6812743999999</v>
      </c>
      <c r="J879">
        <v>1320.5635986</v>
      </c>
      <c r="K879">
        <v>1650</v>
      </c>
      <c r="L879">
        <v>0</v>
      </c>
      <c r="M879">
        <v>0</v>
      </c>
      <c r="N879">
        <v>1650</v>
      </c>
    </row>
    <row r="880" spans="1:14" x14ac:dyDescent="0.25">
      <c r="A880">
        <v>415.072789</v>
      </c>
      <c r="B880" s="1">
        <f>DATE(2011,6,20) + TIME(1,44,48)</f>
        <v>40714.072777777779</v>
      </c>
      <c r="C880">
        <v>80</v>
      </c>
      <c r="D880">
        <v>79.942878723000007</v>
      </c>
      <c r="E880">
        <v>40</v>
      </c>
      <c r="F880">
        <v>37.161964417</v>
      </c>
      <c r="G880">
        <v>1341.6604004000001</v>
      </c>
      <c r="H880">
        <v>1338.645874</v>
      </c>
      <c r="I880">
        <v>1323.6772461</v>
      </c>
      <c r="J880">
        <v>1320.5570068</v>
      </c>
      <c r="K880">
        <v>1650</v>
      </c>
      <c r="L880">
        <v>0</v>
      </c>
      <c r="M880">
        <v>0</v>
      </c>
      <c r="N880">
        <v>1650</v>
      </c>
    </row>
    <row r="881" spans="1:14" x14ac:dyDescent="0.25">
      <c r="A881">
        <v>415.55005299999999</v>
      </c>
      <c r="B881" s="1">
        <f>DATE(2011,6,20) + TIME(13,12,4)</f>
        <v>40714.550046296295</v>
      </c>
      <c r="C881">
        <v>80</v>
      </c>
      <c r="D881">
        <v>79.942848205999994</v>
      </c>
      <c r="E881">
        <v>40</v>
      </c>
      <c r="F881">
        <v>37.141521453999999</v>
      </c>
      <c r="G881">
        <v>1341.6547852000001</v>
      </c>
      <c r="H881">
        <v>1338.6430664</v>
      </c>
      <c r="I881">
        <v>1323.6732178</v>
      </c>
      <c r="J881">
        <v>1320.5504149999999</v>
      </c>
      <c r="K881">
        <v>1650</v>
      </c>
      <c r="L881">
        <v>0</v>
      </c>
      <c r="M881">
        <v>0</v>
      </c>
      <c r="N881">
        <v>1650</v>
      </c>
    </row>
    <row r="882" spans="1:14" x14ac:dyDescent="0.25">
      <c r="A882">
        <v>416.02731699999998</v>
      </c>
      <c r="B882" s="1">
        <f>DATE(2011,6,21) + TIME(0,39,20)</f>
        <v>40715.027314814812</v>
      </c>
      <c r="C882">
        <v>80</v>
      </c>
      <c r="D882">
        <v>79.942825317</v>
      </c>
      <c r="E882">
        <v>40</v>
      </c>
      <c r="F882">
        <v>37.121639252000001</v>
      </c>
      <c r="G882">
        <v>1341.6491699000001</v>
      </c>
      <c r="H882">
        <v>1338.6402588000001</v>
      </c>
      <c r="I882">
        <v>1323.6691894999999</v>
      </c>
      <c r="J882">
        <v>1320.5438231999999</v>
      </c>
      <c r="K882">
        <v>1650</v>
      </c>
      <c r="L882">
        <v>0</v>
      </c>
      <c r="M882">
        <v>0</v>
      </c>
      <c r="N882">
        <v>1650</v>
      </c>
    </row>
    <row r="883" spans="1:14" x14ac:dyDescent="0.25">
      <c r="A883">
        <v>416.50458099999997</v>
      </c>
      <c r="B883" s="1">
        <f>DATE(2011,6,21) + TIME(12,6,35)</f>
        <v>40715.504571759258</v>
      </c>
      <c r="C883">
        <v>80</v>
      </c>
      <c r="D883">
        <v>79.942802428999997</v>
      </c>
      <c r="E883">
        <v>40</v>
      </c>
      <c r="F883">
        <v>37.102195739999999</v>
      </c>
      <c r="G883">
        <v>1341.6436768000001</v>
      </c>
      <c r="H883">
        <v>1338.6374512</v>
      </c>
      <c r="I883">
        <v>1323.6651611</v>
      </c>
      <c r="J883">
        <v>1320.5372314000001</v>
      </c>
      <c r="K883">
        <v>1650</v>
      </c>
      <c r="L883">
        <v>0</v>
      </c>
      <c r="M883">
        <v>0</v>
      </c>
      <c r="N883">
        <v>1650</v>
      </c>
    </row>
    <row r="884" spans="1:14" x14ac:dyDescent="0.25">
      <c r="A884">
        <v>416.98184600000002</v>
      </c>
      <c r="B884" s="1">
        <f>DATE(2011,6,21) + TIME(23,33,51)</f>
        <v>40715.981840277775</v>
      </c>
      <c r="C884">
        <v>80</v>
      </c>
      <c r="D884">
        <v>79.942779540999993</v>
      </c>
      <c r="E884">
        <v>40</v>
      </c>
      <c r="F884">
        <v>37.083099365000002</v>
      </c>
      <c r="G884">
        <v>1341.6381836</v>
      </c>
      <c r="H884">
        <v>1338.6346435999999</v>
      </c>
      <c r="I884">
        <v>1323.6611327999999</v>
      </c>
      <c r="J884">
        <v>1320.5307617000001</v>
      </c>
      <c r="K884">
        <v>1650</v>
      </c>
      <c r="L884">
        <v>0</v>
      </c>
      <c r="M884">
        <v>0</v>
      </c>
      <c r="N884">
        <v>1650</v>
      </c>
    </row>
    <row r="885" spans="1:14" x14ac:dyDescent="0.25">
      <c r="A885">
        <v>417.45911000000001</v>
      </c>
      <c r="B885" s="1">
        <f>DATE(2011,6,22) + TIME(11,1,7)</f>
        <v>40716.459108796298</v>
      </c>
      <c r="C885">
        <v>80</v>
      </c>
      <c r="D885">
        <v>79.942756653000004</v>
      </c>
      <c r="E885">
        <v>40</v>
      </c>
      <c r="F885">
        <v>37.064281463999997</v>
      </c>
      <c r="G885">
        <v>1341.6328125</v>
      </c>
      <c r="H885">
        <v>1338.6318358999999</v>
      </c>
      <c r="I885">
        <v>1323.6571045000001</v>
      </c>
      <c r="J885">
        <v>1320.5241699000001</v>
      </c>
      <c r="K885">
        <v>1650</v>
      </c>
      <c r="L885">
        <v>0</v>
      </c>
      <c r="M885">
        <v>0</v>
      </c>
      <c r="N885">
        <v>1650</v>
      </c>
    </row>
    <row r="886" spans="1:14" x14ac:dyDescent="0.25">
      <c r="A886">
        <v>418.41363799999999</v>
      </c>
      <c r="B886" s="1">
        <f>DATE(2011,6,23) + TIME(9,55,38)</f>
        <v>40717.413634259261</v>
      </c>
      <c r="C886">
        <v>80</v>
      </c>
      <c r="D886">
        <v>79.942741393999995</v>
      </c>
      <c r="E886">
        <v>40</v>
      </c>
      <c r="F886">
        <v>37.034961699999997</v>
      </c>
      <c r="G886">
        <v>1341.6274414</v>
      </c>
      <c r="H886">
        <v>1338.6291504000001</v>
      </c>
      <c r="I886">
        <v>1323.652832</v>
      </c>
      <c r="J886">
        <v>1320.5166016000001</v>
      </c>
      <c r="K886">
        <v>1650</v>
      </c>
      <c r="L886">
        <v>0</v>
      </c>
      <c r="M886">
        <v>0</v>
      </c>
      <c r="N886">
        <v>1650</v>
      </c>
    </row>
    <row r="887" spans="1:14" x14ac:dyDescent="0.25">
      <c r="A887">
        <v>419.36866199999997</v>
      </c>
      <c r="B887" s="1">
        <f>DATE(2011,6,24) + TIME(8,50,52)</f>
        <v>40718.368657407409</v>
      </c>
      <c r="C887">
        <v>80</v>
      </c>
      <c r="D887">
        <v>79.942710876000007</v>
      </c>
      <c r="E887">
        <v>40</v>
      </c>
      <c r="F887">
        <v>37.002960205000001</v>
      </c>
      <c r="G887">
        <v>1341.6166992000001</v>
      </c>
      <c r="H887">
        <v>1338.6236572</v>
      </c>
      <c r="I887">
        <v>1323.6452637</v>
      </c>
      <c r="J887">
        <v>1320.5043945</v>
      </c>
      <c r="K887">
        <v>1650</v>
      </c>
      <c r="L887">
        <v>0</v>
      </c>
      <c r="M887">
        <v>0</v>
      </c>
      <c r="N887">
        <v>1650</v>
      </c>
    </row>
    <row r="888" spans="1:14" x14ac:dyDescent="0.25">
      <c r="A888">
        <v>420.332875</v>
      </c>
      <c r="B888" s="1">
        <f>DATE(2011,6,25) + TIME(7,59,20)</f>
        <v>40719.332870370374</v>
      </c>
      <c r="C888">
        <v>80</v>
      </c>
      <c r="D888">
        <v>79.942672728999995</v>
      </c>
      <c r="E888">
        <v>40</v>
      </c>
      <c r="F888">
        <v>36.969398499</v>
      </c>
      <c r="G888">
        <v>1341.6062012</v>
      </c>
      <c r="H888">
        <v>1338.6182861</v>
      </c>
      <c r="I888">
        <v>1323.6374512</v>
      </c>
      <c r="J888">
        <v>1320.4916992000001</v>
      </c>
      <c r="K888">
        <v>1650</v>
      </c>
      <c r="L888">
        <v>0</v>
      </c>
      <c r="M888">
        <v>0</v>
      </c>
      <c r="N888">
        <v>1650</v>
      </c>
    </row>
    <row r="889" spans="1:14" x14ac:dyDescent="0.25">
      <c r="A889">
        <v>421.30900100000002</v>
      </c>
      <c r="B889" s="1">
        <f>DATE(2011,6,26) + TIME(7,24,57)</f>
        <v>40720.308993055558</v>
      </c>
      <c r="C889">
        <v>80</v>
      </c>
      <c r="D889">
        <v>79.942634583</v>
      </c>
      <c r="E889">
        <v>40</v>
      </c>
      <c r="F889">
        <v>36.934909820999998</v>
      </c>
      <c r="G889">
        <v>1341.5955810999999</v>
      </c>
      <c r="H889">
        <v>1338.6129149999999</v>
      </c>
      <c r="I889">
        <v>1323.6292725000001</v>
      </c>
      <c r="J889">
        <v>1320.4782714999999</v>
      </c>
      <c r="K889">
        <v>1650</v>
      </c>
      <c r="L889">
        <v>0</v>
      </c>
      <c r="M889">
        <v>0</v>
      </c>
      <c r="N889">
        <v>1650</v>
      </c>
    </row>
    <row r="890" spans="1:14" x14ac:dyDescent="0.25">
      <c r="A890">
        <v>422.30040500000001</v>
      </c>
      <c r="B890" s="1">
        <f>DATE(2011,6,27) + TIME(7,12,34)</f>
        <v>40721.300393518519</v>
      </c>
      <c r="C890">
        <v>80</v>
      </c>
      <c r="D890">
        <v>79.942596436000002</v>
      </c>
      <c r="E890">
        <v>40</v>
      </c>
      <c r="F890">
        <v>36.899833678999997</v>
      </c>
      <c r="G890">
        <v>1341.5852050999999</v>
      </c>
      <c r="H890">
        <v>1338.6075439000001</v>
      </c>
      <c r="I890">
        <v>1323.6208495999999</v>
      </c>
      <c r="J890">
        <v>1320.4644774999999</v>
      </c>
      <c r="K890">
        <v>1650</v>
      </c>
      <c r="L890">
        <v>0</v>
      </c>
      <c r="M890">
        <v>0</v>
      </c>
      <c r="N890">
        <v>1650</v>
      </c>
    </row>
    <row r="891" spans="1:14" x14ac:dyDescent="0.25">
      <c r="A891">
        <v>423.31320399999998</v>
      </c>
      <c r="B891" s="1">
        <f>DATE(2011,6,28) + TIME(7,31,0)</f>
        <v>40722.313194444447</v>
      </c>
      <c r="C891">
        <v>80</v>
      </c>
      <c r="D891">
        <v>79.942565918</v>
      </c>
      <c r="E891">
        <v>40</v>
      </c>
      <c r="F891">
        <v>36.864261626999998</v>
      </c>
      <c r="G891">
        <v>1341.574707</v>
      </c>
      <c r="H891">
        <v>1338.6020507999999</v>
      </c>
      <c r="I891">
        <v>1323.6123047000001</v>
      </c>
      <c r="J891">
        <v>1320.4501952999999</v>
      </c>
      <c r="K891">
        <v>1650</v>
      </c>
      <c r="L891">
        <v>0</v>
      </c>
      <c r="M891">
        <v>0</v>
      </c>
      <c r="N891">
        <v>1650</v>
      </c>
    </row>
    <row r="892" spans="1:14" x14ac:dyDescent="0.25">
      <c r="A892">
        <v>424.34428300000002</v>
      </c>
      <c r="B892" s="1">
        <f>DATE(2011,6,29) + TIME(8,15,46)</f>
        <v>40723.344282407408</v>
      </c>
      <c r="C892">
        <v>80</v>
      </c>
      <c r="D892">
        <v>79.942527771000002</v>
      </c>
      <c r="E892">
        <v>40</v>
      </c>
      <c r="F892">
        <v>36.828372954999999</v>
      </c>
      <c r="G892">
        <v>1341.5640868999999</v>
      </c>
      <c r="H892">
        <v>1338.5965576000001</v>
      </c>
      <c r="I892">
        <v>1323.6033935999999</v>
      </c>
      <c r="J892">
        <v>1320.4354248</v>
      </c>
      <c r="K892">
        <v>1650</v>
      </c>
      <c r="L892">
        <v>0</v>
      </c>
      <c r="M892">
        <v>0</v>
      </c>
      <c r="N892">
        <v>1650</v>
      </c>
    </row>
    <row r="893" spans="1:14" x14ac:dyDescent="0.25">
      <c r="A893">
        <v>425.39352600000001</v>
      </c>
      <c r="B893" s="1">
        <f>DATE(2011,6,30) + TIME(9,26,40)</f>
        <v>40724.393518518518</v>
      </c>
      <c r="C893">
        <v>80</v>
      </c>
      <c r="D893">
        <v>79.942489624000004</v>
      </c>
      <c r="E893">
        <v>40</v>
      </c>
      <c r="F893">
        <v>36.792274474999999</v>
      </c>
      <c r="G893">
        <v>1341.5534668</v>
      </c>
      <c r="H893">
        <v>1338.5910644999999</v>
      </c>
      <c r="I893">
        <v>1323.5942382999999</v>
      </c>
      <c r="J893">
        <v>1320.4200439000001</v>
      </c>
      <c r="K893">
        <v>1650</v>
      </c>
      <c r="L893">
        <v>0</v>
      </c>
      <c r="M893">
        <v>0</v>
      </c>
      <c r="N893">
        <v>1650</v>
      </c>
    </row>
    <row r="894" spans="1:14" x14ac:dyDescent="0.25">
      <c r="A894">
        <v>426</v>
      </c>
      <c r="B894" s="1">
        <f>DATE(2011,7,1) + TIME(0,0,0)</f>
        <v>40725</v>
      </c>
      <c r="C894">
        <v>80</v>
      </c>
      <c r="D894">
        <v>79.942451477000006</v>
      </c>
      <c r="E894">
        <v>40</v>
      </c>
      <c r="F894">
        <v>36.766700745000001</v>
      </c>
      <c r="G894">
        <v>1341.5428466999999</v>
      </c>
      <c r="H894">
        <v>1338.5854492000001</v>
      </c>
      <c r="I894">
        <v>1323.5852050999999</v>
      </c>
      <c r="J894">
        <v>1320.4056396000001</v>
      </c>
      <c r="K894">
        <v>1650</v>
      </c>
      <c r="L894">
        <v>0</v>
      </c>
      <c r="M894">
        <v>0</v>
      </c>
      <c r="N894">
        <v>1650</v>
      </c>
    </row>
    <row r="895" spans="1:14" x14ac:dyDescent="0.25">
      <c r="A895">
        <v>427.07192700000002</v>
      </c>
      <c r="B895" s="1">
        <f>DATE(2011,7,2) + TIME(1,43,34)</f>
        <v>40726.071921296294</v>
      </c>
      <c r="C895">
        <v>80</v>
      </c>
      <c r="D895">
        <v>79.942428589000002</v>
      </c>
      <c r="E895">
        <v>40</v>
      </c>
      <c r="F895">
        <v>36.732803345000001</v>
      </c>
      <c r="G895">
        <v>1341.5368652</v>
      </c>
      <c r="H895">
        <v>1338.5822754000001</v>
      </c>
      <c r="I895">
        <v>1323.5788574000001</v>
      </c>
      <c r="J895">
        <v>1320.3941649999999</v>
      </c>
      <c r="K895">
        <v>1650</v>
      </c>
      <c r="L895">
        <v>0</v>
      </c>
      <c r="M895">
        <v>0</v>
      </c>
      <c r="N895">
        <v>1650</v>
      </c>
    </row>
    <row r="896" spans="1:14" x14ac:dyDescent="0.25">
      <c r="A896">
        <v>428.20293500000002</v>
      </c>
      <c r="B896" s="1">
        <f>DATE(2011,7,3) + TIME(4,52,13)</f>
        <v>40727.202928240738</v>
      </c>
      <c r="C896">
        <v>80</v>
      </c>
      <c r="D896">
        <v>79.942405700999998</v>
      </c>
      <c r="E896">
        <v>40</v>
      </c>
      <c r="F896">
        <v>36.697223663000003</v>
      </c>
      <c r="G896">
        <v>1341.5262451000001</v>
      </c>
      <c r="H896">
        <v>1338.5766602000001</v>
      </c>
      <c r="I896">
        <v>1323.5693358999999</v>
      </c>
      <c r="J896">
        <v>1320.3780518000001</v>
      </c>
      <c r="K896">
        <v>1650</v>
      </c>
      <c r="L896">
        <v>0</v>
      </c>
      <c r="M896">
        <v>0</v>
      </c>
      <c r="N896">
        <v>1650</v>
      </c>
    </row>
    <row r="897" spans="1:14" x14ac:dyDescent="0.25">
      <c r="A897">
        <v>428.78451899999999</v>
      </c>
      <c r="B897" s="1">
        <f>DATE(2011,7,3) + TIME(18,49,42)</f>
        <v>40727.784513888888</v>
      </c>
      <c r="C897">
        <v>80</v>
      </c>
      <c r="D897">
        <v>79.942367554</v>
      </c>
      <c r="E897">
        <v>40</v>
      </c>
      <c r="F897">
        <v>36.673248291</v>
      </c>
      <c r="G897">
        <v>1341.5151367000001</v>
      </c>
      <c r="H897">
        <v>1338.5708007999999</v>
      </c>
      <c r="I897">
        <v>1323.5598144999999</v>
      </c>
      <c r="J897">
        <v>1320.3625488</v>
      </c>
      <c r="K897">
        <v>1650</v>
      </c>
      <c r="L897">
        <v>0</v>
      </c>
      <c r="M897">
        <v>0</v>
      </c>
      <c r="N897">
        <v>1650</v>
      </c>
    </row>
    <row r="898" spans="1:14" x14ac:dyDescent="0.25">
      <c r="A898">
        <v>429.36610400000001</v>
      </c>
      <c r="B898" s="1">
        <f>DATE(2011,7,4) + TIME(8,47,11)</f>
        <v>40728.366099537037</v>
      </c>
      <c r="C898">
        <v>80</v>
      </c>
      <c r="D898">
        <v>79.942337035999998</v>
      </c>
      <c r="E898">
        <v>40</v>
      </c>
      <c r="F898">
        <v>36.651008605999998</v>
      </c>
      <c r="G898">
        <v>1341.5095214999999</v>
      </c>
      <c r="H898">
        <v>1338.567749</v>
      </c>
      <c r="I898">
        <v>1323.5538329999999</v>
      </c>
      <c r="J898">
        <v>1320.3522949000001</v>
      </c>
      <c r="K898">
        <v>1650</v>
      </c>
      <c r="L898">
        <v>0</v>
      </c>
      <c r="M898">
        <v>0</v>
      </c>
      <c r="N898">
        <v>1650</v>
      </c>
    </row>
    <row r="899" spans="1:14" x14ac:dyDescent="0.25">
      <c r="A899">
        <v>429.94768800000003</v>
      </c>
      <c r="B899" s="1">
        <f>DATE(2011,7,4) + TIME(22,44,40)</f>
        <v>40728.947685185187</v>
      </c>
      <c r="C899">
        <v>80</v>
      </c>
      <c r="D899">
        <v>79.942314147999994</v>
      </c>
      <c r="E899">
        <v>40</v>
      </c>
      <c r="F899">
        <v>36.630039214999996</v>
      </c>
      <c r="G899">
        <v>1341.5040283000001</v>
      </c>
      <c r="H899">
        <v>1338.5648193</v>
      </c>
      <c r="I899">
        <v>1323.5480957</v>
      </c>
      <c r="J899">
        <v>1320.3424072</v>
      </c>
      <c r="K899">
        <v>1650</v>
      </c>
      <c r="L899">
        <v>0</v>
      </c>
      <c r="M899">
        <v>0</v>
      </c>
      <c r="N899">
        <v>1650</v>
      </c>
    </row>
    <row r="900" spans="1:14" x14ac:dyDescent="0.25">
      <c r="A900">
        <v>430.52927299999999</v>
      </c>
      <c r="B900" s="1">
        <f>DATE(2011,7,5) + TIME(12,42,9)</f>
        <v>40729.529270833336</v>
      </c>
      <c r="C900">
        <v>80</v>
      </c>
      <c r="D900">
        <v>79.942298889</v>
      </c>
      <c r="E900">
        <v>40</v>
      </c>
      <c r="F900">
        <v>36.610019684000001</v>
      </c>
      <c r="G900">
        <v>1341.4985352000001</v>
      </c>
      <c r="H900">
        <v>1338.5618896000001</v>
      </c>
      <c r="I900">
        <v>1323.5424805</v>
      </c>
      <c r="J900">
        <v>1320.3326416</v>
      </c>
      <c r="K900">
        <v>1650</v>
      </c>
      <c r="L900">
        <v>0</v>
      </c>
      <c r="M900">
        <v>0</v>
      </c>
      <c r="N900">
        <v>1650</v>
      </c>
    </row>
    <row r="901" spans="1:14" x14ac:dyDescent="0.25">
      <c r="A901">
        <v>431.11085700000001</v>
      </c>
      <c r="B901" s="1">
        <f>DATE(2011,7,6) + TIME(2,39,38)</f>
        <v>40730.110856481479</v>
      </c>
      <c r="C901">
        <v>80</v>
      </c>
      <c r="D901">
        <v>79.942283630000006</v>
      </c>
      <c r="E901">
        <v>40</v>
      </c>
      <c r="F901">
        <v>36.590740203999999</v>
      </c>
      <c r="G901">
        <v>1341.4930420000001</v>
      </c>
      <c r="H901">
        <v>1338.5588379000001</v>
      </c>
      <c r="I901">
        <v>1323.5368652</v>
      </c>
      <c r="J901">
        <v>1320.322876</v>
      </c>
      <c r="K901">
        <v>1650</v>
      </c>
      <c r="L901">
        <v>0</v>
      </c>
      <c r="M901">
        <v>0</v>
      </c>
      <c r="N901">
        <v>1650</v>
      </c>
    </row>
    <row r="902" spans="1:14" x14ac:dyDescent="0.25">
      <c r="A902">
        <v>431.69244200000003</v>
      </c>
      <c r="B902" s="1">
        <f>DATE(2011,7,6) + TIME(16,37,6)</f>
        <v>40730.692430555559</v>
      </c>
      <c r="C902">
        <v>80</v>
      </c>
      <c r="D902">
        <v>79.942268372000001</v>
      </c>
      <c r="E902">
        <v>40</v>
      </c>
      <c r="F902">
        <v>36.572048187</v>
      </c>
      <c r="G902">
        <v>1341.4876709</v>
      </c>
      <c r="H902">
        <v>1338.5560303</v>
      </c>
      <c r="I902">
        <v>1323.5313721</v>
      </c>
      <c r="J902">
        <v>1320.3133545000001</v>
      </c>
      <c r="K902">
        <v>1650</v>
      </c>
      <c r="L902">
        <v>0</v>
      </c>
      <c r="M902">
        <v>0</v>
      </c>
      <c r="N902">
        <v>1650</v>
      </c>
    </row>
    <row r="903" spans="1:14" x14ac:dyDescent="0.25">
      <c r="A903">
        <v>432.27402699999999</v>
      </c>
      <c r="B903" s="1">
        <f>DATE(2011,7,7) + TIME(6,34,35)</f>
        <v>40731.274016203701</v>
      </c>
      <c r="C903">
        <v>80</v>
      </c>
      <c r="D903">
        <v>79.942253113000007</v>
      </c>
      <c r="E903">
        <v>40</v>
      </c>
      <c r="F903">
        <v>36.553848266999999</v>
      </c>
      <c r="G903">
        <v>1341.4822998</v>
      </c>
      <c r="H903">
        <v>1338.5531006000001</v>
      </c>
      <c r="I903">
        <v>1323.5258789</v>
      </c>
      <c r="J903">
        <v>1320.3037108999999</v>
      </c>
      <c r="K903">
        <v>1650</v>
      </c>
      <c r="L903">
        <v>0</v>
      </c>
      <c r="M903">
        <v>0</v>
      </c>
      <c r="N903">
        <v>1650</v>
      </c>
    </row>
    <row r="904" spans="1:14" x14ac:dyDescent="0.25">
      <c r="A904">
        <v>433.43719599999997</v>
      </c>
      <c r="B904" s="1">
        <f>DATE(2011,7,8) + TIME(10,29,33)</f>
        <v>40732.4371875</v>
      </c>
      <c r="C904">
        <v>80</v>
      </c>
      <c r="D904">
        <v>79.942253113000007</v>
      </c>
      <c r="E904">
        <v>40</v>
      </c>
      <c r="F904">
        <v>36.526756286999998</v>
      </c>
      <c r="G904">
        <v>1341.4769286999999</v>
      </c>
      <c r="H904">
        <v>1338.5501709</v>
      </c>
      <c r="I904">
        <v>1323.5197754000001</v>
      </c>
      <c r="J904">
        <v>1320.2926024999999</v>
      </c>
      <c r="K904">
        <v>1650</v>
      </c>
      <c r="L904">
        <v>0</v>
      </c>
      <c r="M904">
        <v>0</v>
      </c>
      <c r="N904">
        <v>1650</v>
      </c>
    </row>
    <row r="905" spans="1:14" x14ac:dyDescent="0.25">
      <c r="A905">
        <v>434.60211600000002</v>
      </c>
      <c r="B905" s="1">
        <f>DATE(2011,7,9) + TIME(14,27,2)</f>
        <v>40733.602106481485</v>
      </c>
      <c r="C905">
        <v>80</v>
      </c>
      <c r="D905">
        <v>79.942245482999994</v>
      </c>
      <c r="E905">
        <v>40</v>
      </c>
      <c r="F905">
        <v>36.496829986999998</v>
      </c>
      <c r="G905">
        <v>1341.4663086</v>
      </c>
      <c r="H905">
        <v>1338.5444336</v>
      </c>
      <c r="I905">
        <v>1323.5097656</v>
      </c>
      <c r="J905">
        <v>1320.2753906</v>
      </c>
      <c r="K905">
        <v>1650</v>
      </c>
      <c r="L905">
        <v>0</v>
      </c>
      <c r="M905">
        <v>0</v>
      </c>
      <c r="N905">
        <v>1650</v>
      </c>
    </row>
    <row r="906" spans="1:14" x14ac:dyDescent="0.25">
      <c r="A906">
        <v>435.78207300000003</v>
      </c>
      <c r="B906" s="1">
        <f>DATE(2011,7,10) + TIME(18,46,11)</f>
        <v>40734.782071759262</v>
      </c>
      <c r="C906">
        <v>80</v>
      </c>
      <c r="D906">
        <v>79.942222595000004</v>
      </c>
      <c r="E906">
        <v>40</v>
      </c>
      <c r="F906">
        <v>36.465805054</v>
      </c>
      <c r="G906">
        <v>1341.4558105000001</v>
      </c>
      <c r="H906">
        <v>1338.5386963000001</v>
      </c>
      <c r="I906">
        <v>1323.4992675999999</v>
      </c>
      <c r="J906">
        <v>1320.2569579999999</v>
      </c>
      <c r="K906">
        <v>1650</v>
      </c>
      <c r="L906">
        <v>0</v>
      </c>
      <c r="M906">
        <v>0</v>
      </c>
      <c r="N906">
        <v>1650</v>
      </c>
    </row>
    <row r="907" spans="1:14" x14ac:dyDescent="0.25">
      <c r="A907">
        <v>436.98099500000001</v>
      </c>
      <c r="B907" s="1">
        <f>DATE(2011,7,11) + TIME(23,32,37)</f>
        <v>40735.980983796297</v>
      </c>
      <c r="C907">
        <v>80</v>
      </c>
      <c r="D907">
        <v>79.942199707</v>
      </c>
      <c r="E907">
        <v>40</v>
      </c>
      <c r="F907">
        <v>36.434604645</v>
      </c>
      <c r="G907">
        <v>1341.4453125</v>
      </c>
      <c r="H907">
        <v>1338.5329589999999</v>
      </c>
      <c r="I907">
        <v>1323.4884033000001</v>
      </c>
      <c r="J907">
        <v>1320.237793</v>
      </c>
      <c r="K907">
        <v>1650</v>
      </c>
      <c r="L907">
        <v>0</v>
      </c>
      <c r="M907">
        <v>0</v>
      </c>
      <c r="N907">
        <v>1650</v>
      </c>
    </row>
    <row r="908" spans="1:14" x14ac:dyDescent="0.25">
      <c r="A908">
        <v>438.20325700000001</v>
      </c>
      <c r="B908" s="1">
        <f>DATE(2011,7,13) + TIME(4,52,41)</f>
        <v>40737.203252314815</v>
      </c>
      <c r="C908">
        <v>80</v>
      </c>
      <c r="D908">
        <v>79.942176818999997</v>
      </c>
      <c r="E908">
        <v>40</v>
      </c>
      <c r="F908">
        <v>36.403759002999998</v>
      </c>
      <c r="G908">
        <v>1341.4348144999999</v>
      </c>
      <c r="H908">
        <v>1338.5272216999999</v>
      </c>
      <c r="I908">
        <v>1323.4771728999999</v>
      </c>
      <c r="J908">
        <v>1320.2178954999999</v>
      </c>
      <c r="K908">
        <v>1650</v>
      </c>
      <c r="L908">
        <v>0</v>
      </c>
      <c r="M908">
        <v>0</v>
      </c>
      <c r="N908">
        <v>1650</v>
      </c>
    </row>
    <row r="909" spans="1:14" x14ac:dyDescent="0.25">
      <c r="A909">
        <v>439.45615099999998</v>
      </c>
      <c r="B909" s="1">
        <f>DATE(2011,7,14) + TIME(10,56,51)</f>
        <v>40738.456145833334</v>
      </c>
      <c r="C909">
        <v>80</v>
      </c>
      <c r="D909">
        <v>79.942161560000002</v>
      </c>
      <c r="E909">
        <v>40</v>
      </c>
      <c r="F909">
        <v>36.373573303000001</v>
      </c>
      <c r="G909">
        <v>1341.4243164</v>
      </c>
      <c r="H909">
        <v>1338.5213623</v>
      </c>
      <c r="I909">
        <v>1323.4658202999999</v>
      </c>
      <c r="J909">
        <v>1320.1975098</v>
      </c>
      <c r="K909">
        <v>1650</v>
      </c>
      <c r="L909">
        <v>0</v>
      </c>
      <c r="M909">
        <v>0</v>
      </c>
      <c r="N909">
        <v>1650</v>
      </c>
    </row>
    <row r="910" spans="1:14" x14ac:dyDescent="0.25">
      <c r="A910">
        <v>440.72613799999999</v>
      </c>
      <c r="B910" s="1">
        <f>DATE(2011,7,15) + TIME(17,25,38)</f>
        <v>40739.726134259261</v>
      </c>
      <c r="C910">
        <v>80</v>
      </c>
      <c r="D910">
        <v>79.942146300999994</v>
      </c>
      <c r="E910">
        <v>40</v>
      </c>
      <c r="F910">
        <v>36.344554901000002</v>
      </c>
      <c r="G910">
        <v>1341.4135742000001</v>
      </c>
      <c r="H910">
        <v>1338.5153809000001</v>
      </c>
      <c r="I910">
        <v>1323.4541016000001</v>
      </c>
      <c r="J910">
        <v>1320.1763916</v>
      </c>
      <c r="K910">
        <v>1650</v>
      </c>
      <c r="L910">
        <v>0</v>
      </c>
      <c r="M910">
        <v>0</v>
      </c>
      <c r="N910">
        <v>1650</v>
      </c>
    </row>
    <row r="911" spans="1:14" x14ac:dyDescent="0.25">
      <c r="A911">
        <v>442.01780400000001</v>
      </c>
      <c r="B911" s="1">
        <f>DATE(2011,7,17) + TIME(0,25,38)</f>
        <v>40741.017800925925</v>
      </c>
      <c r="C911">
        <v>80</v>
      </c>
      <c r="D911">
        <v>79.942123413000004</v>
      </c>
      <c r="E911">
        <v>40</v>
      </c>
      <c r="F911">
        <v>36.31703186</v>
      </c>
      <c r="G911">
        <v>1341.4029541</v>
      </c>
      <c r="H911">
        <v>1338.5093993999999</v>
      </c>
      <c r="I911">
        <v>1323.4422606999999</v>
      </c>
      <c r="J911">
        <v>1320.1547852000001</v>
      </c>
      <c r="K911">
        <v>1650</v>
      </c>
      <c r="L911">
        <v>0</v>
      </c>
      <c r="M911">
        <v>0</v>
      </c>
      <c r="N911">
        <v>1650</v>
      </c>
    </row>
    <row r="912" spans="1:14" x14ac:dyDescent="0.25">
      <c r="A912">
        <v>443.33686699999998</v>
      </c>
      <c r="B912" s="1">
        <f>DATE(2011,7,18) + TIME(8,5,5)</f>
        <v>40742.336863425924</v>
      </c>
      <c r="C912">
        <v>80</v>
      </c>
      <c r="D912">
        <v>79.942108153999996</v>
      </c>
      <c r="E912">
        <v>40</v>
      </c>
      <c r="F912">
        <v>36.291305542000003</v>
      </c>
      <c r="G912">
        <v>1341.3922118999999</v>
      </c>
      <c r="H912">
        <v>1338.503418</v>
      </c>
      <c r="I912">
        <v>1323.4301757999999</v>
      </c>
      <c r="J912">
        <v>1320.1326904</v>
      </c>
      <c r="K912">
        <v>1650</v>
      </c>
      <c r="L912">
        <v>0</v>
      </c>
      <c r="M912">
        <v>0</v>
      </c>
      <c r="N912">
        <v>1650</v>
      </c>
    </row>
    <row r="913" spans="1:14" x14ac:dyDescent="0.25">
      <c r="A913">
        <v>444.69851899999998</v>
      </c>
      <c r="B913" s="1">
        <f>DATE(2011,7,19) + TIME(16,45,52)</f>
        <v>40743.698518518519</v>
      </c>
      <c r="C913">
        <v>80</v>
      </c>
      <c r="D913">
        <v>79.942092896000005</v>
      </c>
      <c r="E913">
        <v>40</v>
      </c>
      <c r="F913">
        <v>36.267620086999997</v>
      </c>
      <c r="G913">
        <v>1341.3814697</v>
      </c>
      <c r="H913">
        <v>1338.4971923999999</v>
      </c>
      <c r="I913">
        <v>1323.4179687999999</v>
      </c>
      <c r="J913">
        <v>1320.1099853999999</v>
      </c>
      <c r="K913">
        <v>1650</v>
      </c>
      <c r="L913">
        <v>0</v>
      </c>
      <c r="M913">
        <v>0</v>
      </c>
      <c r="N913">
        <v>1650</v>
      </c>
    </row>
    <row r="914" spans="1:14" x14ac:dyDescent="0.25">
      <c r="A914">
        <v>445.39733999999999</v>
      </c>
      <c r="B914" s="1">
        <f>DATE(2011,7,20) + TIME(9,32,10)</f>
        <v>40744.397337962961</v>
      </c>
      <c r="C914">
        <v>80</v>
      </c>
      <c r="D914">
        <v>79.942062378000003</v>
      </c>
      <c r="E914">
        <v>40</v>
      </c>
      <c r="F914">
        <v>36.253253936999997</v>
      </c>
      <c r="G914">
        <v>1341.3703613</v>
      </c>
      <c r="H914">
        <v>1338.4909668</v>
      </c>
      <c r="I914">
        <v>1323.4067382999999</v>
      </c>
      <c r="J914">
        <v>1320.0889893000001</v>
      </c>
      <c r="K914">
        <v>1650</v>
      </c>
      <c r="L914">
        <v>0</v>
      </c>
      <c r="M914">
        <v>0</v>
      </c>
      <c r="N914">
        <v>1650</v>
      </c>
    </row>
    <row r="915" spans="1:14" x14ac:dyDescent="0.25">
      <c r="A915">
        <v>446.096161</v>
      </c>
      <c r="B915" s="1">
        <f>DATE(2011,7,21) + TIME(2,18,28)</f>
        <v>40745.09615740741</v>
      </c>
      <c r="C915">
        <v>80</v>
      </c>
      <c r="D915">
        <v>79.942047118999994</v>
      </c>
      <c r="E915">
        <v>40</v>
      </c>
      <c r="F915">
        <v>36.241371155000003</v>
      </c>
      <c r="G915">
        <v>1341.3648682</v>
      </c>
      <c r="H915">
        <v>1338.487793</v>
      </c>
      <c r="I915">
        <v>1323.3992920000001</v>
      </c>
      <c r="J915">
        <v>1320.0750731999999</v>
      </c>
      <c r="K915">
        <v>1650</v>
      </c>
      <c r="L915">
        <v>0</v>
      </c>
      <c r="M915">
        <v>0</v>
      </c>
      <c r="N915">
        <v>1650</v>
      </c>
    </row>
    <row r="916" spans="1:14" x14ac:dyDescent="0.25">
      <c r="A916">
        <v>447.49380400000001</v>
      </c>
      <c r="B916" s="1">
        <f>DATE(2011,7,22) + TIME(11,51,4)</f>
        <v>40746.493796296294</v>
      </c>
      <c r="C916">
        <v>80</v>
      </c>
      <c r="D916">
        <v>79.942062378000003</v>
      </c>
      <c r="E916">
        <v>40</v>
      </c>
      <c r="F916">
        <v>36.226825714</v>
      </c>
      <c r="G916">
        <v>1341.359375</v>
      </c>
      <c r="H916">
        <v>1338.4846190999999</v>
      </c>
      <c r="I916">
        <v>1323.3912353999999</v>
      </c>
      <c r="J916">
        <v>1320.0596923999999</v>
      </c>
      <c r="K916">
        <v>1650</v>
      </c>
      <c r="L916">
        <v>0</v>
      </c>
      <c r="M916">
        <v>0</v>
      </c>
      <c r="N916">
        <v>1650</v>
      </c>
    </row>
    <row r="917" spans="1:14" x14ac:dyDescent="0.25">
      <c r="A917">
        <v>448.89164599999998</v>
      </c>
      <c r="B917" s="1">
        <f>DATE(2011,7,23) + TIME(21,23,58)</f>
        <v>40747.891643518517</v>
      </c>
      <c r="C917">
        <v>80</v>
      </c>
      <c r="D917">
        <v>79.942054748999993</v>
      </c>
      <c r="E917">
        <v>40</v>
      </c>
      <c r="F917">
        <v>36.214622497999997</v>
      </c>
      <c r="G917">
        <v>1341.3483887</v>
      </c>
      <c r="H917">
        <v>1338.4782714999999</v>
      </c>
      <c r="I917">
        <v>1323.3795166</v>
      </c>
      <c r="J917">
        <v>1320.0372314000001</v>
      </c>
      <c r="K917">
        <v>1650</v>
      </c>
      <c r="L917">
        <v>0</v>
      </c>
      <c r="M917">
        <v>0</v>
      </c>
      <c r="N917">
        <v>1650</v>
      </c>
    </row>
    <row r="918" spans="1:14" x14ac:dyDescent="0.25">
      <c r="A918">
        <v>450.30088799999999</v>
      </c>
      <c r="B918" s="1">
        <f>DATE(2011,7,25) + TIME(7,13,16)</f>
        <v>40749.300879629627</v>
      </c>
      <c r="C918">
        <v>80</v>
      </c>
      <c r="D918">
        <v>79.942047118999994</v>
      </c>
      <c r="E918">
        <v>40</v>
      </c>
      <c r="F918">
        <v>36.206199646000002</v>
      </c>
      <c r="G918">
        <v>1341.3375243999999</v>
      </c>
      <c r="H918">
        <v>1338.4720459</v>
      </c>
      <c r="I918">
        <v>1323.3675536999999</v>
      </c>
      <c r="J918">
        <v>1320.0139160000001</v>
      </c>
      <c r="K918">
        <v>1650</v>
      </c>
      <c r="L918">
        <v>0</v>
      </c>
      <c r="M918">
        <v>0</v>
      </c>
      <c r="N918">
        <v>1650</v>
      </c>
    </row>
    <row r="919" spans="1:14" x14ac:dyDescent="0.25">
      <c r="A919">
        <v>451.727351</v>
      </c>
      <c r="B919" s="1">
        <f>DATE(2011,7,26) + TIME(17,27,23)</f>
        <v>40750.727349537039</v>
      </c>
      <c r="C919">
        <v>80</v>
      </c>
      <c r="D919">
        <v>79.942047118999994</v>
      </c>
      <c r="E919">
        <v>40</v>
      </c>
      <c r="F919">
        <v>36.202636718999997</v>
      </c>
      <c r="G919">
        <v>1341.3267822</v>
      </c>
      <c r="H919">
        <v>1338.4656981999999</v>
      </c>
      <c r="I919">
        <v>1323.3553466999999</v>
      </c>
      <c r="J919">
        <v>1319.9899902</v>
      </c>
      <c r="K919">
        <v>1650</v>
      </c>
      <c r="L919">
        <v>0</v>
      </c>
      <c r="M919">
        <v>0</v>
      </c>
      <c r="N919">
        <v>1650</v>
      </c>
    </row>
    <row r="920" spans="1:14" x14ac:dyDescent="0.25">
      <c r="A920">
        <v>453.16641800000002</v>
      </c>
      <c r="B920" s="1">
        <f>DATE(2011,7,28) + TIME(3,59,38)</f>
        <v>40752.166412037041</v>
      </c>
      <c r="C920">
        <v>80</v>
      </c>
      <c r="D920">
        <v>79.942039489999999</v>
      </c>
      <c r="E920">
        <v>40</v>
      </c>
      <c r="F920">
        <v>36.204948424999998</v>
      </c>
      <c r="G920">
        <v>1341.315918</v>
      </c>
      <c r="H920">
        <v>1338.4594727000001</v>
      </c>
      <c r="I920">
        <v>1323.3431396000001</v>
      </c>
      <c r="J920">
        <v>1319.9656981999999</v>
      </c>
      <c r="K920">
        <v>1650</v>
      </c>
      <c r="L920">
        <v>0</v>
      </c>
      <c r="M920">
        <v>0</v>
      </c>
      <c r="N920">
        <v>1650</v>
      </c>
    </row>
    <row r="921" spans="1:14" x14ac:dyDescent="0.25">
      <c r="A921">
        <v>454.62462099999999</v>
      </c>
      <c r="B921" s="1">
        <f>DATE(2011,7,29) + TIME(14,59,27)</f>
        <v>40753.624618055554</v>
      </c>
      <c r="C921">
        <v>80</v>
      </c>
      <c r="D921">
        <v>79.94203186</v>
      </c>
      <c r="E921">
        <v>40</v>
      </c>
      <c r="F921">
        <v>36.214164734000001</v>
      </c>
      <c r="G921">
        <v>1341.3052978999999</v>
      </c>
      <c r="H921">
        <v>1338.453125</v>
      </c>
      <c r="I921">
        <v>1323.3310547000001</v>
      </c>
      <c r="J921">
        <v>1319.9414062000001</v>
      </c>
      <c r="K921">
        <v>1650</v>
      </c>
      <c r="L921">
        <v>0</v>
      </c>
      <c r="M921">
        <v>0</v>
      </c>
      <c r="N921">
        <v>1650</v>
      </c>
    </row>
    <row r="922" spans="1:14" x14ac:dyDescent="0.25">
      <c r="A922">
        <v>456.10873700000002</v>
      </c>
      <c r="B922" s="1">
        <f>DATE(2011,7,31) + TIME(2,36,34)</f>
        <v>40755.108726851853</v>
      </c>
      <c r="C922">
        <v>80</v>
      </c>
      <c r="D922">
        <v>79.94203186</v>
      </c>
      <c r="E922">
        <v>40</v>
      </c>
      <c r="F922">
        <v>36.231475830000001</v>
      </c>
      <c r="G922">
        <v>1341.2945557</v>
      </c>
      <c r="H922">
        <v>1338.4467772999999</v>
      </c>
      <c r="I922">
        <v>1323.3190918</v>
      </c>
      <c r="J922">
        <v>1319.9168701000001</v>
      </c>
      <c r="K922">
        <v>1650</v>
      </c>
      <c r="L922">
        <v>0</v>
      </c>
      <c r="M922">
        <v>0</v>
      </c>
      <c r="N922">
        <v>1650</v>
      </c>
    </row>
    <row r="923" spans="1:14" x14ac:dyDescent="0.25">
      <c r="A923">
        <v>457</v>
      </c>
      <c r="B923" s="1">
        <f>DATE(2011,8,1) + TIME(0,0,0)</f>
        <v>40756</v>
      </c>
      <c r="C923">
        <v>80</v>
      </c>
      <c r="D923">
        <v>79.942008971999996</v>
      </c>
      <c r="E923">
        <v>40</v>
      </c>
      <c r="F923">
        <v>36.251934052000003</v>
      </c>
      <c r="G923">
        <v>1341.2836914</v>
      </c>
      <c r="H923">
        <v>1338.4403076000001</v>
      </c>
      <c r="I923">
        <v>1323.3085937999999</v>
      </c>
      <c r="J923">
        <v>1319.8941649999999</v>
      </c>
      <c r="K923">
        <v>1650</v>
      </c>
      <c r="L923">
        <v>0</v>
      </c>
      <c r="M923">
        <v>0</v>
      </c>
      <c r="N923">
        <v>1650</v>
      </c>
    </row>
    <row r="924" spans="1:14" x14ac:dyDescent="0.25">
      <c r="A924">
        <v>458.51624099999998</v>
      </c>
      <c r="B924" s="1">
        <f>DATE(2011,8,2) + TIME(12,23,23)</f>
        <v>40757.516238425924</v>
      </c>
      <c r="C924">
        <v>80</v>
      </c>
      <c r="D924">
        <v>79.942024231000005</v>
      </c>
      <c r="E924">
        <v>40</v>
      </c>
      <c r="F924">
        <v>36.282524109000001</v>
      </c>
      <c r="G924">
        <v>1341.2773437999999</v>
      </c>
      <c r="H924">
        <v>1338.4364014</v>
      </c>
      <c r="I924">
        <v>1323.2991943</v>
      </c>
      <c r="J924">
        <v>1319.8758545000001</v>
      </c>
      <c r="K924">
        <v>1650</v>
      </c>
      <c r="L924">
        <v>0</v>
      </c>
      <c r="M924">
        <v>0</v>
      </c>
      <c r="N924">
        <v>1650</v>
      </c>
    </row>
    <row r="925" spans="1:14" x14ac:dyDescent="0.25">
      <c r="A925">
        <v>460.09271899999999</v>
      </c>
      <c r="B925" s="1">
        <f>DATE(2011,8,4) + TIME(2,13,30)</f>
        <v>40759.09270833333</v>
      </c>
      <c r="C925">
        <v>80</v>
      </c>
      <c r="D925">
        <v>79.94203186</v>
      </c>
      <c r="E925">
        <v>40</v>
      </c>
      <c r="F925">
        <v>36.326885222999998</v>
      </c>
      <c r="G925">
        <v>1341.2664795000001</v>
      </c>
      <c r="H925">
        <v>1338.4299315999999</v>
      </c>
      <c r="I925">
        <v>1323.2882079999999</v>
      </c>
      <c r="J925">
        <v>1319.8521728999999</v>
      </c>
      <c r="K925">
        <v>1650</v>
      </c>
      <c r="L925">
        <v>0</v>
      </c>
      <c r="M925">
        <v>0</v>
      </c>
      <c r="N925">
        <v>1650</v>
      </c>
    </row>
    <row r="926" spans="1:14" x14ac:dyDescent="0.25">
      <c r="A926">
        <v>461.69803400000001</v>
      </c>
      <c r="B926" s="1">
        <f>DATE(2011,8,5) + TIME(16,45,10)</f>
        <v>40760.69803240741</v>
      </c>
      <c r="C926">
        <v>80</v>
      </c>
      <c r="D926">
        <v>79.942039489999999</v>
      </c>
      <c r="E926">
        <v>40</v>
      </c>
      <c r="F926">
        <v>36.386531830000003</v>
      </c>
      <c r="G926">
        <v>1341.2553711</v>
      </c>
      <c r="H926">
        <v>1338.4232178</v>
      </c>
      <c r="I926">
        <v>1323.2769774999999</v>
      </c>
      <c r="J926">
        <v>1319.8277588000001</v>
      </c>
      <c r="K926">
        <v>1650</v>
      </c>
      <c r="L926">
        <v>0</v>
      </c>
      <c r="M926">
        <v>0</v>
      </c>
      <c r="N926">
        <v>1650</v>
      </c>
    </row>
    <row r="927" spans="1:14" x14ac:dyDescent="0.25">
      <c r="A927">
        <v>462.50548099999997</v>
      </c>
      <c r="B927" s="1">
        <f>DATE(2011,8,6) + TIME(12,7,53)</f>
        <v>40761.505474537036</v>
      </c>
      <c r="C927">
        <v>80</v>
      </c>
      <c r="D927">
        <v>79.942016601999995</v>
      </c>
      <c r="E927">
        <v>40</v>
      </c>
      <c r="F927">
        <v>36.440189361999998</v>
      </c>
      <c r="G927">
        <v>1341.2442627</v>
      </c>
      <c r="H927">
        <v>1338.4163818</v>
      </c>
      <c r="I927">
        <v>1323.2681885</v>
      </c>
      <c r="J927">
        <v>1319.8057861</v>
      </c>
      <c r="K927">
        <v>1650</v>
      </c>
      <c r="L927">
        <v>0</v>
      </c>
      <c r="M927">
        <v>0</v>
      </c>
      <c r="N927">
        <v>1650</v>
      </c>
    </row>
    <row r="928" spans="1:14" x14ac:dyDescent="0.25">
      <c r="A928">
        <v>463.307008</v>
      </c>
      <c r="B928" s="1">
        <f>DATE(2011,8,7) + TIME(7,22,5)</f>
        <v>40762.307002314818</v>
      </c>
      <c r="C928">
        <v>80</v>
      </c>
      <c r="D928">
        <v>79.942008971999996</v>
      </c>
      <c r="E928">
        <v>40</v>
      </c>
      <c r="F928">
        <v>36.493762969999999</v>
      </c>
      <c r="G928">
        <v>1341.2387695</v>
      </c>
      <c r="H928">
        <v>1338.4129639</v>
      </c>
      <c r="I928">
        <v>1323.2612305</v>
      </c>
      <c r="J928">
        <v>1319.7913818</v>
      </c>
      <c r="K928">
        <v>1650</v>
      </c>
      <c r="L928">
        <v>0</v>
      </c>
      <c r="M928">
        <v>0</v>
      </c>
      <c r="N928">
        <v>1650</v>
      </c>
    </row>
    <row r="929" spans="1:14" x14ac:dyDescent="0.25">
      <c r="A929">
        <v>464.10853500000002</v>
      </c>
      <c r="B929" s="1">
        <f>DATE(2011,8,8) + TIME(2,36,17)</f>
        <v>40763.108530092592</v>
      </c>
      <c r="C929">
        <v>80</v>
      </c>
      <c r="D929">
        <v>79.942008971999996</v>
      </c>
      <c r="E929">
        <v>40</v>
      </c>
      <c r="F929">
        <v>36.549446105999998</v>
      </c>
      <c r="G929">
        <v>1341.2332764</v>
      </c>
      <c r="H929">
        <v>1338.4095459</v>
      </c>
      <c r="I929">
        <v>1323.2550048999999</v>
      </c>
      <c r="J929">
        <v>1319.7780762</v>
      </c>
      <c r="K929">
        <v>1650</v>
      </c>
      <c r="L929">
        <v>0</v>
      </c>
      <c r="M929">
        <v>0</v>
      </c>
      <c r="N929">
        <v>1650</v>
      </c>
    </row>
    <row r="930" spans="1:14" x14ac:dyDescent="0.25">
      <c r="A930">
        <v>464.91006199999998</v>
      </c>
      <c r="B930" s="1">
        <f>DATE(2011,8,8) + TIME(21,50,29)</f>
        <v>40763.910057870373</v>
      </c>
      <c r="C930">
        <v>80</v>
      </c>
      <c r="D930">
        <v>79.942008971999996</v>
      </c>
      <c r="E930">
        <v>40</v>
      </c>
      <c r="F930">
        <v>36.608543396000002</v>
      </c>
      <c r="G930">
        <v>1341.2277832</v>
      </c>
      <c r="H930">
        <v>1338.40625</v>
      </c>
      <c r="I930">
        <v>1323.2492675999999</v>
      </c>
      <c r="J930">
        <v>1319.765625</v>
      </c>
      <c r="K930">
        <v>1650</v>
      </c>
      <c r="L930">
        <v>0</v>
      </c>
      <c r="M930">
        <v>0</v>
      </c>
      <c r="N930">
        <v>1650</v>
      </c>
    </row>
    <row r="931" spans="1:14" x14ac:dyDescent="0.25">
      <c r="A931">
        <v>465.71158800000001</v>
      </c>
      <c r="B931" s="1">
        <f>DATE(2011,8,9) + TIME(17,4,41)</f>
        <v>40764.711585648147</v>
      </c>
      <c r="C931">
        <v>80</v>
      </c>
      <c r="D931">
        <v>79.942008971999996</v>
      </c>
      <c r="E931">
        <v>40</v>
      </c>
      <c r="F931">
        <v>36.671951294000003</v>
      </c>
      <c r="G931">
        <v>1341.2224120999999</v>
      </c>
      <c r="H931">
        <v>1338.402832</v>
      </c>
      <c r="I931">
        <v>1323.2440185999999</v>
      </c>
      <c r="J931">
        <v>1319.7536620999999</v>
      </c>
      <c r="K931">
        <v>1650</v>
      </c>
      <c r="L931">
        <v>0</v>
      </c>
      <c r="M931">
        <v>0</v>
      </c>
      <c r="N931">
        <v>1650</v>
      </c>
    </row>
    <row r="932" spans="1:14" x14ac:dyDescent="0.25">
      <c r="A932">
        <v>466.51311500000003</v>
      </c>
      <c r="B932" s="1">
        <f>DATE(2011,8,10) + TIME(12,18,53)</f>
        <v>40765.513113425928</v>
      </c>
      <c r="C932">
        <v>80</v>
      </c>
      <c r="D932">
        <v>79.942016601999995</v>
      </c>
      <c r="E932">
        <v>40</v>
      </c>
      <c r="F932">
        <v>36.740314484000002</v>
      </c>
      <c r="G932">
        <v>1341.2170410000001</v>
      </c>
      <c r="H932">
        <v>1338.3995361</v>
      </c>
      <c r="I932">
        <v>1323.2388916</v>
      </c>
      <c r="J932">
        <v>1319.7420654</v>
      </c>
      <c r="K932">
        <v>1650</v>
      </c>
      <c r="L932">
        <v>0</v>
      </c>
      <c r="M932">
        <v>0</v>
      </c>
      <c r="N932">
        <v>1650</v>
      </c>
    </row>
    <row r="933" spans="1:14" x14ac:dyDescent="0.25">
      <c r="A933">
        <v>467.31464199999999</v>
      </c>
      <c r="B933" s="1">
        <f>DATE(2011,8,11) + TIME(7,33,5)</f>
        <v>40766.314641203702</v>
      </c>
      <c r="C933">
        <v>80</v>
      </c>
      <c r="D933">
        <v>79.942016601999995</v>
      </c>
      <c r="E933">
        <v>40</v>
      </c>
      <c r="F933">
        <v>36.814117432000003</v>
      </c>
      <c r="G933">
        <v>1341.2116699000001</v>
      </c>
      <c r="H933">
        <v>1338.3962402</v>
      </c>
      <c r="I933">
        <v>1323.2341309000001</v>
      </c>
      <c r="J933">
        <v>1319.730957</v>
      </c>
      <c r="K933">
        <v>1650</v>
      </c>
      <c r="L933">
        <v>0</v>
      </c>
      <c r="M933">
        <v>0</v>
      </c>
      <c r="N933">
        <v>1650</v>
      </c>
    </row>
    <row r="934" spans="1:14" x14ac:dyDescent="0.25">
      <c r="A934">
        <v>468.11616900000001</v>
      </c>
      <c r="B934" s="1">
        <f>DATE(2011,8,12) + TIME(2,47,17)</f>
        <v>40767.116168981483</v>
      </c>
      <c r="C934">
        <v>80</v>
      </c>
      <c r="D934">
        <v>79.942024231000005</v>
      </c>
      <c r="E934">
        <v>40</v>
      </c>
      <c r="F934">
        <v>36.893756865999997</v>
      </c>
      <c r="G934">
        <v>1341.2064209</v>
      </c>
      <c r="H934">
        <v>1338.3929443</v>
      </c>
      <c r="I934">
        <v>1323.2294922000001</v>
      </c>
      <c r="J934">
        <v>1319.7200928</v>
      </c>
      <c r="K934">
        <v>1650</v>
      </c>
      <c r="L934">
        <v>0</v>
      </c>
      <c r="M934">
        <v>0</v>
      </c>
      <c r="N934">
        <v>1650</v>
      </c>
    </row>
    <row r="935" spans="1:14" x14ac:dyDescent="0.25">
      <c r="A935">
        <v>468.91769599999998</v>
      </c>
      <c r="B935" s="1">
        <f>DATE(2011,8,12) + TIME(22,1,28)</f>
        <v>40767.917685185188</v>
      </c>
      <c r="C935">
        <v>80</v>
      </c>
      <c r="D935">
        <v>79.94203186</v>
      </c>
      <c r="E935">
        <v>40</v>
      </c>
      <c r="F935">
        <v>36.979537964000002</v>
      </c>
      <c r="G935">
        <v>1341.2011719</v>
      </c>
      <c r="H935">
        <v>1338.3896483999999</v>
      </c>
      <c r="I935">
        <v>1323.2250977000001</v>
      </c>
      <c r="J935">
        <v>1319.7095947</v>
      </c>
      <c r="K935">
        <v>1650</v>
      </c>
      <c r="L935">
        <v>0</v>
      </c>
      <c r="M935">
        <v>0</v>
      </c>
      <c r="N935">
        <v>1650</v>
      </c>
    </row>
    <row r="936" spans="1:14" x14ac:dyDescent="0.25">
      <c r="A936">
        <v>469.719223</v>
      </c>
      <c r="B936" s="1">
        <f>DATE(2011,8,13) + TIME(17,15,40)</f>
        <v>40768.719212962962</v>
      </c>
      <c r="C936">
        <v>80</v>
      </c>
      <c r="D936">
        <v>79.942039489999999</v>
      </c>
      <c r="E936">
        <v>40</v>
      </c>
      <c r="F936">
        <v>37.071704865000001</v>
      </c>
      <c r="G936">
        <v>1341.1959228999999</v>
      </c>
      <c r="H936">
        <v>1338.3862305</v>
      </c>
      <c r="I936">
        <v>1323.2207031</v>
      </c>
      <c r="J936">
        <v>1319.6994629000001</v>
      </c>
      <c r="K936">
        <v>1650</v>
      </c>
      <c r="L936">
        <v>0</v>
      </c>
      <c r="M936">
        <v>0</v>
      </c>
      <c r="N936">
        <v>1650</v>
      </c>
    </row>
    <row r="937" spans="1:14" x14ac:dyDescent="0.25">
      <c r="A937">
        <v>471.32227699999999</v>
      </c>
      <c r="B937" s="1">
        <f>DATE(2011,8,15) + TIME(7,44,4)</f>
        <v>40770.322268518517</v>
      </c>
      <c r="C937">
        <v>80</v>
      </c>
      <c r="D937">
        <v>79.942077636999997</v>
      </c>
      <c r="E937">
        <v>40</v>
      </c>
      <c r="F937">
        <v>37.211765288999999</v>
      </c>
      <c r="G937">
        <v>1341.1906738</v>
      </c>
      <c r="H937">
        <v>1338.3830565999999</v>
      </c>
      <c r="I937">
        <v>1323.2141113</v>
      </c>
      <c r="J937">
        <v>1319.6878661999999</v>
      </c>
      <c r="K937">
        <v>1650</v>
      </c>
      <c r="L937">
        <v>0</v>
      </c>
      <c r="M937">
        <v>0</v>
      </c>
      <c r="N937">
        <v>1650</v>
      </c>
    </row>
    <row r="938" spans="1:14" x14ac:dyDescent="0.25">
      <c r="A938">
        <v>472.93095699999998</v>
      </c>
      <c r="B938" s="1">
        <f>DATE(2011,8,16) + TIME(22,20,34)</f>
        <v>40771.930949074071</v>
      </c>
      <c r="C938">
        <v>80</v>
      </c>
      <c r="D938">
        <v>79.942100525000001</v>
      </c>
      <c r="E938">
        <v>40</v>
      </c>
      <c r="F938">
        <v>37.404727936</v>
      </c>
      <c r="G938">
        <v>1341.1802978999999</v>
      </c>
      <c r="H938">
        <v>1338.3764647999999</v>
      </c>
      <c r="I938">
        <v>1323.2081298999999</v>
      </c>
      <c r="J938">
        <v>1319.6710204999999</v>
      </c>
      <c r="K938">
        <v>1650</v>
      </c>
      <c r="L938">
        <v>0</v>
      </c>
      <c r="M938">
        <v>0</v>
      </c>
      <c r="N938">
        <v>1650</v>
      </c>
    </row>
    <row r="939" spans="1:14" x14ac:dyDescent="0.25">
      <c r="A939">
        <v>474.62130999999999</v>
      </c>
      <c r="B939" s="1">
        <f>DATE(2011,8,18) + TIME(14,54,41)</f>
        <v>40773.621307870373</v>
      </c>
      <c r="C939">
        <v>80</v>
      </c>
      <c r="D939">
        <v>79.942115783999995</v>
      </c>
      <c r="E939">
        <v>40</v>
      </c>
      <c r="F939">
        <v>37.641471863</v>
      </c>
      <c r="G939">
        <v>1341.1700439000001</v>
      </c>
      <c r="H939">
        <v>1338.3698730000001</v>
      </c>
      <c r="I939">
        <v>1323.2012939000001</v>
      </c>
      <c r="J939">
        <v>1319.6539307</v>
      </c>
      <c r="K939">
        <v>1650</v>
      </c>
      <c r="L939">
        <v>0</v>
      </c>
      <c r="M939">
        <v>0</v>
      </c>
      <c r="N939">
        <v>1650</v>
      </c>
    </row>
    <row r="940" spans="1:14" x14ac:dyDescent="0.25">
      <c r="A940">
        <v>475.48438499999997</v>
      </c>
      <c r="B940" s="1">
        <f>DATE(2011,8,19) + TIME(11,37,30)</f>
        <v>40774.484375</v>
      </c>
      <c r="C940">
        <v>80</v>
      </c>
      <c r="D940">
        <v>79.942108153999996</v>
      </c>
      <c r="E940">
        <v>40</v>
      </c>
      <c r="F940">
        <v>37.841426849000001</v>
      </c>
      <c r="G940">
        <v>1341.1593018000001</v>
      </c>
      <c r="H940">
        <v>1338.3630370999999</v>
      </c>
      <c r="I940">
        <v>1323.1984863</v>
      </c>
      <c r="J940">
        <v>1319.6389160000001</v>
      </c>
      <c r="K940">
        <v>1650</v>
      </c>
      <c r="L940">
        <v>0</v>
      </c>
      <c r="M940">
        <v>0</v>
      </c>
      <c r="N940">
        <v>1650</v>
      </c>
    </row>
    <row r="941" spans="1:14" x14ac:dyDescent="0.25">
      <c r="A941">
        <v>477.01119499999999</v>
      </c>
      <c r="B941" s="1">
        <f>DATE(2011,8,21) + TIME(0,16,7)</f>
        <v>40776.011192129627</v>
      </c>
      <c r="C941">
        <v>80</v>
      </c>
      <c r="D941">
        <v>79.942131042</v>
      </c>
      <c r="E941">
        <v>40</v>
      </c>
      <c r="F941">
        <v>38.089313507</v>
      </c>
      <c r="G941">
        <v>1341.1539307</v>
      </c>
      <c r="H941">
        <v>1338.3596190999999</v>
      </c>
      <c r="I941">
        <v>1323.1900635</v>
      </c>
      <c r="J941">
        <v>1319.6279297000001</v>
      </c>
      <c r="K941">
        <v>1650</v>
      </c>
      <c r="L941">
        <v>0</v>
      </c>
      <c r="M941">
        <v>0</v>
      </c>
      <c r="N941">
        <v>1650</v>
      </c>
    </row>
    <row r="942" spans="1:14" x14ac:dyDescent="0.25">
      <c r="A942">
        <v>478.70828499999999</v>
      </c>
      <c r="B942" s="1">
        <f>DATE(2011,8,22) + TIME(16,59,55)</f>
        <v>40777.708275462966</v>
      </c>
      <c r="C942">
        <v>80</v>
      </c>
      <c r="D942">
        <v>79.942161560000002</v>
      </c>
      <c r="E942">
        <v>40</v>
      </c>
      <c r="F942">
        <v>38.388179778999998</v>
      </c>
      <c r="G942">
        <v>1341.1444091999999</v>
      </c>
      <c r="H942">
        <v>1338.3535156</v>
      </c>
      <c r="I942">
        <v>1323.1843262</v>
      </c>
      <c r="J942">
        <v>1319.6142577999999</v>
      </c>
      <c r="K942">
        <v>1650</v>
      </c>
      <c r="L942">
        <v>0</v>
      </c>
      <c r="M942">
        <v>0</v>
      </c>
      <c r="N942">
        <v>1650</v>
      </c>
    </row>
    <row r="943" spans="1:14" x14ac:dyDescent="0.25">
      <c r="A943">
        <v>479.57480800000002</v>
      </c>
      <c r="B943" s="1">
        <f>DATE(2011,8,23) + TIME(13,47,43)</f>
        <v>40778.574803240743</v>
      </c>
      <c r="C943">
        <v>80</v>
      </c>
      <c r="D943">
        <v>79.942153931000007</v>
      </c>
      <c r="E943">
        <v>40</v>
      </c>
      <c r="F943">
        <v>38.640346526999998</v>
      </c>
      <c r="G943">
        <v>1341.1340332</v>
      </c>
      <c r="H943">
        <v>1338.3466797000001</v>
      </c>
      <c r="I943">
        <v>1323.1835937999999</v>
      </c>
      <c r="J943">
        <v>1319.6025391000001</v>
      </c>
      <c r="K943">
        <v>1650</v>
      </c>
      <c r="L943">
        <v>0</v>
      </c>
      <c r="M943">
        <v>0</v>
      </c>
      <c r="N943">
        <v>1650</v>
      </c>
    </row>
    <row r="944" spans="1:14" x14ac:dyDescent="0.25">
      <c r="A944">
        <v>481.12820599999998</v>
      </c>
      <c r="B944" s="1">
        <f>DATE(2011,8,25) + TIME(3,4,36)</f>
        <v>40780.128194444442</v>
      </c>
      <c r="C944">
        <v>80</v>
      </c>
      <c r="D944">
        <v>79.942184448000006</v>
      </c>
      <c r="E944">
        <v>40</v>
      </c>
      <c r="F944">
        <v>38.948680877999998</v>
      </c>
      <c r="G944">
        <v>1341.1287841999999</v>
      </c>
      <c r="H944">
        <v>1338.3432617000001</v>
      </c>
      <c r="I944">
        <v>1323.1754149999999</v>
      </c>
      <c r="J944">
        <v>1319.5938721</v>
      </c>
      <c r="K944">
        <v>1650</v>
      </c>
      <c r="L944">
        <v>0</v>
      </c>
      <c r="M944">
        <v>0</v>
      </c>
      <c r="N944">
        <v>1650</v>
      </c>
    </row>
    <row r="945" spans="1:14" x14ac:dyDescent="0.25">
      <c r="A945">
        <v>482.804394</v>
      </c>
      <c r="B945" s="1">
        <f>DATE(2011,8,26) + TIME(19,18,19)</f>
        <v>40781.804386574076</v>
      </c>
      <c r="C945">
        <v>80</v>
      </c>
      <c r="D945">
        <v>79.942207335999996</v>
      </c>
      <c r="E945">
        <v>40</v>
      </c>
      <c r="F945">
        <v>39.318641663000001</v>
      </c>
      <c r="G945">
        <v>1341.1193848</v>
      </c>
      <c r="H945">
        <v>1338.3371582</v>
      </c>
      <c r="I945">
        <v>1323.1708983999999</v>
      </c>
      <c r="J945">
        <v>1319.5834961</v>
      </c>
      <c r="K945">
        <v>1650</v>
      </c>
      <c r="L945">
        <v>0</v>
      </c>
      <c r="M945">
        <v>0</v>
      </c>
      <c r="N945">
        <v>1650</v>
      </c>
    </row>
    <row r="946" spans="1:14" x14ac:dyDescent="0.25">
      <c r="A946">
        <v>484.50409300000001</v>
      </c>
      <c r="B946" s="1">
        <f>DATE(2011,8,28) + TIME(12,5,53)</f>
        <v>40783.50408564815</v>
      </c>
      <c r="C946">
        <v>80</v>
      </c>
      <c r="D946">
        <v>79.942237853999998</v>
      </c>
      <c r="E946">
        <v>40</v>
      </c>
      <c r="F946">
        <v>39.727935791</v>
      </c>
      <c r="G946">
        <v>1341.109375</v>
      </c>
      <c r="H946">
        <v>1338.3305664</v>
      </c>
      <c r="I946">
        <v>1323.1667480000001</v>
      </c>
      <c r="J946">
        <v>1319.5737305</v>
      </c>
      <c r="K946">
        <v>1650</v>
      </c>
      <c r="L946">
        <v>0</v>
      </c>
      <c r="M946">
        <v>0</v>
      </c>
      <c r="N946">
        <v>1650</v>
      </c>
    </row>
    <row r="947" spans="1:14" x14ac:dyDescent="0.25">
      <c r="A947">
        <v>486.24437799999998</v>
      </c>
      <c r="B947" s="1">
        <f>DATE(2011,8,30) + TIME(5,51,54)</f>
        <v>40785.244375000002</v>
      </c>
      <c r="C947">
        <v>80</v>
      </c>
      <c r="D947">
        <v>79.942260742000002</v>
      </c>
      <c r="E947">
        <v>40</v>
      </c>
      <c r="F947">
        <v>40.171684265000003</v>
      </c>
      <c r="G947">
        <v>1341.0993652</v>
      </c>
      <c r="H947">
        <v>1338.3239745999999</v>
      </c>
      <c r="I947">
        <v>1323.1628418</v>
      </c>
      <c r="J947">
        <v>1319.5651855000001</v>
      </c>
      <c r="K947">
        <v>1650</v>
      </c>
      <c r="L947">
        <v>0</v>
      </c>
      <c r="M947">
        <v>0</v>
      </c>
      <c r="N947">
        <v>1650</v>
      </c>
    </row>
    <row r="948" spans="1:14" x14ac:dyDescent="0.25">
      <c r="A948">
        <v>488</v>
      </c>
      <c r="B948" s="1">
        <f>DATE(2011,9,1) + TIME(0,0,0)</f>
        <v>40787</v>
      </c>
      <c r="C948">
        <v>80</v>
      </c>
      <c r="D948">
        <v>79.942291260000005</v>
      </c>
      <c r="E948">
        <v>40</v>
      </c>
      <c r="F948">
        <v>40.649581908999998</v>
      </c>
      <c r="G948">
        <v>1341.0892334</v>
      </c>
      <c r="H948">
        <v>1338.3172606999999</v>
      </c>
      <c r="I948">
        <v>1323.1594238</v>
      </c>
      <c r="J948">
        <v>1319.5578613</v>
      </c>
      <c r="K948">
        <v>1650</v>
      </c>
      <c r="L948">
        <v>0</v>
      </c>
      <c r="M948">
        <v>0</v>
      </c>
      <c r="N948">
        <v>1650</v>
      </c>
    </row>
    <row r="949" spans="1:14" x14ac:dyDescent="0.25">
      <c r="A949">
        <v>489.75254000000001</v>
      </c>
      <c r="B949" s="1">
        <f>DATE(2011,9,2) + TIME(18,3,39)</f>
        <v>40788.752534722225</v>
      </c>
      <c r="C949">
        <v>80</v>
      </c>
      <c r="D949">
        <v>79.942314147999994</v>
      </c>
      <c r="E949">
        <v>40</v>
      </c>
      <c r="F949">
        <v>41.155731201000002</v>
      </c>
      <c r="G949">
        <v>1341.0792236</v>
      </c>
      <c r="H949">
        <v>1338.3106689000001</v>
      </c>
      <c r="I949">
        <v>1323.1566161999999</v>
      </c>
      <c r="J949">
        <v>1319.552124</v>
      </c>
      <c r="K949">
        <v>1650</v>
      </c>
      <c r="L949">
        <v>0</v>
      </c>
      <c r="M949">
        <v>0</v>
      </c>
      <c r="N949">
        <v>1650</v>
      </c>
    </row>
    <row r="950" spans="1:14" x14ac:dyDescent="0.25">
      <c r="A950">
        <v>491.56787600000001</v>
      </c>
      <c r="B950" s="1">
        <f>DATE(2011,9,4) + TIME(13,37,44)</f>
        <v>40790.567870370367</v>
      </c>
      <c r="C950">
        <v>80</v>
      </c>
      <c r="D950">
        <v>79.942344665999997</v>
      </c>
      <c r="E950">
        <v>40</v>
      </c>
      <c r="F950">
        <v>41.690032959</v>
      </c>
      <c r="G950">
        <v>1341.0692139</v>
      </c>
      <c r="H950">
        <v>1338.3040771000001</v>
      </c>
      <c r="I950">
        <v>1323.1538086</v>
      </c>
      <c r="J950">
        <v>1319.5478516000001</v>
      </c>
      <c r="K950">
        <v>1650</v>
      </c>
      <c r="L950">
        <v>0</v>
      </c>
      <c r="M950">
        <v>0</v>
      </c>
      <c r="N950">
        <v>1650</v>
      </c>
    </row>
    <row r="951" spans="1:14" x14ac:dyDescent="0.25">
      <c r="A951">
        <v>493.44582500000001</v>
      </c>
      <c r="B951" s="1">
        <f>DATE(2011,9,6) + TIME(10,41,59)</f>
        <v>40792.445821759262</v>
      </c>
      <c r="C951">
        <v>80</v>
      </c>
      <c r="D951">
        <v>79.942375182999996</v>
      </c>
      <c r="E951">
        <v>40</v>
      </c>
      <c r="F951">
        <v>42.254619597999998</v>
      </c>
      <c r="G951">
        <v>1341.059082</v>
      </c>
      <c r="H951">
        <v>1338.2972411999999</v>
      </c>
      <c r="I951">
        <v>1323.1517334</v>
      </c>
      <c r="J951">
        <v>1319.5450439000001</v>
      </c>
      <c r="K951">
        <v>1650</v>
      </c>
      <c r="L951">
        <v>0</v>
      </c>
      <c r="M951">
        <v>0</v>
      </c>
      <c r="N951">
        <v>1650</v>
      </c>
    </row>
    <row r="952" spans="1:14" x14ac:dyDescent="0.25">
      <c r="A952">
        <v>495.40485200000001</v>
      </c>
      <c r="B952" s="1">
        <f>DATE(2011,9,8) + TIME(9,42,59)</f>
        <v>40794.404849537037</v>
      </c>
      <c r="C952">
        <v>80</v>
      </c>
      <c r="D952">
        <v>79.942413329999994</v>
      </c>
      <c r="E952">
        <v>40</v>
      </c>
      <c r="F952">
        <v>42.849311829000001</v>
      </c>
      <c r="G952">
        <v>1341.0488281</v>
      </c>
      <c r="H952">
        <v>1338.2902832</v>
      </c>
      <c r="I952">
        <v>1323.1501464999999</v>
      </c>
      <c r="J952">
        <v>1319.5435791</v>
      </c>
      <c r="K952">
        <v>1650</v>
      </c>
      <c r="L952">
        <v>0</v>
      </c>
      <c r="M952">
        <v>0</v>
      </c>
      <c r="N952">
        <v>1650</v>
      </c>
    </row>
    <row r="953" spans="1:14" x14ac:dyDescent="0.25">
      <c r="A953">
        <v>497.40478300000001</v>
      </c>
      <c r="B953" s="1">
        <f>DATE(2011,9,10) + TIME(9,42,53)</f>
        <v>40796.404780092591</v>
      </c>
      <c r="C953">
        <v>80</v>
      </c>
      <c r="D953">
        <v>79.942451477000006</v>
      </c>
      <c r="E953">
        <v>40</v>
      </c>
      <c r="F953">
        <v>43.468643188000001</v>
      </c>
      <c r="G953">
        <v>1341.0382079999999</v>
      </c>
      <c r="H953">
        <v>1338.2832031</v>
      </c>
      <c r="I953">
        <v>1323.1494141000001</v>
      </c>
      <c r="J953">
        <v>1319.5437012</v>
      </c>
      <c r="K953">
        <v>1650</v>
      </c>
      <c r="L953">
        <v>0</v>
      </c>
      <c r="M953">
        <v>0</v>
      </c>
      <c r="N953">
        <v>1650</v>
      </c>
    </row>
    <row r="954" spans="1:14" x14ac:dyDescent="0.25">
      <c r="A954">
        <v>499.45946700000002</v>
      </c>
      <c r="B954" s="1">
        <f>DATE(2011,9,12) + TIME(11,1,37)</f>
        <v>40798.459456018521</v>
      </c>
      <c r="C954">
        <v>80</v>
      </c>
      <c r="D954">
        <v>79.942489624000004</v>
      </c>
      <c r="E954">
        <v>40</v>
      </c>
      <c r="F954">
        <v>44.105049133000001</v>
      </c>
      <c r="G954">
        <v>1341.0275879000001</v>
      </c>
      <c r="H954">
        <v>1338.276001</v>
      </c>
      <c r="I954">
        <v>1323.1491699000001</v>
      </c>
      <c r="J954">
        <v>1319.5451660000001</v>
      </c>
      <c r="K954">
        <v>1650</v>
      </c>
      <c r="L954">
        <v>0</v>
      </c>
      <c r="M954">
        <v>0</v>
      </c>
      <c r="N954">
        <v>1650</v>
      </c>
    </row>
    <row r="955" spans="1:14" x14ac:dyDescent="0.25">
      <c r="A955">
        <v>501.59003200000001</v>
      </c>
      <c r="B955" s="1">
        <f>DATE(2011,9,14) + TIME(14,9,38)</f>
        <v>40800.59002314815</v>
      </c>
      <c r="C955">
        <v>80</v>
      </c>
      <c r="D955">
        <v>79.942535399999997</v>
      </c>
      <c r="E955">
        <v>40</v>
      </c>
      <c r="F955">
        <v>44.756755828999999</v>
      </c>
      <c r="G955">
        <v>1341.0168457</v>
      </c>
      <c r="H955">
        <v>1338.2687988</v>
      </c>
      <c r="I955">
        <v>1323.1496582</v>
      </c>
      <c r="J955">
        <v>1319.5480957</v>
      </c>
      <c r="K955">
        <v>1650</v>
      </c>
      <c r="L955">
        <v>0</v>
      </c>
      <c r="M955">
        <v>0</v>
      </c>
      <c r="N955">
        <v>1650</v>
      </c>
    </row>
    <row r="956" spans="1:14" x14ac:dyDescent="0.25">
      <c r="A956">
        <v>503.78068500000001</v>
      </c>
      <c r="B956" s="1">
        <f>DATE(2011,9,16) + TIME(18,44,11)</f>
        <v>40802.780682870369</v>
      </c>
      <c r="C956">
        <v>80</v>
      </c>
      <c r="D956">
        <v>79.942581176999994</v>
      </c>
      <c r="E956">
        <v>40</v>
      </c>
      <c r="F956">
        <v>45.421188354000002</v>
      </c>
      <c r="G956">
        <v>1341.0058594</v>
      </c>
      <c r="H956">
        <v>1338.2613524999999</v>
      </c>
      <c r="I956">
        <v>1323.1508789</v>
      </c>
      <c r="J956">
        <v>1319.5523682</v>
      </c>
      <c r="K956">
        <v>1650</v>
      </c>
      <c r="L956">
        <v>0</v>
      </c>
      <c r="M956">
        <v>0</v>
      </c>
      <c r="N956">
        <v>1650</v>
      </c>
    </row>
    <row r="957" spans="1:14" x14ac:dyDescent="0.25">
      <c r="A957">
        <v>506.003264</v>
      </c>
      <c r="B957" s="1">
        <f>DATE(2011,9,19) + TIME(0,4,42)</f>
        <v>40805.003263888888</v>
      </c>
      <c r="C957">
        <v>80</v>
      </c>
      <c r="D957">
        <v>79.942626953000001</v>
      </c>
      <c r="E957">
        <v>40</v>
      </c>
      <c r="F957">
        <v>46.090137482000003</v>
      </c>
      <c r="G957">
        <v>1340.9948730000001</v>
      </c>
      <c r="H957">
        <v>1338.2539062000001</v>
      </c>
      <c r="I957">
        <v>1323.1529541</v>
      </c>
      <c r="J957">
        <v>1319.5578613</v>
      </c>
      <c r="K957">
        <v>1650</v>
      </c>
      <c r="L957">
        <v>0</v>
      </c>
      <c r="M957">
        <v>0</v>
      </c>
      <c r="N957">
        <v>1650</v>
      </c>
    </row>
    <row r="958" spans="1:14" x14ac:dyDescent="0.25">
      <c r="A958">
        <v>508.276746</v>
      </c>
      <c r="B958" s="1">
        <f>DATE(2011,9,21) + TIME(6,38,30)</f>
        <v>40807.276736111111</v>
      </c>
      <c r="C958">
        <v>80</v>
      </c>
      <c r="D958">
        <v>79.942672728999995</v>
      </c>
      <c r="E958">
        <v>40</v>
      </c>
      <c r="F958">
        <v>46.756595611999998</v>
      </c>
      <c r="G958">
        <v>1340.9838867000001</v>
      </c>
      <c r="H958">
        <v>1338.2464600000001</v>
      </c>
      <c r="I958">
        <v>1323.1556396000001</v>
      </c>
      <c r="J958">
        <v>1319.5645752</v>
      </c>
      <c r="K958">
        <v>1650</v>
      </c>
      <c r="L958">
        <v>0</v>
      </c>
      <c r="M958">
        <v>0</v>
      </c>
      <c r="N958">
        <v>1650</v>
      </c>
    </row>
    <row r="959" spans="1:14" x14ac:dyDescent="0.25">
      <c r="A959">
        <v>510.62051500000001</v>
      </c>
      <c r="B959" s="1">
        <f>DATE(2011,9,23) + TIME(14,53,32)</f>
        <v>40809.620509259257</v>
      </c>
      <c r="C959">
        <v>80</v>
      </c>
      <c r="D959">
        <v>79.942718506000006</v>
      </c>
      <c r="E959">
        <v>40</v>
      </c>
      <c r="F959">
        <v>47.419826508</v>
      </c>
      <c r="G959">
        <v>1340.9729004000001</v>
      </c>
      <c r="H959">
        <v>1338.2390137</v>
      </c>
      <c r="I959">
        <v>1323.1589355000001</v>
      </c>
      <c r="J959">
        <v>1319.5723877</v>
      </c>
      <c r="K959">
        <v>1650</v>
      </c>
      <c r="L959">
        <v>0</v>
      </c>
      <c r="M959">
        <v>0</v>
      </c>
      <c r="N959">
        <v>1650</v>
      </c>
    </row>
    <row r="960" spans="1:14" x14ac:dyDescent="0.25">
      <c r="A960">
        <v>513.017965</v>
      </c>
      <c r="B960" s="1">
        <f>DATE(2011,9,26) + TIME(0,25,52)</f>
        <v>40812.017962962964</v>
      </c>
      <c r="C960">
        <v>80</v>
      </c>
      <c r="D960">
        <v>79.942771911999998</v>
      </c>
      <c r="E960">
        <v>40</v>
      </c>
      <c r="F960">
        <v>48.078277587999999</v>
      </c>
      <c r="G960">
        <v>1340.9617920000001</v>
      </c>
      <c r="H960">
        <v>1338.2314452999999</v>
      </c>
      <c r="I960">
        <v>1323.1632079999999</v>
      </c>
      <c r="J960">
        <v>1319.5811768000001</v>
      </c>
      <c r="K960">
        <v>1650</v>
      </c>
      <c r="L960">
        <v>0</v>
      </c>
      <c r="M960">
        <v>0</v>
      </c>
      <c r="N960">
        <v>1650</v>
      </c>
    </row>
    <row r="961" spans="1:14" x14ac:dyDescent="0.25">
      <c r="A961">
        <v>515.44753100000003</v>
      </c>
      <c r="B961" s="1">
        <f>DATE(2011,9,28) + TIME(10,44,26)</f>
        <v>40814.447523148148</v>
      </c>
      <c r="C961">
        <v>80</v>
      </c>
      <c r="D961">
        <v>79.942832946999999</v>
      </c>
      <c r="E961">
        <v>40</v>
      </c>
      <c r="F961">
        <v>48.726795197000001</v>
      </c>
      <c r="G961">
        <v>1340.9506836</v>
      </c>
      <c r="H961">
        <v>1338.2238769999999</v>
      </c>
      <c r="I961">
        <v>1323.1680908000001</v>
      </c>
      <c r="J961">
        <v>1319.5909423999999</v>
      </c>
      <c r="K961">
        <v>1650</v>
      </c>
      <c r="L961">
        <v>0</v>
      </c>
      <c r="M961">
        <v>0</v>
      </c>
      <c r="N961">
        <v>1650</v>
      </c>
    </row>
    <row r="962" spans="1:14" x14ac:dyDescent="0.25">
      <c r="A962">
        <v>516.72376599999996</v>
      </c>
      <c r="B962" s="1">
        <f>DATE(2011,9,29) + TIME(17,22,13)</f>
        <v>40815.723761574074</v>
      </c>
      <c r="C962">
        <v>80</v>
      </c>
      <c r="D962">
        <v>79.942832946999999</v>
      </c>
      <c r="E962">
        <v>40</v>
      </c>
      <c r="F962">
        <v>49.234645843999999</v>
      </c>
      <c r="G962">
        <v>1340.9396973</v>
      </c>
      <c r="H962">
        <v>1338.2164307</v>
      </c>
      <c r="I962">
        <v>1323.1781006000001</v>
      </c>
      <c r="J962">
        <v>1319.6019286999999</v>
      </c>
      <c r="K962">
        <v>1650</v>
      </c>
      <c r="L962">
        <v>0</v>
      </c>
      <c r="M962">
        <v>0</v>
      </c>
      <c r="N962">
        <v>1650</v>
      </c>
    </row>
    <row r="963" spans="1:14" x14ac:dyDescent="0.25">
      <c r="A963">
        <v>518</v>
      </c>
      <c r="B963" s="1">
        <f>DATE(2011,10,1) + TIME(0,0,0)</f>
        <v>40817</v>
      </c>
      <c r="C963">
        <v>80</v>
      </c>
      <c r="D963">
        <v>79.942855835000003</v>
      </c>
      <c r="E963">
        <v>40</v>
      </c>
      <c r="F963">
        <v>49.630767822000003</v>
      </c>
      <c r="G963">
        <v>1340.934082</v>
      </c>
      <c r="H963">
        <v>1338.2126464999999</v>
      </c>
      <c r="I963">
        <v>1323.1801757999999</v>
      </c>
      <c r="J963">
        <v>1319.6107178</v>
      </c>
      <c r="K963">
        <v>1650</v>
      </c>
      <c r="L963">
        <v>0</v>
      </c>
      <c r="M963">
        <v>0</v>
      </c>
      <c r="N963">
        <v>1650</v>
      </c>
    </row>
    <row r="964" spans="1:14" x14ac:dyDescent="0.25">
      <c r="A964">
        <v>520.51301100000001</v>
      </c>
      <c r="B964" s="1">
        <f>DATE(2011,10,3) + TIME(12,18,44)</f>
        <v>40819.513009259259</v>
      </c>
      <c r="C964">
        <v>80</v>
      </c>
      <c r="D964">
        <v>79.942939757999994</v>
      </c>
      <c r="E964">
        <v>40</v>
      </c>
      <c r="F964">
        <v>50.063911437999998</v>
      </c>
      <c r="G964">
        <v>1340.9284668</v>
      </c>
      <c r="H964">
        <v>1338.2087402</v>
      </c>
      <c r="I964">
        <v>1323.1796875</v>
      </c>
      <c r="J964">
        <v>1319.6171875</v>
      </c>
      <c r="K964">
        <v>1650</v>
      </c>
      <c r="L964">
        <v>0</v>
      </c>
      <c r="M964">
        <v>0</v>
      </c>
      <c r="N964">
        <v>1650</v>
      </c>
    </row>
    <row r="965" spans="1:14" x14ac:dyDescent="0.25">
      <c r="A965">
        <v>523.045614</v>
      </c>
      <c r="B965" s="1">
        <f>DATE(2011,10,6) + TIME(1,5,41)</f>
        <v>40822.045613425929</v>
      </c>
      <c r="C965">
        <v>80</v>
      </c>
      <c r="D965">
        <v>79.943000792999996</v>
      </c>
      <c r="E965">
        <v>40</v>
      </c>
      <c r="F965">
        <v>50.616436004999997</v>
      </c>
      <c r="G965">
        <v>1340.9176024999999</v>
      </c>
      <c r="H965">
        <v>1338.2014160000001</v>
      </c>
      <c r="I965">
        <v>1323.1864014</v>
      </c>
      <c r="J965">
        <v>1319.6256103999999</v>
      </c>
      <c r="K965">
        <v>1650</v>
      </c>
      <c r="L965">
        <v>0</v>
      </c>
      <c r="M965">
        <v>0</v>
      </c>
      <c r="N965">
        <v>1650</v>
      </c>
    </row>
    <row r="966" spans="1:14" x14ac:dyDescent="0.25">
      <c r="A966">
        <v>525.64201100000002</v>
      </c>
      <c r="B966" s="1">
        <f>DATE(2011,10,8) + TIME(15,24,29)</f>
        <v>40824.642002314817</v>
      </c>
      <c r="C966">
        <v>80</v>
      </c>
      <c r="D966">
        <v>79.943069457999997</v>
      </c>
      <c r="E966">
        <v>40</v>
      </c>
      <c r="F966">
        <v>51.187778473000002</v>
      </c>
      <c r="G966">
        <v>1340.9068603999999</v>
      </c>
      <c r="H966">
        <v>1338.1940918</v>
      </c>
      <c r="I966">
        <v>1323.1934814000001</v>
      </c>
      <c r="J966">
        <v>1319.6369629000001</v>
      </c>
      <c r="K966">
        <v>1650</v>
      </c>
      <c r="L966">
        <v>0</v>
      </c>
      <c r="M966">
        <v>0</v>
      </c>
      <c r="N966">
        <v>1650</v>
      </c>
    </row>
    <row r="967" spans="1:14" x14ac:dyDescent="0.25">
      <c r="A967">
        <v>528.31836299999998</v>
      </c>
      <c r="B967" s="1">
        <f>DATE(2011,10,11) + TIME(7,38,26)</f>
        <v>40827.318356481483</v>
      </c>
      <c r="C967">
        <v>80</v>
      </c>
      <c r="D967">
        <v>79.943130492999998</v>
      </c>
      <c r="E967">
        <v>40</v>
      </c>
      <c r="F967">
        <v>51.755928040000001</v>
      </c>
      <c r="G967">
        <v>1340.8961182</v>
      </c>
      <c r="H967">
        <v>1338.1867675999999</v>
      </c>
      <c r="I967">
        <v>1323.2009277</v>
      </c>
      <c r="J967">
        <v>1319.6492920000001</v>
      </c>
      <c r="K967">
        <v>1650</v>
      </c>
      <c r="L967">
        <v>0</v>
      </c>
      <c r="M967">
        <v>0</v>
      </c>
      <c r="N967">
        <v>1650</v>
      </c>
    </row>
    <row r="968" spans="1:14" x14ac:dyDescent="0.25">
      <c r="A968">
        <v>531.06103700000006</v>
      </c>
      <c r="B968" s="1">
        <f>DATE(2011,10,14) + TIME(1,27,53)</f>
        <v>40830.061030092591</v>
      </c>
      <c r="C968">
        <v>80</v>
      </c>
      <c r="D968">
        <v>79.943199157999999</v>
      </c>
      <c r="E968">
        <v>40</v>
      </c>
      <c r="F968">
        <v>52.314922332999998</v>
      </c>
      <c r="G968">
        <v>1340.885376</v>
      </c>
      <c r="H968">
        <v>1338.1794434000001</v>
      </c>
      <c r="I968">
        <v>1323.2089844</v>
      </c>
      <c r="J968">
        <v>1319.6622314000001</v>
      </c>
      <c r="K968">
        <v>1650</v>
      </c>
      <c r="L968">
        <v>0</v>
      </c>
      <c r="M968">
        <v>0</v>
      </c>
      <c r="N968">
        <v>1650</v>
      </c>
    </row>
    <row r="969" spans="1:14" x14ac:dyDescent="0.25">
      <c r="A969">
        <v>533.85572500000001</v>
      </c>
      <c r="B969" s="1">
        <f>DATE(2011,10,16) + TIME(20,32,14)</f>
        <v>40832.855717592596</v>
      </c>
      <c r="C969">
        <v>80</v>
      </c>
      <c r="D969">
        <v>79.943275451999995</v>
      </c>
      <c r="E969">
        <v>40</v>
      </c>
      <c r="F969">
        <v>52.860301970999998</v>
      </c>
      <c r="G969">
        <v>1340.8746338000001</v>
      </c>
      <c r="H969">
        <v>1338.1721190999999</v>
      </c>
      <c r="I969">
        <v>1323.2175293</v>
      </c>
      <c r="J969">
        <v>1319.6757812000001</v>
      </c>
      <c r="K969">
        <v>1650</v>
      </c>
      <c r="L969">
        <v>0</v>
      </c>
      <c r="M969">
        <v>0</v>
      </c>
      <c r="N969">
        <v>1650</v>
      </c>
    </row>
    <row r="970" spans="1:14" x14ac:dyDescent="0.25">
      <c r="A970">
        <v>536.69743100000005</v>
      </c>
      <c r="B970" s="1">
        <f>DATE(2011,10,19) + TIME(16,44,18)</f>
        <v>40835.697430555556</v>
      </c>
      <c r="C970">
        <v>80</v>
      </c>
      <c r="D970">
        <v>79.943344116000006</v>
      </c>
      <c r="E970">
        <v>40</v>
      </c>
      <c r="F970">
        <v>53.389011383000003</v>
      </c>
      <c r="G970">
        <v>1340.8638916</v>
      </c>
      <c r="H970">
        <v>1338.1649170000001</v>
      </c>
      <c r="I970">
        <v>1323.2265625</v>
      </c>
      <c r="J970">
        <v>1319.6895752</v>
      </c>
      <c r="K970">
        <v>1650</v>
      </c>
      <c r="L970">
        <v>0</v>
      </c>
      <c r="M970">
        <v>0</v>
      </c>
      <c r="N970">
        <v>1650</v>
      </c>
    </row>
    <row r="971" spans="1:14" x14ac:dyDescent="0.25">
      <c r="A971">
        <v>539.57011999999997</v>
      </c>
      <c r="B971" s="1">
        <f>DATE(2011,10,22) + TIME(13,40,58)</f>
        <v>40838.570115740738</v>
      </c>
      <c r="C971">
        <v>80</v>
      </c>
      <c r="D971">
        <v>79.943420410000002</v>
      </c>
      <c r="E971">
        <v>40</v>
      </c>
      <c r="F971">
        <v>53.899539947999997</v>
      </c>
      <c r="G971">
        <v>1340.8533935999999</v>
      </c>
      <c r="H971">
        <v>1338.1577147999999</v>
      </c>
      <c r="I971">
        <v>1323.2358397999999</v>
      </c>
      <c r="J971">
        <v>1319.7037353999999</v>
      </c>
      <c r="K971">
        <v>1650</v>
      </c>
      <c r="L971">
        <v>0</v>
      </c>
      <c r="M971">
        <v>0</v>
      </c>
      <c r="N971">
        <v>1650</v>
      </c>
    </row>
    <row r="972" spans="1:14" x14ac:dyDescent="0.25">
      <c r="A972">
        <v>542.49852699999997</v>
      </c>
      <c r="B972" s="1">
        <f>DATE(2011,10,25) + TIME(11,57,52)</f>
        <v>40841.498518518521</v>
      </c>
      <c r="C972">
        <v>80</v>
      </c>
      <c r="D972">
        <v>79.943496703999998</v>
      </c>
      <c r="E972">
        <v>40</v>
      </c>
      <c r="F972">
        <v>54.389831543</v>
      </c>
      <c r="G972">
        <v>1340.8428954999999</v>
      </c>
      <c r="H972">
        <v>1338.1506348</v>
      </c>
      <c r="I972">
        <v>1323.2453613</v>
      </c>
      <c r="J972">
        <v>1319.7180175999999</v>
      </c>
      <c r="K972">
        <v>1650</v>
      </c>
      <c r="L972">
        <v>0</v>
      </c>
      <c r="M972">
        <v>0</v>
      </c>
      <c r="N972">
        <v>1650</v>
      </c>
    </row>
    <row r="973" spans="1:14" x14ac:dyDescent="0.25">
      <c r="A973">
        <v>545.50211400000001</v>
      </c>
      <c r="B973" s="1">
        <f>DATE(2011,10,28) + TIME(12,3,2)</f>
        <v>40844.502106481479</v>
      </c>
      <c r="C973">
        <v>80</v>
      </c>
      <c r="D973">
        <v>79.943572997999993</v>
      </c>
      <c r="E973">
        <v>40</v>
      </c>
      <c r="F973">
        <v>54.862644195999998</v>
      </c>
      <c r="G973">
        <v>1340.8325195</v>
      </c>
      <c r="H973">
        <v>1338.1435547000001</v>
      </c>
      <c r="I973">
        <v>1323.255249</v>
      </c>
      <c r="J973">
        <v>1319.7324219</v>
      </c>
      <c r="K973">
        <v>1650</v>
      </c>
      <c r="L973">
        <v>0</v>
      </c>
      <c r="M973">
        <v>0</v>
      </c>
      <c r="N973">
        <v>1650</v>
      </c>
    </row>
    <row r="974" spans="1:14" x14ac:dyDescent="0.25">
      <c r="A974">
        <v>548.55220299999996</v>
      </c>
      <c r="B974" s="1">
        <f>DATE(2011,10,31) + TIME(13,15,10)</f>
        <v>40847.552199074074</v>
      </c>
      <c r="C974">
        <v>80</v>
      </c>
      <c r="D974">
        <v>79.943656920999999</v>
      </c>
      <c r="E974">
        <v>40</v>
      </c>
      <c r="F974">
        <v>55.320144653</v>
      </c>
      <c r="G974">
        <v>1340.8221435999999</v>
      </c>
      <c r="H974">
        <v>1338.1365966999999</v>
      </c>
      <c r="I974">
        <v>1323.2655029</v>
      </c>
      <c r="J974">
        <v>1319.7469481999999</v>
      </c>
      <c r="K974">
        <v>1650</v>
      </c>
      <c r="L974">
        <v>0</v>
      </c>
      <c r="M974">
        <v>0</v>
      </c>
      <c r="N974">
        <v>1650</v>
      </c>
    </row>
    <row r="975" spans="1:14" x14ac:dyDescent="0.25">
      <c r="A975">
        <v>549</v>
      </c>
      <c r="B975" s="1">
        <f>DATE(2011,11,1) + TIME(0,0,0)</f>
        <v>40848</v>
      </c>
      <c r="C975">
        <v>80</v>
      </c>
      <c r="D975">
        <v>79.943641662999994</v>
      </c>
      <c r="E975">
        <v>40</v>
      </c>
      <c r="F975">
        <v>55.516803740999997</v>
      </c>
      <c r="G975">
        <v>1340.8121338000001</v>
      </c>
      <c r="H975">
        <v>1338.1297606999999</v>
      </c>
      <c r="I975">
        <v>1323.2840576000001</v>
      </c>
      <c r="J975">
        <v>1319.762207</v>
      </c>
      <c r="K975">
        <v>1650</v>
      </c>
      <c r="L975">
        <v>0</v>
      </c>
      <c r="M975">
        <v>0</v>
      </c>
      <c r="N975">
        <v>1650</v>
      </c>
    </row>
    <row r="976" spans="1:14" x14ac:dyDescent="0.25">
      <c r="A976">
        <v>549.000001</v>
      </c>
      <c r="B976" s="1">
        <f>DATE(2011,11,1) + TIME(0,0,0)</f>
        <v>40848</v>
      </c>
      <c r="C976">
        <v>80</v>
      </c>
      <c r="D976">
        <v>79.943572997999993</v>
      </c>
      <c r="E976">
        <v>40</v>
      </c>
      <c r="F976">
        <v>55.516880035</v>
      </c>
      <c r="G976">
        <v>1337.6337891000001</v>
      </c>
      <c r="H976">
        <v>1336.7773437999999</v>
      </c>
      <c r="I976">
        <v>1327.5021973</v>
      </c>
      <c r="J976">
        <v>1324.0338135</v>
      </c>
      <c r="K976">
        <v>0</v>
      </c>
      <c r="L976">
        <v>1650</v>
      </c>
      <c r="M976">
        <v>1650</v>
      </c>
      <c r="N976">
        <v>0</v>
      </c>
    </row>
    <row r="977" spans="1:14" x14ac:dyDescent="0.25">
      <c r="A977">
        <v>549.00000399999999</v>
      </c>
      <c r="B977" s="1">
        <f>DATE(2011,11,1) + TIME(0,0,0)</f>
        <v>40848</v>
      </c>
      <c r="C977">
        <v>80</v>
      </c>
      <c r="D977">
        <v>79.943450928000004</v>
      </c>
      <c r="E977">
        <v>40</v>
      </c>
      <c r="F977">
        <v>55.517013550000001</v>
      </c>
      <c r="G977">
        <v>1336.7821045000001</v>
      </c>
      <c r="H977">
        <v>1335.9134521000001</v>
      </c>
      <c r="I977">
        <v>1328.6823730000001</v>
      </c>
      <c r="J977">
        <v>1325.4254149999999</v>
      </c>
      <c r="K977">
        <v>0</v>
      </c>
      <c r="L977">
        <v>1650</v>
      </c>
      <c r="M977">
        <v>1650</v>
      </c>
      <c r="N977">
        <v>0</v>
      </c>
    </row>
    <row r="978" spans="1:14" x14ac:dyDescent="0.25">
      <c r="A978">
        <v>549.00001299999997</v>
      </c>
      <c r="B978" s="1">
        <f>DATE(2011,11,1) + TIME(0,0,1)</f>
        <v>40848.000011574077</v>
      </c>
      <c r="C978">
        <v>80</v>
      </c>
      <c r="D978">
        <v>79.943298339999998</v>
      </c>
      <c r="E978">
        <v>40</v>
      </c>
      <c r="F978">
        <v>55.517097473</v>
      </c>
      <c r="G978">
        <v>1335.7222899999999</v>
      </c>
      <c r="H978">
        <v>1334.8199463000001</v>
      </c>
      <c r="I978">
        <v>1330.4858397999999</v>
      </c>
      <c r="J978">
        <v>1327.2847899999999</v>
      </c>
      <c r="K978">
        <v>0</v>
      </c>
      <c r="L978">
        <v>1650</v>
      </c>
      <c r="M978">
        <v>1650</v>
      </c>
      <c r="N978">
        <v>0</v>
      </c>
    </row>
    <row r="979" spans="1:14" x14ac:dyDescent="0.25">
      <c r="A979">
        <v>549.00004000000001</v>
      </c>
      <c r="B979" s="1">
        <f>DATE(2011,11,1) + TIME(0,0,3)</f>
        <v>40848.000034722223</v>
      </c>
      <c r="C979">
        <v>80</v>
      </c>
      <c r="D979">
        <v>79.943138122999997</v>
      </c>
      <c r="E979">
        <v>40</v>
      </c>
      <c r="F979">
        <v>55.516895294000001</v>
      </c>
      <c r="G979">
        <v>1334.6209716999999</v>
      </c>
      <c r="H979">
        <v>1333.6708983999999</v>
      </c>
      <c r="I979">
        <v>1332.5760498</v>
      </c>
      <c r="J979">
        <v>1329.3305664</v>
      </c>
      <c r="K979">
        <v>0</v>
      </c>
      <c r="L979">
        <v>1650</v>
      </c>
      <c r="M979">
        <v>1650</v>
      </c>
      <c r="N979">
        <v>0</v>
      </c>
    </row>
    <row r="980" spans="1:14" x14ac:dyDescent="0.25">
      <c r="A980">
        <v>549.00012100000004</v>
      </c>
      <c r="B980" s="1">
        <f>DATE(2011,11,1) + TIME(0,0,10)</f>
        <v>40848.000115740739</v>
      </c>
      <c r="C980">
        <v>80</v>
      </c>
      <c r="D980">
        <v>79.942970275999997</v>
      </c>
      <c r="E980">
        <v>40</v>
      </c>
      <c r="F980">
        <v>55.515743256</v>
      </c>
      <c r="G980">
        <v>1333.4854736</v>
      </c>
      <c r="H980">
        <v>1332.4677733999999</v>
      </c>
      <c r="I980">
        <v>1334.7108154</v>
      </c>
      <c r="J980">
        <v>1331.4195557</v>
      </c>
      <c r="K980">
        <v>0</v>
      </c>
      <c r="L980">
        <v>1650</v>
      </c>
      <c r="M980">
        <v>1650</v>
      </c>
      <c r="N980">
        <v>0</v>
      </c>
    </row>
    <row r="981" spans="1:14" x14ac:dyDescent="0.25">
      <c r="A981">
        <v>549.00036399999999</v>
      </c>
      <c r="B981" s="1">
        <f>DATE(2011,11,1) + TIME(0,0,31)</f>
        <v>40848.000358796293</v>
      </c>
      <c r="C981">
        <v>80</v>
      </c>
      <c r="D981">
        <v>79.942756653000004</v>
      </c>
      <c r="E981">
        <v>40</v>
      </c>
      <c r="F981">
        <v>55.511680603000002</v>
      </c>
      <c r="G981">
        <v>1332.2680664</v>
      </c>
      <c r="H981">
        <v>1331.1566161999999</v>
      </c>
      <c r="I981">
        <v>1336.8530272999999</v>
      </c>
      <c r="J981">
        <v>1333.5069579999999</v>
      </c>
      <c r="K981">
        <v>0</v>
      </c>
      <c r="L981">
        <v>1650</v>
      </c>
      <c r="M981">
        <v>1650</v>
      </c>
      <c r="N981">
        <v>0</v>
      </c>
    </row>
    <row r="982" spans="1:14" x14ac:dyDescent="0.25">
      <c r="A982">
        <v>549.00109299999997</v>
      </c>
      <c r="B982" s="1">
        <f>DATE(2011,11,1) + TIME(0,1,34)</f>
        <v>40848.001087962963</v>
      </c>
      <c r="C982">
        <v>80</v>
      </c>
      <c r="D982">
        <v>79.942451477000006</v>
      </c>
      <c r="E982">
        <v>40</v>
      </c>
      <c r="F982">
        <v>55.498638153000002</v>
      </c>
      <c r="G982">
        <v>1331.0217285000001</v>
      </c>
      <c r="H982">
        <v>1329.8112793</v>
      </c>
      <c r="I982">
        <v>1338.8829346</v>
      </c>
      <c r="J982">
        <v>1335.4573975000001</v>
      </c>
      <c r="K982">
        <v>0</v>
      </c>
      <c r="L982">
        <v>1650</v>
      </c>
      <c r="M982">
        <v>1650</v>
      </c>
      <c r="N982">
        <v>0</v>
      </c>
    </row>
    <row r="983" spans="1:14" x14ac:dyDescent="0.25">
      <c r="A983">
        <v>549.00328000000002</v>
      </c>
      <c r="B983" s="1">
        <f>DATE(2011,11,1) + TIME(0,4,43)</f>
        <v>40848.003275462965</v>
      </c>
      <c r="C983">
        <v>80</v>
      </c>
      <c r="D983">
        <v>79.941925049000005</v>
      </c>
      <c r="E983">
        <v>40</v>
      </c>
      <c r="F983">
        <v>55.458145141999999</v>
      </c>
      <c r="G983">
        <v>1329.9736327999999</v>
      </c>
      <c r="H983">
        <v>1328.6995850000001</v>
      </c>
      <c r="I983">
        <v>1340.4627685999999</v>
      </c>
      <c r="J983">
        <v>1336.9567870999999</v>
      </c>
      <c r="K983">
        <v>0</v>
      </c>
      <c r="L983">
        <v>1650</v>
      </c>
      <c r="M983">
        <v>1650</v>
      </c>
      <c r="N983">
        <v>0</v>
      </c>
    </row>
    <row r="984" spans="1:14" x14ac:dyDescent="0.25">
      <c r="A984">
        <v>549.00984100000005</v>
      </c>
      <c r="B984" s="1">
        <f>DATE(2011,11,1) + TIME(0,14,10)</f>
        <v>40848.009837962964</v>
      </c>
      <c r="C984">
        <v>80</v>
      </c>
      <c r="D984">
        <v>79.940681458</v>
      </c>
      <c r="E984">
        <v>40</v>
      </c>
      <c r="F984">
        <v>55.335731506000002</v>
      </c>
      <c r="G984">
        <v>1329.3287353999999</v>
      </c>
      <c r="H984">
        <v>1328.0318603999999</v>
      </c>
      <c r="I984">
        <v>1341.3164062000001</v>
      </c>
      <c r="J984">
        <v>1337.7618408000001</v>
      </c>
      <c r="K984">
        <v>0</v>
      </c>
      <c r="L984">
        <v>1650</v>
      </c>
      <c r="M984">
        <v>1650</v>
      </c>
      <c r="N984">
        <v>0</v>
      </c>
    </row>
    <row r="985" spans="1:14" x14ac:dyDescent="0.25">
      <c r="A985">
        <v>549.02952400000004</v>
      </c>
      <c r="B985" s="1">
        <f>DATE(2011,11,1) + TIME(0,42,30)</f>
        <v>40848.029513888891</v>
      </c>
      <c r="C985">
        <v>80</v>
      </c>
      <c r="D985">
        <v>79.937225342000005</v>
      </c>
      <c r="E985">
        <v>40</v>
      </c>
      <c r="F985">
        <v>54.976985931000002</v>
      </c>
      <c r="G985">
        <v>1329.0843506000001</v>
      </c>
      <c r="H985">
        <v>1327.7819824000001</v>
      </c>
      <c r="I985">
        <v>1341.552124</v>
      </c>
      <c r="J985">
        <v>1337.9790039</v>
      </c>
      <c r="K985">
        <v>0</v>
      </c>
      <c r="L985">
        <v>1650</v>
      </c>
      <c r="M985">
        <v>1650</v>
      </c>
      <c r="N985">
        <v>0</v>
      </c>
    </row>
    <row r="986" spans="1:14" x14ac:dyDescent="0.25">
      <c r="A986">
        <v>549.06946500000004</v>
      </c>
      <c r="B986" s="1">
        <f>DATE(2011,11,1) + TIME(1,40,1)</f>
        <v>40848.069456018522</v>
      </c>
      <c r="C986">
        <v>80</v>
      </c>
      <c r="D986">
        <v>79.930374146000005</v>
      </c>
      <c r="E986">
        <v>40</v>
      </c>
      <c r="F986">
        <v>54.288417815999999</v>
      </c>
      <c r="G986">
        <v>1329.0373535000001</v>
      </c>
      <c r="H986">
        <v>1327.7330322</v>
      </c>
      <c r="I986">
        <v>1341.5588379000001</v>
      </c>
      <c r="J986">
        <v>1337.9769286999999</v>
      </c>
      <c r="K986">
        <v>0</v>
      </c>
      <c r="L986">
        <v>1650</v>
      </c>
      <c r="M986">
        <v>1650</v>
      </c>
      <c r="N986">
        <v>0</v>
      </c>
    </row>
    <row r="987" spans="1:14" x14ac:dyDescent="0.25">
      <c r="A987">
        <v>549.110995</v>
      </c>
      <c r="B987" s="1">
        <f>DATE(2011,11,1) + TIME(2,39,49)</f>
        <v>40848.110983796294</v>
      </c>
      <c r="C987">
        <v>80</v>
      </c>
      <c r="D987">
        <v>79.923301696999999</v>
      </c>
      <c r="E987">
        <v>40</v>
      </c>
      <c r="F987">
        <v>53.612941741999997</v>
      </c>
      <c r="G987">
        <v>1329.0284423999999</v>
      </c>
      <c r="H987">
        <v>1327.722168</v>
      </c>
      <c r="I987">
        <v>1341.5396728999999</v>
      </c>
      <c r="J987">
        <v>1337.9528809000001</v>
      </c>
      <c r="K987">
        <v>0</v>
      </c>
      <c r="L987">
        <v>1650</v>
      </c>
      <c r="M987">
        <v>1650</v>
      </c>
      <c r="N987">
        <v>0</v>
      </c>
    </row>
    <row r="988" spans="1:14" x14ac:dyDescent="0.25">
      <c r="A988">
        <v>549.15412300000003</v>
      </c>
      <c r="B988" s="1">
        <f>DATE(2011,11,1) + TIME(3,41,56)</f>
        <v>40848.154120370367</v>
      </c>
      <c r="C988">
        <v>80</v>
      </c>
      <c r="D988">
        <v>79.916015625</v>
      </c>
      <c r="E988">
        <v>40</v>
      </c>
      <c r="F988">
        <v>52.952003478999998</v>
      </c>
      <c r="G988">
        <v>1329.0235596</v>
      </c>
      <c r="H988">
        <v>1327.7154541</v>
      </c>
      <c r="I988">
        <v>1341.5203856999999</v>
      </c>
      <c r="J988">
        <v>1337.9290771000001</v>
      </c>
      <c r="K988">
        <v>0</v>
      </c>
      <c r="L988">
        <v>1650</v>
      </c>
      <c r="M988">
        <v>1650</v>
      </c>
      <c r="N988">
        <v>0</v>
      </c>
    </row>
    <row r="989" spans="1:14" x14ac:dyDescent="0.25">
      <c r="A989">
        <v>549.19893500000001</v>
      </c>
      <c r="B989" s="1">
        <f>DATE(2011,11,1) + TIME(4,46,27)</f>
        <v>40848.198923611111</v>
      </c>
      <c r="C989">
        <v>80</v>
      </c>
      <c r="D989">
        <v>79.908500670999999</v>
      </c>
      <c r="E989">
        <v>40</v>
      </c>
      <c r="F989">
        <v>52.305789947999997</v>
      </c>
      <c r="G989">
        <v>1329.0191649999999</v>
      </c>
      <c r="H989">
        <v>1327.7091064000001</v>
      </c>
      <c r="I989">
        <v>1341.5015868999999</v>
      </c>
      <c r="J989">
        <v>1337.9058838000001</v>
      </c>
      <c r="K989">
        <v>0</v>
      </c>
      <c r="L989">
        <v>1650</v>
      </c>
      <c r="M989">
        <v>1650</v>
      </c>
      <c r="N989">
        <v>0</v>
      </c>
    </row>
    <row r="990" spans="1:14" x14ac:dyDescent="0.25">
      <c r="A990">
        <v>549.24553300000002</v>
      </c>
      <c r="B990" s="1">
        <f>DATE(2011,11,1) + TIME(5,53,34)</f>
        <v>40848.245532407411</v>
      </c>
      <c r="C990">
        <v>80</v>
      </c>
      <c r="D990">
        <v>79.900749207000004</v>
      </c>
      <c r="E990">
        <v>40</v>
      </c>
      <c r="F990">
        <v>51.674343108999999</v>
      </c>
      <c r="G990">
        <v>1329.0146483999999</v>
      </c>
      <c r="H990">
        <v>1327.7026367000001</v>
      </c>
      <c r="I990">
        <v>1341.4829102000001</v>
      </c>
      <c r="J990">
        <v>1337.8830565999999</v>
      </c>
      <c r="K990">
        <v>0</v>
      </c>
      <c r="L990">
        <v>1650</v>
      </c>
      <c r="M990">
        <v>1650</v>
      </c>
      <c r="N990">
        <v>0</v>
      </c>
    </row>
    <row r="991" spans="1:14" x14ac:dyDescent="0.25">
      <c r="A991">
        <v>549.29403000000002</v>
      </c>
      <c r="B991" s="1">
        <f>DATE(2011,11,1) + TIME(7,3,24)</f>
        <v>40848.294027777774</v>
      </c>
      <c r="C991">
        <v>80</v>
      </c>
      <c r="D991">
        <v>79.892745972</v>
      </c>
      <c r="E991">
        <v>40</v>
      </c>
      <c r="F991">
        <v>51.057708740000002</v>
      </c>
      <c r="G991">
        <v>1329.0101318</v>
      </c>
      <c r="H991">
        <v>1327.6960449000001</v>
      </c>
      <c r="I991">
        <v>1341.4644774999999</v>
      </c>
      <c r="J991">
        <v>1337.8605957</v>
      </c>
      <c r="K991">
        <v>0</v>
      </c>
      <c r="L991">
        <v>1650</v>
      </c>
      <c r="M991">
        <v>1650</v>
      </c>
      <c r="N991">
        <v>0</v>
      </c>
    </row>
    <row r="992" spans="1:14" x14ac:dyDescent="0.25">
      <c r="A992">
        <v>549.34454900000003</v>
      </c>
      <c r="B992" s="1">
        <f>DATE(2011,11,1) + TIME(8,16,9)</f>
        <v>40848.344548611109</v>
      </c>
      <c r="C992">
        <v>80</v>
      </c>
      <c r="D992">
        <v>79.884475707999997</v>
      </c>
      <c r="E992">
        <v>40</v>
      </c>
      <c r="F992">
        <v>50.455940247000001</v>
      </c>
      <c r="G992">
        <v>1329.0054932</v>
      </c>
      <c r="H992">
        <v>1327.6893310999999</v>
      </c>
      <c r="I992">
        <v>1341.4461670000001</v>
      </c>
      <c r="J992">
        <v>1337.8386230000001</v>
      </c>
      <c r="K992">
        <v>0</v>
      </c>
      <c r="L992">
        <v>1650</v>
      </c>
      <c r="M992">
        <v>1650</v>
      </c>
      <c r="N992">
        <v>0</v>
      </c>
    </row>
    <row r="993" spans="1:14" x14ac:dyDescent="0.25">
      <c r="A993">
        <v>549.397198</v>
      </c>
      <c r="B993" s="1">
        <f>DATE(2011,11,1) + TIME(9,31,57)</f>
        <v>40848.397187499999</v>
      </c>
      <c r="C993">
        <v>80</v>
      </c>
      <c r="D993">
        <v>79.875923157000003</v>
      </c>
      <c r="E993">
        <v>40</v>
      </c>
      <c r="F993">
        <v>49.869327544999997</v>
      </c>
      <c r="G993">
        <v>1329.0007324000001</v>
      </c>
      <c r="H993">
        <v>1327.6823730000001</v>
      </c>
      <c r="I993">
        <v>1341.4281006000001</v>
      </c>
      <c r="J993">
        <v>1337.8170166</v>
      </c>
      <c r="K993">
        <v>0</v>
      </c>
      <c r="L993">
        <v>1650</v>
      </c>
      <c r="M993">
        <v>1650</v>
      </c>
      <c r="N993">
        <v>0</v>
      </c>
    </row>
    <row r="994" spans="1:14" x14ac:dyDescent="0.25">
      <c r="A994">
        <v>549.452134</v>
      </c>
      <c r="B994" s="1">
        <f>DATE(2011,11,1) + TIME(10,51,4)</f>
        <v>40848.45212962963</v>
      </c>
      <c r="C994">
        <v>80</v>
      </c>
      <c r="D994">
        <v>79.867080688000001</v>
      </c>
      <c r="E994">
        <v>40</v>
      </c>
      <c r="F994">
        <v>49.297645568999997</v>
      </c>
      <c r="G994">
        <v>1328.9957274999999</v>
      </c>
      <c r="H994">
        <v>1327.675293</v>
      </c>
      <c r="I994">
        <v>1341.4102783000001</v>
      </c>
      <c r="J994">
        <v>1337.7957764</v>
      </c>
      <c r="K994">
        <v>0</v>
      </c>
      <c r="L994">
        <v>1650</v>
      </c>
      <c r="M994">
        <v>1650</v>
      </c>
      <c r="N994">
        <v>0</v>
      </c>
    </row>
    <row r="995" spans="1:14" x14ac:dyDescent="0.25">
      <c r="A995">
        <v>549.50952700000005</v>
      </c>
      <c r="B995" s="1">
        <f>DATE(2011,11,1) + TIME(12,13,43)</f>
        <v>40848.509525462963</v>
      </c>
      <c r="C995">
        <v>80</v>
      </c>
      <c r="D995">
        <v>79.857925414999997</v>
      </c>
      <c r="E995">
        <v>40</v>
      </c>
      <c r="F995">
        <v>48.741088867000002</v>
      </c>
      <c r="G995">
        <v>1328.9907227000001</v>
      </c>
      <c r="H995">
        <v>1327.6679687999999</v>
      </c>
      <c r="I995">
        <v>1341.3925781</v>
      </c>
      <c r="J995">
        <v>1337.7750243999999</v>
      </c>
      <c r="K995">
        <v>0</v>
      </c>
      <c r="L995">
        <v>1650</v>
      </c>
      <c r="M995">
        <v>1650</v>
      </c>
      <c r="N995">
        <v>0</v>
      </c>
    </row>
    <row r="996" spans="1:14" x14ac:dyDescent="0.25">
      <c r="A996">
        <v>549.56958599999996</v>
      </c>
      <c r="B996" s="1">
        <f>DATE(2011,11,1) + TIME(13,40,12)</f>
        <v>40848.56958333333</v>
      </c>
      <c r="C996">
        <v>80</v>
      </c>
      <c r="D996">
        <v>79.848434448000006</v>
      </c>
      <c r="E996">
        <v>40</v>
      </c>
      <c r="F996">
        <v>48.199485779</v>
      </c>
      <c r="G996">
        <v>1328.9854736</v>
      </c>
      <c r="H996">
        <v>1327.6605225000001</v>
      </c>
      <c r="I996">
        <v>1341.3752440999999</v>
      </c>
      <c r="J996">
        <v>1337.7546387</v>
      </c>
      <c r="K996">
        <v>0</v>
      </c>
      <c r="L996">
        <v>1650</v>
      </c>
      <c r="M996">
        <v>1650</v>
      </c>
      <c r="N996">
        <v>0</v>
      </c>
    </row>
    <row r="997" spans="1:14" x14ac:dyDescent="0.25">
      <c r="A997">
        <v>549.63252299999999</v>
      </c>
      <c r="B997" s="1">
        <f>DATE(2011,11,1) + TIME(15,10,50)</f>
        <v>40848.632523148146</v>
      </c>
      <c r="C997">
        <v>80</v>
      </c>
      <c r="D997">
        <v>79.838577271000005</v>
      </c>
      <c r="E997">
        <v>40</v>
      </c>
      <c r="F997">
        <v>47.672901154000002</v>
      </c>
      <c r="G997">
        <v>1328.9802245999999</v>
      </c>
      <c r="H997">
        <v>1327.6527100000001</v>
      </c>
      <c r="I997">
        <v>1341.3580322</v>
      </c>
      <c r="J997">
        <v>1337.7347411999999</v>
      </c>
      <c r="K997">
        <v>0</v>
      </c>
      <c r="L997">
        <v>1650</v>
      </c>
      <c r="M997">
        <v>1650</v>
      </c>
      <c r="N997">
        <v>0</v>
      </c>
    </row>
    <row r="998" spans="1:14" x14ac:dyDescent="0.25">
      <c r="A998">
        <v>549.69856200000004</v>
      </c>
      <c r="B998" s="1">
        <f>DATE(2011,11,1) + TIME(16,45,55)</f>
        <v>40848.698553240742</v>
      </c>
      <c r="C998">
        <v>80</v>
      </c>
      <c r="D998">
        <v>79.828330993999998</v>
      </c>
      <c r="E998">
        <v>40</v>
      </c>
      <c r="F998">
        <v>47.161491394000002</v>
      </c>
      <c r="G998">
        <v>1328.9746094</v>
      </c>
      <c r="H998">
        <v>1327.6447754000001</v>
      </c>
      <c r="I998">
        <v>1341.3410644999999</v>
      </c>
      <c r="J998">
        <v>1337.715332</v>
      </c>
      <c r="K998">
        <v>0</v>
      </c>
      <c r="L998">
        <v>1650</v>
      </c>
      <c r="M998">
        <v>1650</v>
      </c>
      <c r="N998">
        <v>0</v>
      </c>
    </row>
    <row r="999" spans="1:14" x14ac:dyDescent="0.25">
      <c r="A999">
        <v>549.76795200000004</v>
      </c>
      <c r="B999" s="1">
        <f>DATE(2011,11,1) + TIME(18,25,51)</f>
        <v>40848.767951388887</v>
      </c>
      <c r="C999">
        <v>80</v>
      </c>
      <c r="D999">
        <v>79.817680358999993</v>
      </c>
      <c r="E999">
        <v>40</v>
      </c>
      <c r="F999">
        <v>46.665443420000003</v>
      </c>
      <c r="G999">
        <v>1328.9689940999999</v>
      </c>
      <c r="H999">
        <v>1327.6364745999999</v>
      </c>
      <c r="I999">
        <v>1341.3244629000001</v>
      </c>
      <c r="J999">
        <v>1337.6964111</v>
      </c>
      <c r="K999">
        <v>0</v>
      </c>
      <c r="L999">
        <v>1650</v>
      </c>
      <c r="M999">
        <v>1650</v>
      </c>
      <c r="N999">
        <v>0</v>
      </c>
    </row>
    <row r="1000" spans="1:14" x14ac:dyDescent="0.25">
      <c r="A1000">
        <v>549.84096599999998</v>
      </c>
      <c r="B1000" s="1">
        <f>DATE(2011,11,1) + TIME(20,10,59)</f>
        <v>40848.840960648151</v>
      </c>
      <c r="C1000">
        <v>80</v>
      </c>
      <c r="D1000">
        <v>79.806579589999998</v>
      </c>
      <c r="E1000">
        <v>40</v>
      </c>
      <c r="F1000">
        <v>46.184974670000003</v>
      </c>
      <c r="G1000">
        <v>1328.9630127</v>
      </c>
      <c r="H1000">
        <v>1327.6279297000001</v>
      </c>
      <c r="I1000">
        <v>1341.3079834</v>
      </c>
      <c r="J1000">
        <v>1337.6778564000001</v>
      </c>
      <c r="K1000">
        <v>0</v>
      </c>
      <c r="L1000">
        <v>1650</v>
      </c>
      <c r="M1000">
        <v>1650</v>
      </c>
      <c r="N1000">
        <v>0</v>
      </c>
    </row>
    <row r="1001" spans="1:14" x14ac:dyDescent="0.25">
      <c r="A1001">
        <v>549.917913</v>
      </c>
      <c r="B1001" s="1">
        <f>DATE(2011,11,1) + TIME(22,1,47)</f>
        <v>40848.917905092596</v>
      </c>
      <c r="C1001">
        <v>80</v>
      </c>
      <c r="D1001">
        <v>79.795013428000004</v>
      </c>
      <c r="E1001">
        <v>40</v>
      </c>
      <c r="F1001">
        <v>45.720321654999999</v>
      </c>
      <c r="G1001">
        <v>1328.9569091999999</v>
      </c>
      <c r="H1001">
        <v>1327.6191406</v>
      </c>
      <c r="I1001">
        <v>1341.2918701000001</v>
      </c>
      <c r="J1001">
        <v>1337.6599120999999</v>
      </c>
      <c r="K1001">
        <v>0</v>
      </c>
      <c r="L1001">
        <v>1650</v>
      </c>
      <c r="M1001">
        <v>1650</v>
      </c>
      <c r="N1001">
        <v>0</v>
      </c>
    </row>
    <row r="1002" spans="1:14" x14ac:dyDescent="0.25">
      <c r="A1002">
        <v>549.99913600000002</v>
      </c>
      <c r="B1002" s="1">
        <f>DATE(2011,11,1) + TIME(23,58,45)</f>
        <v>40848.999131944445</v>
      </c>
      <c r="C1002">
        <v>80</v>
      </c>
      <c r="D1002">
        <v>79.782928467000005</v>
      </c>
      <c r="E1002">
        <v>40</v>
      </c>
      <c r="F1002">
        <v>45.271743774000001</v>
      </c>
      <c r="G1002">
        <v>1328.9505615</v>
      </c>
      <c r="H1002">
        <v>1327.6099853999999</v>
      </c>
      <c r="I1002">
        <v>1341.276001</v>
      </c>
      <c r="J1002">
        <v>1337.6423339999999</v>
      </c>
      <c r="K1002">
        <v>0</v>
      </c>
      <c r="L1002">
        <v>1650</v>
      </c>
      <c r="M1002">
        <v>1650</v>
      </c>
      <c r="N1002">
        <v>0</v>
      </c>
    </row>
    <row r="1003" spans="1:14" x14ac:dyDescent="0.25">
      <c r="A1003">
        <v>550.08501000000001</v>
      </c>
      <c r="B1003" s="1">
        <f>DATE(2011,11,2) + TIME(2,2,24)</f>
        <v>40849.084999999999</v>
      </c>
      <c r="C1003">
        <v>80</v>
      </c>
      <c r="D1003">
        <v>79.770301818999997</v>
      </c>
      <c r="E1003">
        <v>40</v>
      </c>
      <c r="F1003">
        <v>44.839565276999998</v>
      </c>
      <c r="G1003">
        <v>1328.9440918</v>
      </c>
      <c r="H1003">
        <v>1327.6004639</v>
      </c>
      <c r="I1003">
        <v>1341.2604980000001</v>
      </c>
      <c r="J1003">
        <v>1337.6253661999999</v>
      </c>
      <c r="K1003">
        <v>0</v>
      </c>
      <c r="L1003">
        <v>1650</v>
      </c>
      <c r="M1003">
        <v>1650</v>
      </c>
      <c r="N1003">
        <v>0</v>
      </c>
    </row>
    <row r="1004" spans="1:14" x14ac:dyDescent="0.25">
      <c r="A1004">
        <v>550.17593899999997</v>
      </c>
      <c r="B1004" s="1">
        <f>DATE(2011,11,2) + TIME(4,13,21)</f>
        <v>40849.175937499997</v>
      </c>
      <c r="C1004">
        <v>80</v>
      </c>
      <c r="D1004">
        <v>79.757080078000001</v>
      </c>
      <c r="E1004">
        <v>40</v>
      </c>
      <c r="F1004">
        <v>44.424209595000001</v>
      </c>
      <c r="G1004">
        <v>1328.9372559000001</v>
      </c>
      <c r="H1004">
        <v>1327.5906981999999</v>
      </c>
      <c r="I1004">
        <v>1341.2452393000001</v>
      </c>
      <c r="J1004">
        <v>1337.6088867000001</v>
      </c>
      <c r="K1004">
        <v>0</v>
      </c>
      <c r="L1004">
        <v>1650</v>
      </c>
      <c r="M1004">
        <v>1650</v>
      </c>
      <c r="N1004">
        <v>0</v>
      </c>
    </row>
    <row r="1005" spans="1:14" x14ac:dyDescent="0.25">
      <c r="A1005">
        <v>550.27243799999997</v>
      </c>
      <c r="B1005" s="1">
        <f>DATE(2011,11,2) + TIME(6,32,18)</f>
        <v>40849.272430555553</v>
      </c>
      <c r="C1005">
        <v>80</v>
      </c>
      <c r="D1005">
        <v>79.743217467999997</v>
      </c>
      <c r="E1005">
        <v>40</v>
      </c>
      <c r="F1005">
        <v>44.025852202999999</v>
      </c>
      <c r="G1005">
        <v>1328.9301757999999</v>
      </c>
      <c r="H1005">
        <v>1327.5804443</v>
      </c>
      <c r="I1005">
        <v>1341.2302245999999</v>
      </c>
      <c r="J1005">
        <v>1337.5930175999999</v>
      </c>
      <c r="K1005">
        <v>0</v>
      </c>
      <c r="L1005">
        <v>1650</v>
      </c>
      <c r="M1005">
        <v>1650</v>
      </c>
      <c r="N1005">
        <v>0</v>
      </c>
    </row>
    <row r="1006" spans="1:14" x14ac:dyDescent="0.25">
      <c r="A1006">
        <v>550.37505899999996</v>
      </c>
      <c r="B1006" s="1">
        <f>DATE(2011,11,2) + TIME(9,0,5)</f>
        <v>40849.375057870369</v>
      </c>
      <c r="C1006">
        <v>80</v>
      </c>
      <c r="D1006">
        <v>79.728652953999998</v>
      </c>
      <c r="E1006">
        <v>40</v>
      </c>
      <c r="F1006">
        <v>43.644855499000002</v>
      </c>
      <c r="G1006">
        <v>1328.9227295000001</v>
      </c>
      <c r="H1006">
        <v>1327.5697021000001</v>
      </c>
      <c r="I1006">
        <v>1341.2155762</v>
      </c>
      <c r="J1006">
        <v>1337.5776367000001</v>
      </c>
      <c r="K1006">
        <v>0</v>
      </c>
      <c r="L1006">
        <v>1650</v>
      </c>
      <c r="M1006">
        <v>1650</v>
      </c>
      <c r="N1006">
        <v>0</v>
      </c>
    </row>
    <row r="1007" spans="1:14" x14ac:dyDescent="0.25">
      <c r="A1007">
        <v>550.48442399999999</v>
      </c>
      <c r="B1007" s="1">
        <f>DATE(2011,11,2) + TIME(11,37,34)</f>
        <v>40849.4844212963</v>
      </c>
      <c r="C1007">
        <v>80</v>
      </c>
      <c r="D1007">
        <v>79.713333129999995</v>
      </c>
      <c r="E1007">
        <v>40</v>
      </c>
      <c r="F1007">
        <v>43.281589508000003</v>
      </c>
      <c r="G1007">
        <v>1328.9150391000001</v>
      </c>
      <c r="H1007">
        <v>1327.5584716999999</v>
      </c>
      <c r="I1007">
        <v>1341.2012939000001</v>
      </c>
      <c r="J1007">
        <v>1337.5628661999999</v>
      </c>
      <c r="K1007">
        <v>0</v>
      </c>
      <c r="L1007">
        <v>1650</v>
      </c>
      <c r="M1007">
        <v>1650</v>
      </c>
      <c r="N1007">
        <v>0</v>
      </c>
    </row>
    <row r="1008" spans="1:14" x14ac:dyDescent="0.25">
      <c r="A1008">
        <v>550.60124699999994</v>
      </c>
      <c r="B1008" s="1">
        <f>DATE(2011,11,2) + TIME(14,25,47)</f>
        <v>40849.601238425923</v>
      </c>
      <c r="C1008">
        <v>80</v>
      </c>
      <c r="D1008">
        <v>79.697189331000004</v>
      </c>
      <c r="E1008">
        <v>40</v>
      </c>
      <c r="F1008">
        <v>42.936447143999999</v>
      </c>
      <c r="G1008">
        <v>1328.9068603999999</v>
      </c>
      <c r="H1008">
        <v>1327.546875</v>
      </c>
      <c r="I1008">
        <v>1341.1872559000001</v>
      </c>
      <c r="J1008">
        <v>1337.5487060999999</v>
      </c>
      <c r="K1008">
        <v>0</v>
      </c>
      <c r="L1008">
        <v>1650</v>
      </c>
      <c r="M1008">
        <v>1650</v>
      </c>
      <c r="N1008">
        <v>0</v>
      </c>
    </row>
    <row r="1009" spans="1:14" x14ac:dyDescent="0.25">
      <c r="A1009">
        <v>550.72634100000005</v>
      </c>
      <c r="B1009" s="1">
        <f>DATE(2011,11,2) + TIME(17,25,55)</f>
        <v>40849.726331018515</v>
      </c>
      <c r="C1009">
        <v>80</v>
      </c>
      <c r="D1009">
        <v>79.680130004999995</v>
      </c>
      <c r="E1009">
        <v>40</v>
      </c>
      <c r="F1009">
        <v>42.609821320000002</v>
      </c>
      <c r="G1009">
        <v>1328.8984375</v>
      </c>
      <c r="H1009">
        <v>1327.5345459</v>
      </c>
      <c r="I1009">
        <v>1341.1735839999999</v>
      </c>
      <c r="J1009">
        <v>1337.5351562000001</v>
      </c>
      <c r="K1009">
        <v>0</v>
      </c>
      <c r="L1009">
        <v>1650</v>
      </c>
      <c r="M1009">
        <v>1650</v>
      </c>
      <c r="N1009">
        <v>0</v>
      </c>
    </row>
    <row r="1010" spans="1:14" x14ac:dyDescent="0.25">
      <c r="A1010">
        <v>550.86063999999999</v>
      </c>
      <c r="B1010" s="1">
        <f>DATE(2011,11,2) + TIME(20,39,19)</f>
        <v>40849.860636574071</v>
      </c>
      <c r="C1010">
        <v>80</v>
      </c>
      <c r="D1010">
        <v>79.662071228000002</v>
      </c>
      <c r="E1010">
        <v>40</v>
      </c>
      <c r="F1010">
        <v>42.302112579000003</v>
      </c>
      <c r="G1010">
        <v>1328.8894043</v>
      </c>
      <c r="H1010">
        <v>1327.5217285000001</v>
      </c>
      <c r="I1010">
        <v>1341.1602783000001</v>
      </c>
      <c r="J1010">
        <v>1337.5222168</v>
      </c>
      <c r="K1010">
        <v>0</v>
      </c>
      <c r="L1010">
        <v>1650</v>
      </c>
      <c r="M1010">
        <v>1650</v>
      </c>
      <c r="N1010">
        <v>0</v>
      </c>
    </row>
    <row r="1011" spans="1:14" x14ac:dyDescent="0.25">
      <c r="A1011">
        <v>551.005225</v>
      </c>
      <c r="B1011" s="1">
        <f>DATE(2011,11,3) + TIME(0,7,31)</f>
        <v>40850.005219907405</v>
      </c>
      <c r="C1011">
        <v>80</v>
      </c>
      <c r="D1011">
        <v>79.642913817999997</v>
      </c>
      <c r="E1011">
        <v>40</v>
      </c>
      <c r="F1011">
        <v>42.013713836999997</v>
      </c>
      <c r="G1011">
        <v>1328.8800048999999</v>
      </c>
      <c r="H1011">
        <v>1327.5081786999999</v>
      </c>
      <c r="I1011">
        <v>1341.1472168</v>
      </c>
      <c r="J1011">
        <v>1337.5097656</v>
      </c>
      <c r="K1011">
        <v>0</v>
      </c>
      <c r="L1011">
        <v>1650</v>
      </c>
      <c r="M1011">
        <v>1650</v>
      </c>
      <c r="N1011">
        <v>0</v>
      </c>
    </row>
    <row r="1012" spans="1:14" x14ac:dyDescent="0.25">
      <c r="A1012">
        <v>551.16134199999999</v>
      </c>
      <c r="B1012" s="1">
        <f>DATE(2011,11,3) + TIME(3,52,19)</f>
        <v>40850.16133101852</v>
      </c>
      <c r="C1012">
        <v>80</v>
      </c>
      <c r="D1012">
        <v>79.622535705999994</v>
      </c>
      <c r="E1012">
        <v>40</v>
      </c>
      <c r="F1012">
        <v>41.744995117000002</v>
      </c>
      <c r="G1012">
        <v>1328.8701172000001</v>
      </c>
      <c r="H1012">
        <v>1327.4937743999999</v>
      </c>
      <c r="I1012">
        <v>1341.1345214999999</v>
      </c>
      <c r="J1012">
        <v>1337.4981689000001</v>
      </c>
      <c r="K1012">
        <v>0</v>
      </c>
      <c r="L1012">
        <v>1650</v>
      </c>
      <c r="M1012">
        <v>1650</v>
      </c>
      <c r="N1012">
        <v>0</v>
      </c>
    </row>
    <row r="1013" spans="1:14" x14ac:dyDescent="0.25">
      <c r="A1013">
        <v>551.32870100000002</v>
      </c>
      <c r="B1013" s="1">
        <f>DATE(2011,11,3) + TIME(7,53,19)</f>
        <v>40850.328692129631</v>
      </c>
      <c r="C1013">
        <v>80</v>
      </c>
      <c r="D1013">
        <v>79.601005553999997</v>
      </c>
      <c r="E1013">
        <v>40</v>
      </c>
      <c r="F1013">
        <v>41.498493195000002</v>
      </c>
      <c r="G1013">
        <v>1328.8596190999999</v>
      </c>
      <c r="H1013">
        <v>1327.4787598</v>
      </c>
      <c r="I1013">
        <v>1341.1223144999999</v>
      </c>
      <c r="J1013">
        <v>1337.4871826000001</v>
      </c>
      <c r="K1013">
        <v>0</v>
      </c>
      <c r="L1013">
        <v>1650</v>
      </c>
      <c r="M1013">
        <v>1650</v>
      </c>
      <c r="N1013">
        <v>0</v>
      </c>
    </row>
    <row r="1014" spans="1:14" x14ac:dyDescent="0.25">
      <c r="A1014">
        <v>551.50245900000004</v>
      </c>
      <c r="B1014" s="1">
        <f>DATE(2011,11,3) + TIME(12,3,32)</f>
        <v>40850.502453703702</v>
      </c>
      <c r="C1014">
        <v>80</v>
      </c>
      <c r="D1014">
        <v>79.578903198000006</v>
      </c>
      <c r="E1014">
        <v>40</v>
      </c>
      <c r="F1014">
        <v>41.280399322999997</v>
      </c>
      <c r="G1014">
        <v>1328.8486327999999</v>
      </c>
      <c r="H1014">
        <v>1327.4630127</v>
      </c>
      <c r="I1014">
        <v>1341.1109618999999</v>
      </c>
      <c r="J1014">
        <v>1337.4774170000001</v>
      </c>
      <c r="K1014">
        <v>0</v>
      </c>
      <c r="L1014">
        <v>1650</v>
      </c>
      <c r="M1014">
        <v>1650</v>
      </c>
      <c r="N1014">
        <v>0</v>
      </c>
    </row>
    <row r="1015" spans="1:14" x14ac:dyDescent="0.25">
      <c r="A1015">
        <v>551.68325500000003</v>
      </c>
      <c r="B1015" s="1">
        <f>DATE(2011,11,3) + TIME(16,23,53)</f>
        <v>40850.683252314811</v>
      </c>
      <c r="C1015">
        <v>80</v>
      </c>
      <c r="D1015">
        <v>79.556159973000007</v>
      </c>
      <c r="E1015">
        <v>40</v>
      </c>
      <c r="F1015">
        <v>41.087913512999997</v>
      </c>
      <c r="G1015">
        <v>1328.8374022999999</v>
      </c>
      <c r="H1015">
        <v>1327.4468993999999</v>
      </c>
      <c r="I1015">
        <v>1341.1002197</v>
      </c>
      <c r="J1015">
        <v>1337.4685059000001</v>
      </c>
      <c r="K1015">
        <v>0</v>
      </c>
      <c r="L1015">
        <v>1650</v>
      </c>
      <c r="M1015">
        <v>1650</v>
      </c>
      <c r="N1015">
        <v>0</v>
      </c>
    </row>
    <row r="1016" spans="1:14" x14ac:dyDescent="0.25">
      <c r="A1016">
        <v>551.87156900000002</v>
      </c>
      <c r="B1016" s="1">
        <f>DATE(2011,11,3) + TIME(20,55,3)</f>
        <v>40850.871562499997</v>
      </c>
      <c r="C1016">
        <v>80</v>
      </c>
      <c r="D1016">
        <v>79.532737732000001</v>
      </c>
      <c r="E1016">
        <v>40</v>
      </c>
      <c r="F1016">
        <v>40.918716431</v>
      </c>
      <c r="G1016">
        <v>1328.8259277</v>
      </c>
      <c r="H1016">
        <v>1327.4304199000001</v>
      </c>
      <c r="I1016">
        <v>1341.0900879000001</v>
      </c>
      <c r="J1016">
        <v>1337.4603271000001</v>
      </c>
      <c r="K1016">
        <v>0</v>
      </c>
      <c r="L1016">
        <v>1650</v>
      </c>
      <c r="M1016">
        <v>1650</v>
      </c>
      <c r="N1016">
        <v>0</v>
      </c>
    </row>
    <row r="1017" spans="1:14" x14ac:dyDescent="0.25">
      <c r="A1017">
        <v>552.06793100000004</v>
      </c>
      <c r="B1017" s="1">
        <f>DATE(2011,11,4) + TIME(1,37,49)</f>
        <v>40851.067928240744</v>
      </c>
      <c r="C1017">
        <v>80</v>
      </c>
      <c r="D1017">
        <v>79.508575438999998</v>
      </c>
      <c r="E1017">
        <v>40</v>
      </c>
      <c r="F1017">
        <v>40.770641327</v>
      </c>
      <c r="G1017">
        <v>1328.8140868999999</v>
      </c>
      <c r="H1017">
        <v>1327.4135742000001</v>
      </c>
      <c r="I1017">
        <v>1341.0804443</v>
      </c>
      <c r="J1017">
        <v>1337.4530029</v>
      </c>
      <c r="K1017">
        <v>0</v>
      </c>
      <c r="L1017">
        <v>1650</v>
      </c>
      <c r="M1017">
        <v>1650</v>
      </c>
      <c r="N1017">
        <v>0</v>
      </c>
    </row>
    <row r="1018" spans="1:14" x14ac:dyDescent="0.25">
      <c r="A1018">
        <v>552.27283299999999</v>
      </c>
      <c r="B1018" s="1">
        <f>DATE(2011,11,4) + TIME(6,32,52)</f>
        <v>40851.272824074076</v>
      </c>
      <c r="C1018">
        <v>80</v>
      </c>
      <c r="D1018">
        <v>79.483642578000001</v>
      </c>
      <c r="E1018">
        <v>40</v>
      </c>
      <c r="F1018">
        <v>40.641712189000003</v>
      </c>
      <c r="G1018">
        <v>1328.8020019999999</v>
      </c>
      <c r="H1018">
        <v>1327.3962402</v>
      </c>
      <c r="I1018">
        <v>1341.0712891000001</v>
      </c>
      <c r="J1018">
        <v>1337.4462891000001</v>
      </c>
      <c r="K1018">
        <v>0</v>
      </c>
      <c r="L1018">
        <v>1650</v>
      </c>
      <c r="M1018">
        <v>1650</v>
      </c>
      <c r="N1018">
        <v>0</v>
      </c>
    </row>
    <row r="1019" spans="1:14" x14ac:dyDescent="0.25">
      <c r="A1019">
        <v>552.48699799999997</v>
      </c>
      <c r="B1019" s="1">
        <f>DATE(2011,11,4) + TIME(11,41,16)</f>
        <v>40851.486990740741</v>
      </c>
      <c r="C1019">
        <v>80</v>
      </c>
      <c r="D1019">
        <v>79.457855225000003</v>
      </c>
      <c r="E1019">
        <v>40</v>
      </c>
      <c r="F1019">
        <v>40.529983520999998</v>
      </c>
      <c r="G1019">
        <v>1328.7894286999999</v>
      </c>
      <c r="H1019">
        <v>1327.378418</v>
      </c>
      <c r="I1019">
        <v>1341.0625</v>
      </c>
      <c r="J1019">
        <v>1337.4403076000001</v>
      </c>
      <c r="K1019">
        <v>0</v>
      </c>
      <c r="L1019">
        <v>1650</v>
      </c>
      <c r="M1019">
        <v>1650</v>
      </c>
      <c r="N1019">
        <v>0</v>
      </c>
    </row>
    <row r="1020" spans="1:14" x14ac:dyDescent="0.25">
      <c r="A1020">
        <v>552.71112800000003</v>
      </c>
      <c r="B1020" s="1">
        <f>DATE(2011,11,4) + TIME(17,4,1)</f>
        <v>40851.711122685185</v>
      </c>
      <c r="C1020">
        <v>80</v>
      </c>
      <c r="D1020">
        <v>79.431167603000006</v>
      </c>
      <c r="E1020">
        <v>40</v>
      </c>
      <c r="F1020">
        <v>40.433708191000001</v>
      </c>
      <c r="G1020">
        <v>1328.7766113</v>
      </c>
      <c r="H1020">
        <v>1327.3599853999999</v>
      </c>
      <c r="I1020">
        <v>1341.0540771000001</v>
      </c>
      <c r="J1020">
        <v>1337.4346923999999</v>
      </c>
      <c r="K1020">
        <v>0</v>
      </c>
      <c r="L1020">
        <v>1650</v>
      </c>
      <c r="M1020">
        <v>1650</v>
      </c>
      <c r="N1020">
        <v>0</v>
      </c>
    </row>
    <row r="1021" spans="1:14" x14ac:dyDescent="0.25">
      <c r="A1021">
        <v>552.94600200000002</v>
      </c>
      <c r="B1021" s="1">
        <f>DATE(2011,11,4) + TIME(22,42,14)</f>
        <v>40851.94599537037</v>
      </c>
      <c r="C1021">
        <v>80</v>
      </c>
      <c r="D1021">
        <v>79.403495789000004</v>
      </c>
      <c r="E1021">
        <v>40</v>
      </c>
      <c r="F1021">
        <v>40.351242065000001</v>
      </c>
      <c r="G1021">
        <v>1328.7633057</v>
      </c>
      <c r="H1021">
        <v>1327.3410644999999</v>
      </c>
      <c r="I1021">
        <v>1341.0460204999999</v>
      </c>
      <c r="J1021">
        <v>1337.4295654</v>
      </c>
      <c r="K1021">
        <v>0</v>
      </c>
      <c r="L1021">
        <v>1650</v>
      </c>
      <c r="M1021">
        <v>1650</v>
      </c>
      <c r="N1021">
        <v>0</v>
      </c>
    </row>
    <row r="1022" spans="1:14" x14ac:dyDescent="0.25">
      <c r="A1022">
        <v>553.19248300000004</v>
      </c>
      <c r="B1022" s="1">
        <f>DATE(2011,11,5) + TIME(4,37,10)</f>
        <v>40852.192476851851</v>
      </c>
      <c r="C1022">
        <v>80</v>
      </c>
      <c r="D1022">
        <v>79.374778747999997</v>
      </c>
      <c r="E1022">
        <v>40</v>
      </c>
      <c r="F1022">
        <v>40.281070708999998</v>
      </c>
      <c r="G1022">
        <v>1328.7496338000001</v>
      </c>
      <c r="H1022">
        <v>1327.3215332</v>
      </c>
      <c r="I1022">
        <v>1341.0383300999999</v>
      </c>
      <c r="J1022">
        <v>1337.4249268000001</v>
      </c>
      <c r="K1022">
        <v>0</v>
      </c>
      <c r="L1022">
        <v>1650</v>
      </c>
      <c r="M1022">
        <v>1650</v>
      </c>
      <c r="N1022">
        <v>0</v>
      </c>
    </row>
    <row r="1023" spans="1:14" x14ac:dyDescent="0.25">
      <c r="A1023">
        <v>553.45153100000005</v>
      </c>
      <c r="B1023" s="1">
        <f>DATE(2011,11,5) + TIME(10,50,12)</f>
        <v>40852.451527777775</v>
      </c>
      <c r="C1023">
        <v>80</v>
      </c>
      <c r="D1023">
        <v>79.344917296999995</v>
      </c>
      <c r="E1023">
        <v>40</v>
      </c>
      <c r="F1023">
        <v>40.221778870000001</v>
      </c>
      <c r="G1023">
        <v>1328.7353516000001</v>
      </c>
      <c r="H1023">
        <v>1327.3012695</v>
      </c>
      <c r="I1023">
        <v>1341.0307617000001</v>
      </c>
      <c r="J1023">
        <v>1337.4206543</v>
      </c>
      <c r="K1023">
        <v>0</v>
      </c>
      <c r="L1023">
        <v>1650</v>
      </c>
      <c r="M1023">
        <v>1650</v>
      </c>
      <c r="N1023">
        <v>0</v>
      </c>
    </row>
    <row r="1024" spans="1:14" x14ac:dyDescent="0.25">
      <c r="A1024">
        <v>553.72421499999996</v>
      </c>
      <c r="B1024" s="1">
        <f>DATE(2011,11,5) + TIME(17,22,52)</f>
        <v>40852.724212962959</v>
      </c>
      <c r="C1024">
        <v>80</v>
      </c>
      <c r="D1024">
        <v>79.313819885000001</v>
      </c>
      <c r="E1024">
        <v>40</v>
      </c>
      <c r="F1024">
        <v>40.172061919999997</v>
      </c>
      <c r="G1024">
        <v>1328.7205810999999</v>
      </c>
      <c r="H1024">
        <v>1327.2802733999999</v>
      </c>
      <c r="I1024">
        <v>1341.0234375</v>
      </c>
      <c r="J1024">
        <v>1337.416626</v>
      </c>
      <c r="K1024">
        <v>0</v>
      </c>
      <c r="L1024">
        <v>1650</v>
      </c>
      <c r="M1024">
        <v>1650</v>
      </c>
      <c r="N1024">
        <v>0</v>
      </c>
    </row>
    <row r="1025" spans="1:14" x14ac:dyDescent="0.25">
      <c r="A1025">
        <v>554.01173300000005</v>
      </c>
      <c r="B1025" s="1">
        <f>DATE(2011,11,6) + TIME(0,16,53)</f>
        <v>40853.011724537035</v>
      </c>
      <c r="C1025">
        <v>80</v>
      </c>
      <c r="D1025">
        <v>79.281402588000006</v>
      </c>
      <c r="E1025">
        <v>40</v>
      </c>
      <c r="F1025">
        <v>40.130702972000002</v>
      </c>
      <c r="G1025">
        <v>1328.7052002</v>
      </c>
      <c r="H1025">
        <v>1327.2585449000001</v>
      </c>
      <c r="I1025">
        <v>1341.0162353999999</v>
      </c>
      <c r="J1025">
        <v>1337.4128418</v>
      </c>
      <c r="K1025">
        <v>0</v>
      </c>
      <c r="L1025">
        <v>1650</v>
      </c>
      <c r="M1025">
        <v>1650</v>
      </c>
      <c r="N1025">
        <v>0</v>
      </c>
    </row>
    <row r="1026" spans="1:14" x14ac:dyDescent="0.25">
      <c r="A1026">
        <v>554.315428</v>
      </c>
      <c r="B1026" s="1">
        <f>DATE(2011,11,6) + TIME(7,34,12)</f>
        <v>40853.315416666665</v>
      </c>
      <c r="C1026">
        <v>80</v>
      </c>
      <c r="D1026">
        <v>79.247535705999994</v>
      </c>
      <c r="E1026">
        <v>40</v>
      </c>
      <c r="F1026">
        <v>40.096607208000002</v>
      </c>
      <c r="G1026">
        <v>1328.6892089999999</v>
      </c>
      <c r="H1026">
        <v>1327.2358397999999</v>
      </c>
      <c r="I1026">
        <v>1341.0092772999999</v>
      </c>
      <c r="J1026">
        <v>1337.4093018000001</v>
      </c>
      <c r="K1026">
        <v>0</v>
      </c>
      <c r="L1026">
        <v>1650</v>
      </c>
      <c r="M1026">
        <v>1650</v>
      </c>
      <c r="N1026">
        <v>0</v>
      </c>
    </row>
    <row r="1027" spans="1:14" x14ac:dyDescent="0.25">
      <c r="A1027">
        <v>554.63624400000003</v>
      </c>
      <c r="B1027" s="1">
        <f>DATE(2011,11,6) + TIME(15,16,11)</f>
        <v>40853.636238425926</v>
      </c>
      <c r="C1027">
        <v>80</v>
      </c>
      <c r="D1027">
        <v>79.212158203000001</v>
      </c>
      <c r="E1027">
        <v>40</v>
      </c>
      <c r="F1027">
        <v>40.068794250000003</v>
      </c>
      <c r="G1027">
        <v>1328.6726074000001</v>
      </c>
      <c r="H1027">
        <v>1327.2122803</v>
      </c>
      <c r="I1027">
        <v>1341.0023193</v>
      </c>
      <c r="J1027">
        <v>1337.4060059000001</v>
      </c>
      <c r="K1027">
        <v>0</v>
      </c>
      <c r="L1027">
        <v>1650</v>
      </c>
      <c r="M1027">
        <v>1650</v>
      </c>
      <c r="N1027">
        <v>0</v>
      </c>
    </row>
    <row r="1028" spans="1:14" x14ac:dyDescent="0.25">
      <c r="A1028">
        <v>554.97090400000002</v>
      </c>
      <c r="B1028" s="1">
        <f>DATE(2011,11,6) + TIME(23,18,6)</f>
        <v>40853.970902777779</v>
      </c>
      <c r="C1028">
        <v>80</v>
      </c>
      <c r="D1028">
        <v>79.175559997999997</v>
      </c>
      <c r="E1028">
        <v>40</v>
      </c>
      <c r="F1028">
        <v>40.046569824000002</v>
      </c>
      <c r="G1028">
        <v>1328.6551514</v>
      </c>
      <c r="H1028">
        <v>1327.1876221</v>
      </c>
      <c r="I1028">
        <v>1340.9956055</v>
      </c>
      <c r="J1028">
        <v>1337.402832</v>
      </c>
      <c r="K1028">
        <v>0</v>
      </c>
      <c r="L1028">
        <v>1650</v>
      </c>
      <c r="M1028">
        <v>1650</v>
      </c>
      <c r="N1028">
        <v>0</v>
      </c>
    </row>
    <row r="1029" spans="1:14" x14ac:dyDescent="0.25">
      <c r="A1029">
        <v>555.31941300000005</v>
      </c>
      <c r="B1029" s="1">
        <f>DATE(2011,11,7) + TIME(7,39,57)</f>
        <v>40854.319409722222</v>
      </c>
      <c r="C1029">
        <v>80</v>
      </c>
      <c r="D1029">
        <v>79.137763977000006</v>
      </c>
      <c r="E1029">
        <v>40</v>
      </c>
      <c r="F1029">
        <v>40.02898407</v>
      </c>
      <c r="G1029">
        <v>1328.6373291</v>
      </c>
      <c r="H1029">
        <v>1327.1623535000001</v>
      </c>
      <c r="I1029">
        <v>1340.9890137</v>
      </c>
      <c r="J1029">
        <v>1337.3999022999999</v>
      </c>
      <c r="K1029">
        <v>0</v>
      </c>
      <c r="L1029">
        <v>1650</v>
      </c>
      <c r="M1029">
        <v>1650</v>
      </c>
      <c r="N1029">
        <v>0</v>
      </c>
    </row>
    <row r="1030" spans="1:14" x14ac:dyDescent="0.25">
      <c r="A1030">
        <v>555.68269399999997</v>
      </c>
      <c r="B1030" s="1">
        <f>DATE(2011,11,7) + TIME(16,23,4)</f>
        <v>40854.682685185187</v>
      </c>
      <c r="C1030">
        <v>80</v>
      </c>
      <c r="D1030">
        <v>79.098709106000001</v>
      </c>
      <c r="E1030">
        <v>40</v>
      </c>
      <c r="F1030">
        <v>40.015159607000001</v>
      </c>
      <c r="G1030">
        <v>1328.6187743999999</v>
      </c>
      <c r="H1030">
        <v>1327.1362305</v>
      </c>
      <c r="I1030">
        <v>1340.9825439000001</v>
      </c>
      <c r="J1030">
        <v>1337.3969727000001</v>
      </c>
      <c r="K1030">
        <v>0</v>
      </c>
      <c r="L1030">
        <v>1650</v>
      </c>
      <c r="M1030">
        <v>1650</v>
      </c>
      <c r="N1030">
        <v>0</v>
      </c>
    </row>
    <row r="1031" spans="1:14" x14ac:dyDescent="0.25">
      <c r="A1031">
        <v>556.061961</v>
      </c>
      <c r="B1031" s="1">
        <f>DATE(2011,11,8) + TIME(1,29,13)</f>
        <v>40855.061956018515</v>
      </c>
      <c r="C1031">
        <v>80</v>
      </c>
      <c r="D1031">
        <v>79.058319092000005</v>
      </c>
      <c r="E1031">
        <v>40</v>
      </c>
      <c r="F1031">
        <v>40.004367827999999</v>
      </c>
      <c r="G1031">
        <v>1328.5997314000001</v>
      </c>
      <c r="H1031">
        <v>1327.109375</v>
      </c>
      <c r="I1031">
        <v>1340.9760742000001</v>
      </c>
      <c r="J1031">
        <v>1337.3941649999999</v>
      </c>
      <c r="K1031">
        <v>0</v>
      </c>
      <c r="L1031">
        <v>1650</v>
      </c>
      <c r="M1031">
        <v>1650</v>
      </c>
      <c r="N1031">
        <v>0</v>
      </c>
    </row>
    <row r="1032" spans="1:14" x14ac:dyDescent="0.25">
      <c r="A1032">
        <v>556.45835599999998</v>
      </c>
      <c r="B1032" s="1">
        <f>DATE(2011,11,8) + TIME(11,0,1)</f>
        <v>40855.458344907405</v>
      </c>
      <c r="C1032">
        <v>80</v>
      </c>
      <c r="D1032">
        <v>79.016502380000006</v>
      </c>
      <c r="E1032">
        <v>40</v>
      </c>
      <c r="F1032">
        <v>39.996002197000003</v>
      </c>
      <c r="G1032">
        <v>1328.5800781</v>
      </c>
      <c r="H1032">
        <v>1327.081543</v>
      </c>
      <c r="I1032">
        <v>1340.9698486</v>
      </c>
      <c r="J1032">
        <v>1337.3914795000001</v>
      </c>
      <c r="K1032">
        <v>0</v>
      </c>
      <c r="L1032">
        <v>1650</v>
      </c>
      <c r="M1032">
        <v>1650</v>
      </c>
      <c r="N1032">
        <v>0</v>
      </c>
    </row>
    <row r="1033" spans="1:14" x14ac:dyDescent="0.25">
      <c r="A1033">
        <v>556.86483899999996</v>
      </c>
      <c r="B1033" s="1">
        <f>DATE(2011,11,8) + TIME(20,45,22)</f>
        <v>40855.864837962959</v>
      </c>
      <c r="C1033">
        <v>80</v>
      </c>
      <c r="D1033">
        <v>78.973861693999993</v>
      </c>
      <c r="E1033">
        <v>40</v>
      </c>
      <c r="F1033">
        <v>39.989662170000003</v>
      </c>
      <c r="G1033">
        <v>1328.5596923999999</v>
      </c>
      <c r="H1033">
        <v>1327.0529785000001</v>
      </c>
      <c r="I1033">
        <v>1340.9636230000001</v>
      </c>
      <c r="J1033">
        <v>1337.3887939000001</v>
      </c>
      <c r="K1033">
        <v>0</v>
      </c>
      <c r="L1033">
        <v>1650</v>
      </c>
      <c r="M1033">
        <v>1650</v>
      </c>
      <c r="N1033">
        <v>0</v>
      </c>
    </row>
    <row r="1034" spans="1:14" x14ac:dyDescent="0.25">
      <c r="A1034">
        <v>557.27884400000005</v>
      </c>
      <c r="B1034" s="1">
        <f>DATE(2011,11,9) + TIME(6,41,32)</f>
        <v>40856.27884259259</v>
      </c>
      <c r="C1034">
        <v>80</v>
      </c>
      <c r="D1034">
        <v>78.930633545000006</v>
      </c>
      <c r="E1034">
        <v>40</v>
      </c>
      <c r="F1034">
        <v>39.984889983999999</v>
      </c>
      <c r="G1034">
        <v>1328.5390625</v>
      </c>
      <c r="H1034">
        <v>1327.0238036999999</v>
      </c>
      <c r="I1034">
        <v>1340.9576416</v>
      </c>
      <c r="J1034">
        <v>1337.3862305</v>
      </c>
      <c r="K1034">
        <v>0</v>
      </c>
      <c r="L1034">
        <v>1650</v>
      </c>
      <c r="M1034">
        <v>1650</v>
      </c>
      <c r="N1034">
        <v>0</v>
      </c>
    </row>
    <row r="1035" spans="1:14" x14ac:dyDescent="0.25">
      <c r="A1035">
        <v>557.70127400000001</v>
      </c>
      <c r="B1035" s="1">
        <f>DATE(2011,11,9) + TIME(16,49,50)</f>
        <v>40856.701273148145</v>
      </c>
      <c r="C1035">
        <v>80</v>
      </c>
      <c r="D1035">
        <v>78.886802673000005</v>
      </c>
      <c r="E1035">
        <v>40</v>
      </c>
      <c r="F1035">
        <v>39.981288910000004</v>
      </c>
      <c r="G1035">
        <v>1328.5180664</v>
      </c>
      <c r="H1035">
        <v>1326.9945068</v>
      </c>
      <c r="I1035">
        <v>1340.9519043</v>
      </c>
      <c r="J1035">
        <v>1337.3836670000001</v>
      </c>
      <c r="K1035">
        <v>0</v>
      </c>
      <c r="L1035">
        <v>1650</v>
      </c>
      <c r="M1035">
        <v>1650</v>
      </c>
      <c r="N1035">
        <v>0</v>
      </c>
    </row>
    <row r="1036" spans="1:14" x14ac:dyDescent="0.25">
      <c r="A1036">
        <v>558.13298999999995</v>
      </c>
      <c r="B1036" s="1">
        <f>DATE(2011,11,10) + TIME(3,11,30)</f>
        <v>40857.132986111108</v>
      </c>
      <c r="C1036">
        <v>80</v>
      </c>
      <c r="D1036">
        <v>78.842346191000004</v>
      </c>
      <c r="E1036">
        <v>40</v>
      </c>
      <c r="F1036">
        <v>39.978576660000002</v>
      </c>
      <c r="G1036">
        <v>1328.4969481999999</v>
      </c>
      <c r="H1036">
        <v>1326.9647216999999</v>
      </c>
      <c r="I1036">
        <v>1340.9461670000001</v>
      </c>
      <c r="J1036">
        <v>1337.3812256000001</v>
      </c>
      <c r="K1036">
        <v>0</v>
      </c>
      <c r="L1036">
        <v>1650</v>
      </c>
      <c r="M1036">
        <v>1650</v>
      </c>
      <c r="N1036">
        <v>0</v>
      </c>
    </row>
    <row r="1037" spans="1:14" x14ac:dyDescent="0.25">
      <c r="A1037">
        <v>558.574882</v>
      </c>
      <c r="B1037" s="1">
        <f>DATE(2011,11,10) + TIME(13,47,49)</f>
        <v>40857.574872685182</v>
      </c>
      <c r="C1037">
        <v>80</v>
      </c>
      <c r="D1037">
        <v>78.797210692999997</v>
      </c>
      <c r="E1037">
        <v>40</v>
      </c>
      <c r="F1037">
        <v>39.976520538000003</v>
      </c>
      <c r="G1037">
        <v>1328.4754639</v>
      </c>
      <c r="H1037">
        <v>1326.9345702999999</v>
      </c>
      <c r="I1037">
        <v>1340.9406738</v>
      </c>
      <c r="J1037">
        <v>1337.3787841999999</v>
      </c>
      <c r="K1037">
        <v>0</v>
      </c>
      <c r="L1037">
        <v>1650</v>
      </c>
      <c r="M1037">
        <v>1650</v>
      </c>
      <c r="N1037">
        <v>0</v>
      </c>
    </row>
    <row r="1038" spans="1:14" x14ac:dyDescent="0.25">
      <c r="A1038">
        <v>559.02788499999997</v>
      </c>
      <c r="B1038" s="1">
        <f>DATE(2011,11,11) + TIME(0,40,9)</f>
        <v>40858.027881944443</v>
      </c>
      <c r="C1038">
        <v>80</v>
      </c>
      <c r="D1038">
        <v>78.751358031999999</v>
      </c>
      <c r="E1038">
        <v>40</v>
      </c>
      <c r="F1038">
        <v>39.974964141999997</v>
      </c>
      <c r="G1038">
        <v>1328.4536132999999</v>
      </c>
      <c r="H1038">
        <v>1326.9039307</v>
      </c>
      <c r="I1038">
        <v>1340.9353027</v>
      </c>
      <c r="J1038">
        <v>1337.3763428</v>
      </c>
      <c r="K1038">
        <v>0</v>
      </c>
      <c r="L1038">
        <v>1650</v>
      </c>
      <c r="M1038">
        <v>1650</v>
      </c>
      <c r="N1038">
        <v>0</v>
      </c>
    </row>
    <row r="1039" spans="1:14" x14ac:dyDescent="0.25">
      <c r="A1039">
        <v>559.49298899999997</v>
      </c>
      <c r="B1039" s="1">
        <f>DATE(2011,11,11) + TIME(11,49,54)</f>
        <v>40858.492986111109</v>
      </c>
      <c r="C1039">
        <v>80</v>
      </c>
      <c r="D1039">
        <v>78.704734802000004</v>
      </c>
      <c r="E1039">
        <v>40</v>
      </c>
      <c r="F1039">
        <v>39.973777771000002</v>
      </c>
      <c r="G1039">
        <v>1328.4315185999999</v>
      </c>
      <c r="H1039">
        <v>1326.8728027</v>
      </c>
      <c r="I1039">
        <v>1340.9300536999999</v>
      </c>
      <c r="J1039">
        <v>1337.3739014</v>
      </c>
      <c r="K1039">
        <v>0</v>
      </c>
      <c r="L1039">
        <v>1650</v>
      </c>
      <c r="M1039">
        <v>1650</v>
      </c>
      <c r="N1039">
        <v>0</v>
      </c>
    </row>
    <row r="1040" spans="1:14" x14ac:dyDescent="0.25">
      <c r="A1040">
        <v>559.97123599999998</v>
      </c>
      <c r="B1040" s="1">
        <f>DATE(2011,11,11) + TIME(23,18,34)</f>
        <v>40858.971226851849</v>
      </c>
      <c r="C1040">
        <v>80</v>
      </c>
      <c r="D1040">
        <v>78.657287597999996</v>
      </c>
      <c r="E1040">
        <v>40</v>
      </c>
      <c r="F1040">
        <v>39.972873688</v>
      </c>
      <c r="G1040">
        <v>1328.4089355000001</v>
      </c>
      <c r="H1040">
        <v>1326.8411865</v>
      </c>
      <c r="I1040">
        <v>1340.9249268000001</v>
      </c>
      <c r="J1040">
        <v>1337.371582</v>
      </c>
      <c r="K1040">
        <v>0</v>
      </c>
      <c r="L1040">
        <v>1650</v>
      </c>
      <c r="M1040">
        <v>1650</v>
      </c>
      <c r="N1040">
        <v>0</v>
      </c>
    </row>
    <row r="1041" spans="1:14" x14ac:dyDescent="0.25">
      <c r="A1041">
        <v>560.46373000000006</v>
      </c>
      <c r="B1041" s="1">
        <f>DATE(2011,11,12) + TIME(11,7,46)</f>
        <v>40859.463726851849</v>
      </c>
      <c r="C1041">
        <v>80</v>
      </c>
      <c r="D1041">
        <v>78.608947753999999</v>
      </c>
      <c r="E1041">
        <v>40</v>
      </c>
      <c r="F1041">
        <v>39.972179412999999</v>
      </c>
      <c r="G1041">
        <v>1328.3859863</v>
      </c>
      <c r="H1041">
        <v>1326.8089600000001</v>
      </c>
      <c r="I1041">
        <v>1340.9197998</v>
      </c>
      <c r="J1041">
        <v>1337.3692627</v>
      </c>
      <c r="K1041">
        <v>0</v>
      </c>
      <c r="L1041">
        <v>1650</v>
      </c>
      <c r="M1041">
        <v>1650</v>
      </c>
      <c r="N1041">
        <v>0</v>
      </c>
    </row>
    <row r="1042" spans="1:14" x14ac:dyDescent="0.25">
      <c r="A1042">
        <v>560.97166300000004</v>
      </c>
      <c r="B1042" s="1">
        <f>DATE(2011,11,12) + TIME(23,19,11)</f>
        <v>40859.971655092595</v>
      </c>
      <c r="C1042">
        <v>80</v>
      </c>
      <c r="D1042">
        <v>78.559638977000006</v>
      </c>
      <c r="E1042">
        <v>40</v>
      </c>
      <c r="F1042">
        <v>39.971641540999997</v>
      </c>
      <c r="G1042">
        <v>1328.3624268000001</v>
      </c>
      <c r="H1042">
        <v>1326.7761230000001</v>
      </c>
      <c r="I1042">
        <v>1340.9147949000001</v>
      </c>
      <c r="J1042">
        <v>1337.3669434000001</v>
      </c>
      <c r="K1042">
        <v>0</v>
      </c>
      <c r="L1042">
        <v>1650</v>
      </c>
      <c r="M1042">
        <v>1650</v>
      </c>
      <c r="N1042">
        <v>0</v>
      </c>
    </row>
    <row r="1043" spans="1:14" x14ac:dyDescent="0.25">
      <c r="A1043">
        <v>561.49613799999997</v>
      </c>
      <c r="B1043" s="1">
        <f>DATE(2011,11,13) + TIME(11,54,26)</f>
        <v>40860.496134259258</v>
      </c>
      <c r="C1043">
        <v>80</v>
      </c>
      <c r="D1043">
        <v>78.509300232000001</v>
      </c>
      <c r="E1043">
        <v>40</v>
      </c>
      <c r="F1043">
        <v>39.971225738999998</v>
      </c>
      <c r="G1043">
        <v>1328.338501</v>
      </c>
      <c r="H1043">
        <v>1326.7425536999999</v>
      </c>
      <c r="I1043">
        <v>1340.9099120999999</v>
      </c>
      <c r="J1043">
        <v>1337.364624</v>
      </c>
      <c r="K1043">
        <v>0</v>
      </c>
      <c r="L1043">
        <v>1650</v>
      </c>
      <c r="M1043">
        <v>1650</v>
      </c>
      <c r="N1043">
        <v>0</v>
      </c>
    </row>
    <row r="1044" spans="1:14" x14ac:dyDescent="0.25">
      <c r="A1044">
        <v>562.03862500000002</v>
      </c>
      <c r="B1044" s="1">
        <f>DATE(2011,11,14) + TIME(0,55,37)</f>
        <v>40861.038622685184</v>
      </c>
      <c r="C1044">
        <v>80</v>
      </c>
      <c r="D1044">
        <v>78.457847595000004</v>
      </c>
      <c r="E1044">
        <v>40</v>
      </c>
      <c r="F1044">
        <v>39.970901488999999</v>
      </c>
      <c r="G1044">
        <v>1328.3138428</v>
      </c>
      <c r="H1044">
        <v>1326.7081298999999</v>
      </c>
      <c r="I1044">
        <v>1340.9049072</v>
      </c>
      <c r="J1044">
        <v>1337.3623047000001</v>
      </c>
      <c r="K1044">
        <v>0</v>
      </c>
      <c r="L1044">
        <v>1650</v>
      </c>
      <c r="M1044">
        <v>1650</v>
      </c>
      <c r="N1044">
        <v>0</v>
      </c>
    </row>
    <row r="1045" spans="1:14" x14ac:dyDescent="0.25">
      <c r="A1045">
        <v>562.60068100000001</v>
      </c>
      <c r="B1045" s="1">
        <f>DATE(2011,11,14) + TIME(14,24,58)</f>
        <v>40861.600671296299</v>
      </c>
      <c r="C1045">
        <v>80</v>
      </c>
      <c r="D1045">
        <v>78.405174255000006</v>
      </c>
      <c r="E1045">
        <v>40</v>
      </c>
      <c r="F1045">
        <v>39.970645904999998</v>
      </c>
      <c r="G1045">
        <v>1328.2886963000001</v>
      </c>
      <c r="H1045">
        <v>1326.6728516000001</v>
      </c>
      <c r="I1045">
        <v>1340.9001464999999</v>
      </c>
      <c r="J1045">
        <v>1337.3599853999999</v>
      </c>
      <c r="K1045">
        <v>0</v>
      </c>
      <c r="L1045">
        <v>1650</v>
      </c>
      <c r="M1045">
        <v>1650</v>
      </c>
      <c r="N1045">
        <v>0</v>
      </c>
    </row>
    <row r="1046" spans="1:14" x14ac:dyDescent="0.25">
      <c r="A1046">
        <v>563.18394799999999</v>
      </c>
      <c r="B1046" s="1">
        <f>DATE(2011,11,15) + TIME(4,24,53)</f>
        <v>40862.183946759258</v>
      </c>
      <c r="C1046">
        <v>80</v>
      </c>
      <c r="D1046">
        <v>78.351196289000001</v>
      </c>
      <c r="E1046">
        <v>40</v>
      </c>
      <c r="F1046">
        <v>39.970439911</v>
      </c>
      <c r="G1046">
        <v>1328.2628173999999</v>
      </c>
      <c r="H1046">
        <v>1326.6367187999999</v>
      </c>
      <c r="I1046">
        <v>1340.8952637</v>
      </c>
      <c r="J1046">
        <v>1337.3576660000001</v>
      </c>
      <c r="K1046">
        <v>0</v>
      </c>
      <c r="L1046">
        <v>1650</v>
      </c>
      <c r="M1046">
        <v>1650</v>
      </c>
      <c r="N1046">
        <v>0</v>
      </c>
    </row>
    <row r="1047" spans="1:14" x14ac:dyDescent="0.25">
      <c r="A1047">
        <v>563.79022899999995</v>
      </c>
      <c r="B1047" s="1">
        <f>DATE(2011,11,15) + TIME(18,57,55)</f>
        <v>40862.790219907409</v>
      </c>
      <c r="C1047">
        <v>80</v>
      </c>
      <c r="D1047">
        <v>78.295791625999996</v>
      </c>
      <c r="E1047">
        <v>40</v>
      </c>
      <c r="F1047">
        <v>39.970279693999998</v>
      </c>
      <c r="G1047">
        <v>1328.2360839999999</v>
      </c>
      <c r="H1047">
        <v>1326.5996094</v>
      </c>
      <c r="I1047">
        <v>1340.8905029</v>
      </c>
      <c r="J1047">
        <v>1337.3553466999999</v>
      </c>
      <c r="K1047">
        <v>0</v>
      </c>
      <c r="L1047">
        <v>1650</v>
      </c>
      <c r="M1047">
        <v>1650</v>
      </c>
      <c r="N1047">
        <v>0</v>
      </c>
    </row>
    <row r="1048" spans="1:14" x14ac:dyDescent="0.25">
      <c r="A1048">
        <v>564.421514</v>
      </c>
      <c r="B1048" s="1">
        <f>DATE(2011,11,16) + TIME(10,6,58)</f>
        <v>40863.42150462963</v>
      </c>
      <c r="C1048">
        <v>80</v>
      </c>
      <c r="D1048">
        <v>78.238861084000007</v>
      </c>
      <c r="E1048">
        <v>40</v>
      </c>
      <c r="F1048">
        <v>39.970149994000003</v>
      </c>
      <c r="G1048">
        <v>1328.2086182</v>
      </c>
      <c r="H1048">
        <v>1326.5612793</v>
      </c>
      <c r="I1048">
        <v>1340.8857422000001</v>
      </c>
      <c r="J1048">
        <v>1337.3530272999999</v>
      </c>
      <c r="K1048">
        <v>0</v>
      </c>
      <c r="L1048">
        <v>1650</v>
      </c>
      <c r="M1048">
        <v>1650</v>
      </c>
      <c r="N1048">
        <v>0</v>
      </c>
    </row>
    <row r="1049" spans="1:14" x14ac:dyDescent="0.25">
      <c r="A1049">
        <v>565.08001200000001</v>
      </c>
      <c r="B1049" s="1">
        <f>DATE(2011,11,17) + TIME(1,55,13)</f>
        <v>40864.080011574071</v>
      </c>
      <c r="C1049">
        <v>80</v>
      </c>
      <c r="D1049">
        <v>78.180259704999997</v>
      </c>
      <c r="E1049">
        <v>40</v>
      </c>
      <c r="F1049">
        <v>39.970046996999997</v>
      </c>
      <c r="G1049">
        <v>1328.1802978999999</v>
      </c>
      <c r="H1049">
        <v>1326.5218506000001</v>
      </c>
      <c r="I1049">
        <v>1340.8809814000001</v>
      </c>
      <c r="J1049">
        <v>1337.3507079999999</v>
      </c>
      <c r="K1049">
        <v>0</v>
      </c>
      <c r="L1049">
        <v>1650</v>
      </c>
      <c r="M1049">
        <v>1650</v>
      </c>
      <c r="N1049">
        <v>0</v>
      </c>
    </row>
    <row r="1050" spans="1:14" x14ac:dyDescent="0.25">
      <c r="A1050">
        <v>565.76816699999995</v>
      </c>
      <c r="B1050" s="1">
        <f>DATE(2011,11,17) + TIME(18,26,9)</f>
        <v>40864.768159722225</v>
      </c>
      <c r="C1050">
        <v>80</v>
      </c>
      <c r="D1050">
        <v>78.119865417</v>
      </c>
      <c r="E1050">
        <v>40</v>
      </c>
      <c r="F1050">
        <v>39.969963073999999</v>
      </c>
      <c r="G1050">
        <v>1328.151001</v>
      </c>
      <c r="H1050">
        <v>1326.4810791</v>
      </c>
      <c r="I1050">
        <v>1340.8762207</v>
      </c>
      <c r="J1050">
        <v>1337.3483887</v>
      </c>
      <c r="K1050">
        <v>0</v>
      </c>
      <c r="L1050">
        <v>1650</v>
      </c>
      <c r="M1050">
        <v>1650</v>
      </c>
      <c r="N1050">
        <v>0</v>
      </c>
    </row>
    <row r="1051" spans="1:14" x14ac:dyDescent="0.25">
      <c r="A1051">
        <v>566.48871299999996</v>
      </c>
      <c r="B1051" s="1">
        <f>DATE(2011,11,18) + TIME(11,43,44)</f>
        <v>40865.488703703704</v>
      </c>
      <c r="C1051">
        <v>80</v>
      </c>
      <c r="D1051">
        <v>78.057510375999996</v>
      </c>
      <c r="E1051">
        <v>40</v>
      </c>
      <c r="F1051">
        <v>39.969894408999998</v>
      </c>
      <c r="G1051">
        <v>1328.1207274999999</v>
      </c>
      <c r="H1051">
        <v>1326.4388428</v>
      </c>
      <c r="I1051">
        <v>1340.8714600000001</v>
      </c>
      <c r="J1051">
        <v>1337.3460693</v>
      </c>
      <c r="K1051">
        <v>0</v>
      </c>
      <c r="L1051">
        <v>1650</v>
      </c>
      <c r="M1051">
        <v>1650</v>
      </c>
      <c r="N1051">
        <v>0</v>
      </c>
    </row>
    <row r="1052" spans="1:14" x14ac:dyDescent="0.25">
      <c r="A1052">
        <v>567.24472200000002</v>
      </c>
      <c r="B1052" s="1">
        <f>DATE(2011,11,19) + TIME(5,52,23)</f>
        <v>40866.244710648149</v>
      </c>
      <c r="C1052">
        <v>80</v>
      </c>
      <c r="D1052">
        <v>77.993041992000002</v>
      </c>
      <c r="E1052">
        <v>40</v>
      </c>
      <c r="F1052">
        <v>39.969841002999999</v>
      </c>
      <c r="G1052">
        <v>1328.0892334</v>
      </c>
      <c r="H1052">
        <v>1326.3951416</v>
      </c>
      <c r="I1052">
        <v>1340.8666992000001</v>
      </c>
      <c r="J1052">
        <v>1337.3436279</v>
      </c>
      <c r="K1052">
        <v>0</v>
      </c>
      <c r="L1052">
        <v>1650</v>
      </c>
      <c r="M1052">
        <v>1650</v>
      </c>
      <c r="N1052">
        <v>0</v>
      </c>
    </row>
    <row r="1053" spans="1:14" x14ac:dyDescent="0.25">
      <c r="A1053">
        <v>568.02960900000005</v>
      </c>
      <c r="B1053" s="1">
        <f>DATE(2011,11,20) + TIME(0,42,38)</f>
        <v>40867.029606481483</v>
      </c>
      <c r="C1053">
        <v>80</v>
      </c>
      <c r="D1053">
        <v>77.926773071</v>
      </c>
      <c r="E1053">
        <v>40</v>
      </c>
      <c r="F1053">
        <v>39.969795226999999</v>
      </c>
      <c r="G1053">
        <v>1328.0565185999999</v>
      </c>
      <c r="H1053">
        <v>1326.3497314000001</v>
      </c>
      <c r="I1053">
        <v>1340.8619385</v>
      </c>
      <c r="J1053">
        <v>1337.3413086</v>
      </c>
      <c r="K1053">
        <v>0</v>
      </c>
      <c r="L1053">
        <v>1650</v>
      </c>
      <c r="M1053">
        <v>1650</v>
      </c>
      <c r="N1053">
        <v>0</v>
      </c>
    </row>
    <row r="1054" spans="1:14" x14ac:dyDescent="0.25">
      <c r="A1054">
        <v>568.82692999999995</v>
      </c>
      <c r="B1054" s="1">
        <f>DATE(2011,11,20) + TIME(19,50,46)</f>
        <v>40867.826921296299</v>
      </c>
      <c r="C1054">
        <v>80</v>
      </c>
      <c r="D1054">
        <v>77.859642029</v>
      </c>
      <c r="E1054">
        <v>40</v>
      </c>
      <c r="F1054">
        <v>39.969764709000003</v>
      </c>
      <c r="G1054">
        <v>1328.0229492000001</v>
      </c>
      <c r="H1054">
        <v>1326.3032227000001</v>
      </c>
      <c r="I1054">
        <v>1340.8571777</v>
      </c>
      <c r="J1054">
        <v>1337.3388672000001</v>
      </c>
      <c r="K1054">
        <v>0</v>
      </c>
      <c r="L1054">
        <v>1650</v>
      </c>
      <c r="M1054">
        <v>1650</v>
      </c>
      <c r="N1054">
        <v>0</v>
      </c>
    </row>
    <row r="1055" spans="1:14" x14ac:dyDescent="0.25">
      <c r="A1055">
        <v>569.63861199999997</v>
      </c>
      <c r="B1055" s="1">
        <f>DATE(2011,11,21) + TIME(15,19,36)</f>
        <v>40868.638611111113</v>
      </c>
      <c r="C1055">
        <v>80</v>
      </c>
      <c r="D1055">
        <v>77.791809082</v>
      </c>
      <c r="E1055">
        <v>40</v>
      </c>
      <c r="F1055">
        <v>39.969738006999997</v>
      </c>
      <c r="G1055">
        <v>1327.9888916</v>
      </c>
      <c r="H1055">
        <v>1326.2559814000001</v>
      </c>
      <c r="I1055">
        <v>1340.8525391000001</v>
      </c>
      <c r="J1055">
        <v>1337.3365478999999</v>
      </c>
      <c r="K1055">
        <v>0</v>
      </c>
      <c r="L1055">
        <v>1650</v>
      </c>
      <c r="M1055">
        <v>1650</v>
      </c>
      <c r="N1055">
        <v>0</v>
      </c>
    </row>
    <row r="1056" spans="1:14" x14ac:dyDescent="0.25">
      <c r="A1056">
        <v>570.46636799999999</v>
      </c>
      <c r="B1056" s="1">
        <f>DATE(2011,11,22) + TIME(11,11,34)</f>
        <v>40869.466365740744</v>
      </c>
      <c r="C1056">
        <v>80</v>
      </c>
      <c r="D1056">
        <v>77.723335266000007</v>
      </c>
      <c r="E1056">
        <v>40</v>
      </c>
      <c r="F1056">
        <v>39.969718933000003</v>
      </c>
      <c r="G1056">
        <v>1327.9544678</v>
      </c>
      <c r="H1056">
        <v>1326.2082519999999</v>
      </c>
      <c r="I1056">
        <v>1340.8481445</v>
      </c>
      <c r="J1056">
        <v>1337.3343506000001</v>
      </c>
      <c r="K1056">
        <v>0</v>
      </c>
      <c r="L1056">
        <v>1650</v>
      </c>
      <c r="M1056">
        <v>1650</v>
      </c>
      <c r="N1056">
        <v>0</v>
      </c>
    </row>
    <row r="1057" spans="1:14" x14ac:dyDescent="0.25">
      <c r="A1057">
        <v>571.31200000000001</v>
      </c>
      <c r="B1057" s="1">
        <f>DATE(2011,11,23) + TIME(7,29,16)</f>
        <v>40870.311990740738</v>
      </c>
      <c r="C1057">
        <v>80</v>
      </c>
      <c r="D1057">
        <v>77.654212951999995</v>
      </c>
      <c r="E1057">
        <v>40</v>
      </c>
      <c r="F1057">
        <v>39.969703674000002</v>
      </c>
      <c r="G1057">
        <v>1327.9196777</v>
      </c>
      <c r="H1057">
        <v>1326.1599120999999</v>
      </c>
      <c r="I1057">
        <v>1340.84375</v>
      </c>
      <c r="J1057">
        <v>1337.3321533000001</v>
      </c>
      <c r="K1057">
        <v>0</v>
      </c>
      <c r="L1057">
        <v>1650</v>
      </c>
      <c r="M1057">
        <v>1650</v>
      </c>
      <c r="N1057">
        <v>0</v>
      </c>
    </row>
    <row r="1058" spans="1:14" x14ac:dyDescent="0.25">
      <c r="A1058">
        <v>572.17743800000005</v>
      </c>
      <c r="B1058" s="1">
        <f>DATE(2011,11,24) + TIME(4,15,30)</f>
        <v>40871.177430555559</v>
      </c>
      <c r="C1058">
        <v>80</v>
      </c>
      <c r="D1058">
        <v>77.584396362000007</v>
      </c>
      <c r="E1058">
        <v>40</v>
      </c>
      <c r="F1058">
        <v>39.969696044999999</v>
      </c>
      <c r="G1058">
        <v>1327.8843993999999</v>
      </c>
      <c r="H1058">
        <v>1326.1109618999999</v>
      </c>
      <c r="I1058">
        <v>1340.8394774999999</v>
      </c>
      <c r="J1058">
        <v>1337.3299560999999</v>
      </c>
      <c r="K1058">
        <v>0</v>
      </c>
      <c r="L1058">
        <v>1650</v>
      </c>
      <c r="M1058">
        <v>1650</v>
      </c>
      <c r="N1058">
        <v>0</v>
      </c>
    </row>
    <row r="1059" spans="1:14" x14ac:dyDescent="0.25">
      <c r="A1059">
        <v>573.06468700000005</v>
      </c>
      <c r="B1059" s="1">
        <f>DATE(2011,11,25) + TIME(1,33,8)</f>
        <v>40872.064675925925</v>
      </c>
      <c r="C1059">
        <v>80</v>
      </c>
      <c r="D1059">
        <v>77.513786315999994</v>
      </c>
      <c r="E1059">
        <v>40</v>
      </c>
      <c r="F1059">
        <v>39.969688415999997</v>
      </c>
      <c r="G1059">
        <v>1327.8485106999999</v>
      </c>
      <c r="H1059">
        <v>1326.0612793</v>
      </c>
      <c r="I1059">
        <v>1340.8352050999999</v>
      </c>
      <c r="J1059">
        <v>1337.3278809000001</v>
      </c>
      <c r="K1059">
        <v>0</v>
      </c>
      <c r="L1059">
        <v>1650</v>
      </c>
      <c r="M1059">
        <v>1650</v>
      </c>
      <c r="N1059">
        <v>0</v>
      </c>
    </row>
    <row r="1060" spans="1:14" x14ac:dyDescent="0.25">
      <c r="A1060">
        <v>573.97589200000004</v>
      </c>
      <c r="B1060" s="1">
        <f>DATE(2011,11,25) + TIME(23,25,17)</f>
        <v>40872.975891203707</v>
      </c>
      <c r="C1060">
        <v>80</v>
      </c>
      <c r="D1060">
        <v>77.442283630000006</v>
      </c>
      <c r="E1060">
        <v>40</v>
      </c>
      <c r="F1060">
        <v>39.969684600999997</v>
      </c>
      <c r="G1060">
        <v>1327.8121338000001</v>
      </c>
      <c r="H1060">
        <v>1326.0108643000001</v>
      </c>
      <c r="I1060">
        <v>1340.8311768000001</v>
      </c>
      <c r="J1060">
        <v>1337.3258057</v>
      </c>
      <c r="K1060">
        <v>0</v>
      </c>
      <c r="L1060">
        <v>1650</v>
      </c>
      <c r="M1060">
        <v>1650</v>
      </c>
      <c r="N1060">
        <v>0</v>
      </c>
    </row>
    <row r="1061" spans="1:14" x14ac:dyDescent="0.25">
      <c r="A1061">
        <v>574.91332299999999</v>
      </c>
      <c r="B1061" s="1">
        <f>DATE(2011,11,26) + TIME(21,55,11)</f>
        <v>40873.913321759261</v>
      </c>
      <c r="C1061">
        <v>80</v>
      </c>
      <c r="D1061">
        <v>77.369750976999995</v>
      </c>
      <c r="E1061">
        <v>40</v>
      </c>
      <c r="F1061">
        <v>39.969680785999998</v>
      </c>
      <c r="G1061">
        <v>1327.7750243999999</v>
      </c>
      <c r="H1061">
        <v>1325.9595947</v>
      </c>
      <c r="I1061">
        <v>1340.8270264</v>
      </c>
      <c r="J1061">
        <v>1337.3237305</v>
      </c>
      <c r="K1061">
        <v>0</v>
      </c>
      <c r="L1061">
        <v>1650</v>
      </c>
      <c r="M1061">
        <v>1650</v>
      </c>
      <c r="N1061">
        <v>0</v>
      </c>
    </row>
    <row r="1062" spans="1:14" x14ac:dyDescent="0.25">
      <c r="A1062">
        <v>575.879009</v>
      </c>
      <c r="B1062" s="1">
        <f>DATE(2011,11,27) + TIME(21,5,46)</f>
        <v>40874.879004629627</v>
      </c>
      <c r="C1062">
        <v>80</v>
      </c>
      <c r="D1062">
        <v>77.296081543</v>
      </c>
      <c r="E1062">
        <v>40</v>
      </c>
      <c r="F1062">
        <v>39.969680785999998</v>
      </c>
      <c r="G1062">
        <v>1327.7371826000001</v>
      </c>
      <c r="H1062">
        <v>1325.9073486</v>
      </c>
      <c r="I1062">
        <v>1340.8229980000001</v>
      </c>
      <c r="J1062">
        <v>1337.3217772999999</v>
      </c>
      <c r="K1062">
        <v>0</v>
      </c>
      <c r="L1062">
        <v>1650</v>
      </c>
      <c r="M1062">
        <v>1650</v>
      </c>
      <c r="N1062">
        <v>0</v>
      </c>
    </row>
    <row r="1063" spans="1:14" x14ac:dyDescent="0.25">
      <c r="A1063">
        <v>576.875811</v>
      </c>
      <c r="B1063" s="1">
        <f>DATE(2011,11,28) + TIME(21,1,10)</f>
        <v>40875.875810185185</v>
      </c>
      <c r="C1063">
        <v>80</v>
      </c>
      <c r="D1063">
        <v>77.221115112000007</v>
      </c>
      <c r="E1063">
        <v>40</v>
      </c>
      <c r="F1063">
        <v>39.969680785999998</v>
      </c>
      <c r="G1063">
        <v>1327.6986084</v>
      </c>
      <c r="H1063">
        <v>1325.8540039</v>
      </c>
      <c r="I1063">
        <v>1340.8190918</v>
      </c>
      <c r="J1063">
        <v>1337.3197021000001</v>
      </c>
      <c r="K1063">
        <v>0</v>
      </c>
      <c r="L1063">
        <v>1650</v>
      </c>
      <c r="M1063">
        <v>1650</v>
      </c>
      <c r="N1063">
        <v>0</v>
      </c>
    </row>
    <row r="1064" spans="1:14" x14ac:dyDescent="0.25">
      <c r="A1064">
        <v>577.90662999999995</v>
      </c>
      <c r="B1064" s="1">
        <f>DATE(2011,11,29) + TIME(21,45,32)</f>
        <v>40876.90662037037</v>
      </c>
      <c r="C1064">
        <v>80</v>
      </c>
      <c r="D1064">
        <v>77.144683838000006</v>
      </c>
      <c r="E1064">
        <v>40</v>
      </c>
      <c r="F1064">
        <v>39.969684600999997</v>
      </c>
      <c r="G1064">
        <v>1327.6591797000001</v>
      </c>
      <c r="H1064">
        <v>1325.7995605000001</v>
      </c>
      <c r="I1064">
        <v>1340.8150635</v>
      </c>
      <c r="J1064">
        <v>1337.3178711</v>
      </c>
      <c r="K1064">
        <v>0</v>
      </c>
      <c r="L1064">
        <v>1650</v>
      </c>
      <c r="M1064">
        <v>1650</v>
      </c>
      <c r="N1064">
        <v>0</v>
      </c>
    </row>
    <row r="1065" spans="1:14" x14ac:dyDescent="0.25">
      <c r="A1065">
        <v>579</v>
      </c>
      <c r="B1065" s="1">
        <f>DATE(2011,12,1) + TIME(0,0,0)</f>
        <v>40878</v>
      </c>
      <c r="C1065">
        <v>80</v>
      </c>
      <c r="D1065">
        <v>77.065658568999993</v>
      </c>
      <c r="E1065">
        <v>40</v>
      </c>
      <c r="F1065">
        <v>39.969688415999997</v>
      </c>
      <c r="G1065">
        <v>1327.6186522999999</v>
      </c>
      <c r="H1065">
        <v>1325.7436522999999</v>
      </c>
      <c r="I1065">
        <v>1340.8112793</v>
      </c>
      <c r="J1065">
        <v>1337.315918</v>
      </c>
      <c r="K1065">
        <v>0</v>
      </c>
      <c r="L1065">
        <v>1650</v>
      </c>
      <c r="M1065">
        <v>1650</v>
      </c>
      <c r="N1065">
        <v>0</v>
      </c>
    </row>
    <row r="1066" spans="1:14" x14ac:dyDescent="0.25">
      <c r="A1066">
        <v>580.06797600000004</v>
      </c>
      <c r="B1066" s="1">
        <f>DATE(2011,12,2) + TIME(1,37,53)</f>
        <v>40879.067974537036</v>
      </c>
      <c r="C1066">
        <v>80</v>
      </c>
      <c r="D1066">
        <v>76.986808776999993</v>
      </c>
      <c r="E1066">
        <v>40</v>
      </c>
      <c r="F1066">
        <v>39.969696044999999</v>
      </c>
      <c r="G1066">
        <v>1327.5766602000001</v>
      </c>
      <c r="H1066">
        <v>1325.6859131000001</v>
      </c>
      <c r="I1066">
        <v>1340.807251</v>
      </c>
      <c r="J1066">
        <v>1337.3139647999999</v>
      </c>
      <c r="K1066">
        <v>0</v>
      </c>
      <c r="L1066">
        <v>1650</v>
      </c>
      <c r="M1066">
        <v>1650</v>
      </c>
      <c r="N1066">
        <v>0</v>
      </c>
    </row>
    <row r="1067" spans="1:14" x14ac:dyDescent="0.25">
      <c r="A1067">
        <v>581.22189200000003</v>
      </c>
      <c r="B1067" s="1">
        <f>DATE(2011,12,3) + TIME(5,19,31)</f>
        <v>40880.221886574072</v>
      </c>
      <c r="C1067">
        <v>80</v>
      </c>
      <c r="D1067">
        <v>76.905311584000003</v>
      </c>
      <c r="E1067">
        <v>40</v>
      </c>
      <c r="F1067">
        <v>39.969699859999999</v>
      </c>
      <c r="G1067">
        <v>1327.5350341999999</v>
      </c>
      <c r="H1067">
        <v>1325.6282959</v>
      </c>
      <c r="I1067">
        <v>1340.8034668</v>
      </c>
      <c r="J1067">
        <v>1337.3121338000001</v>
      </c>
      <c r="K1067">
        <v>0</v>
      </c>
      <c r="L1067">
        <v>1650</v>
      </c>
      <c r="M1067">
        <v>1650</v>
      </c>
      <c r="N1067">
        <v>0</v>
      </c>
    </row>
    <row r="1068" spans="1:14" x14ac:dyDescent="0.25">
      <c r="A1068">
        <v>582.42283499999996</v>
      </c>
      <c r="B1068" s="1">
        <f>DATE(2011,12,4) + TIME(10,8,52)</f>
        <v>40881.422824074078</v>
      </c>
      <c r="C1068">
        <v>80</v>
      </c>
      <c r="D1068">
        <v>76.821296692000004</v>
      </c>
      <c r="E1068">
        <v>40</v>
      </c>
      <c r="F1068">
        <v>39.969711304</v>
      </c>
      <c r="G1068">
        <v>1327.4912108999999</v>
      </c>
      <c r="H1068">
        <v>1325.5681152</v>
      </c>
      <c r="I1068">
        <v>1340.7996826000001</v>
      </c>
      <c r="J1068">
        <v>1337.3103027</v>
      </c>
      <c r="K1068">
        <v>0</v>
      </c>
      <c r="L1068">
        <v>1650</v>
      </c>
      <c r="M1068">
        <v>1650</v>
      </c>
      <c r="N1068">
        <v>0</v>
      </c>
    </row>
    <row r="1069" spans="1:14" x14ac:dyDescent="0.25">
      <c r="A1069">
        <v>583.67707600000006</v>
      </c>
      <c r="B1069" s="1">
        <f>DATE(2011,12,5) + TIME(16,14,59)</f>
        <v>40882.677071759259</v>
      </c>
      <c r="C1069">
        <v>80</v>
      </c>
      <c r="D1069">
        <v>76.734619140999996</v>
      </c>
      <c r="E1069">
        <v>40</v>
      </c>
      <c r="F1069">
        <v>39.969718933000003</v>
      </c>
      <c r="G1069">
        <v>1327.4460449000001</v>
      </c>
      <c r="H1069">
        <v>1325.5059814000001</v>
      </c>
      <c r="I1069">
        <v>1340.7957764</v>
      </c>
      <c r="J1069">
        <v>1337.3084716999999</v>
      </c>
      <c r="K1069">
        <v>0</v>
      </c>
      <c r="L1069">
        <v>1650</v>
      </c>
      <c r="M1069">
        <v>1650</v>
      </c>
      <c r="N1069">
        <v>0</v>
      </c>
    </row>
    <row r="1070" spans="1:14" x14ac:dyDescent="0.25">
      <c r="A1070">
        <v>584.98980300000005</v>
      </c>
      <c r="B1070" s="1">
        <f>DATE(2011,12,6) + TIME(23,45,18)</f>
        <v>40883.989791666667</v>
      </c>
      <c r="C1070">
        <v>80</v>
      </c>
      <c r="D1070">
        <v>76.645027161000002</v>
      </c>
      <c r="E1070">
        <v>40</v>
      </c>
      <c r="F1070">
        <v>39.969730376999998</v>
      </c>
      <c r="G1070">
        <v>1327.3992920000001</v>
      </c>
      <c r="H1070">
        <v>1325.4417725000001</v>
      </c>
      <c r="I1070">
        <v>1340.7918701000001</v>
      </c>
      <c r="J1070">
        <v>1337.3066406</v>
      </c>
      <c r="K1070">
        <v>0</v>
      </c>
      <c r="L1070">
        <v>1650</v>
      </c>
      <c r="M1070">
        <v>1650</v>
      </c>
      <c r="N1070">
        <v>0</v>
      </c>
    </row>
    <row r="1071" spans="1:14" x14ac:dyDescent="0.25">
      <c r="A1071">
        <v>586.33837400000004</v>
      </c>
      <c r="B1071" s="1">
        <f>DATE(2011,12,8) + TIME(8,7,15)</f>
        <v>40885.338368055556</v>
      </c>
      <c r="C1071">
        <v>80</v>
      </c>
      <c r="D1071">
        <v>76.553077697999996</v>
      </c>
      <c r="E1071">
        <v>40</v>
      </c>
      <c r="F1071">
        <v>39.969738006999997</v>
      </c>
      <c r="G1071">
        <v>1327.3510742000001</v>
      </c>
      <c r="H1071">
        <v>1325.3753661999999</v>
      </c>
      <c r="I1071">
        <v>1340.7879639</v>
      </c>
      <c r="J1071">
        <v>1337.3048096</v>
      </c>
      <c r="K1071">
        <v>0</v>
      </c>
      <c r="L1071">
        <v>1650</v>
      </c>
      <c r="M1071">
        <v>1650</v>
      </c>
      <c r="N1071">
        <v>0</v>
      </c>
    </row>
    <row r="1072" spans="1:14" x14ac:dyDescent="0.25">
      <c r="A1072">
        <v>587.71231599999999</v>
      </c>
      <c r="B1072" s="1">
        <f>DATE(2011,12,9) + TIME(17,5,44)</f>
        <v>40886.712314814817</v>
      </c>
      <c r="C1072">
        <v>80</v>
      </c>
      <c r="D1072">
        <v>76.459480286000002</v>
      </c>
      <c r="E1072">
        <v>40</v>
      </c>
      <c r="F1072">
        <v>39.969749450999998</v>
      </c>
      <c r="G1072">
        <v>1327.3017577999999</v>
      </c>
      <c r="H1072">
        <v>1325.3077393000001</v>
      </c>
      <c r="I1072">
        <v>1340.7841797000001</v>
      </c>
      <c r="J1072">
        <v>1337.3029785000001</v>
      </c>
      <c r="K1072">
        <v>0</v>
      </c>
      <c r="L1072">
        <v>1650</v>
      </c>
      <c r="M1072">
        <v>1650</v>
      </c>
      <c r="N1072">
        <v>0</v>
      </c>
    </row>
    <row r="1073" spans="1:14" x14ac:dyDescent="0.25">
      <c r="A1073">
        <v>589.11493599999994</v>
      </c>
      <c r="B1073" s="1">
        <f>DATE(2011,12,11) + TIME(2,45,30)</f>
        <v>40888.114930555559</v>
      </c>
      <c r="C1073">
        <v>80</v>
      </c>
      <c r="D1073">
        <v>76.364517211999996</v>
      </c>
      <c r="E1073">
        <v>40</v>
      </c>
      <c r="F1073">
        <v>39.969764709000003</v>
      </c>
      <c r="G1073">
        <v>1327.2518310999999</v>
      </c>
      <c r="H1073">
        <v>1325.2391356999999</v>
      </c>
      <c r="I1073">
        <v>1340.7803954999999</v>
      </c>
      <c r="J1073">
        <v>1337.3012695</v>
      </c>
      <c r="K1073">
        <v>0</v>
      </c>
      <c r="L1073">
        <v>1650</v>
      </c>
      <c r="M1073">
        <v>1650</v>
      </c>
      <c r="N1073">
        <v>0</v>
      </c>
    </row>
    <row r="1074" spans="1:14" x14ac:dyDescent="0.25">
      <c r="A1074">
        <v>590.54949399999998</v>
      </c>
      <c r="B1074" s="1">
        <f>DATE(2011,12,12) + TIME(13,11,16)</f>
        <v>40889.549490740741</v>
      </c>
      <c r="C1074">
        <v>80</v>
      </c>
      <c r="D1074">
        <v>76.268165588000002</v>
      </c>
      <c r="E1074">
        <v>40</v>
      </c>
      <c r="F1074">
        <v>39.969776154000002</v>
      </c>
      <c r="G1074">
        <v>1327.2012939000001</v>
      </c>
      <c r="H1074">
        <v>1325.1697998</v>
      </c>
      <c r="I1074">
        <v>1340.7767334</v>
      </c>
      <c r="J1074">
        <v>1337.2996826000001</v>
      </c>
      <c r="K1074">
        <v>0</v>
      </c>
      <c r="L1074">
        <v>1650</v>
      </c>
      <c r="M1074">
        <v>1650</v>
      </c>
      <c r="N1074">
        <v>0</v>
      </c>
    </row>
    <row r="1075" spans="1:14" x14ac:dyDescent="0.25">
      <c r="A1075">
        <v>592.01952400000005</v>
      </c>
      <c r="B1075" s="1">
        <f>DATE(2011,12,14) + TIME(0,28,6)</f>
        <v>40891.019513888888</v>
      </c>
      <c r="C1075">
        <v>80</v>
      </c>
      <c r="D1075">
        <v>76.170257567999997</v>
      </c>
      <c r="E1075">
        <v>40</v>
      </c>
      <c r="F1075">
        <v>39.969791411999999</v>
      </c>
      <c r="G1075">
        <v>1327.1502685999999</v>
      </c>
      <c r="H1075">
        <v>1325.0996094</v>
      </c>
      <c r="I1075">
        <v>1340.7730713000001</v>
      </c>
      <c r="J1075">
        <v>1337.2980957</v>
      </c>
      <c r="K1075">
        <v>0</v>
      </c>
      <c r="L1075">
        <v>1650</v>
      </c>
      <c r="M1075">
        <v>1650</v>
      </c>
      <c r="N1075">
        <v>0</v>
      </c>
    </row>
    <row r="1076" spans="1:14" x14ac:dyDescent="0.25">
      <c r="A1076">
        <v>593.52885200000003</v>
      </c>
      <c r="B1076" s="1">
        <f>DATE(2011,12,15) + TIME(12,41,32)</f>
        <v>40892.52884259259</v>
      </c>
      <c r="C1076">
        <v>80</v>
      </c>
      <c r="D1076">
        <v>76.070533752000003</v>
      </c>
      <c r="E1076">
        <v>40</v>
      </c>
      <c r="F1076">
        <v>39.969806671000001</v>
      </c>
      <c r="G1076">
        <v>1327.0983887</v>
      </c>
      <c r="H1076">
        <v>1325.0285644999999</v>
      </c>
      <c r="I1076">
        <v>1340.7695312000001</v>
      </c>
      <c r="J1076">
        <v>1337.2965088000001</v>
      </c>
      <c r="K1076">
        <v>0</v>
      </c>
      <c r="L1076">
        <v>1650</v>
      </c>
      <c r="M1076">
        <v>1650</v>
      </c>
      <c r="N1076">
        <v>0</v>
      </c>
    </row>
    <row r="1077" spans="1:14" x14ac:dyDescent="0.25">
      <c r="A1077">
        <v>595.081639</v>
      </c>
      <c r="B1077" s="1">
        <f>DATE(2011,12,17) + TIME(1,57,33)</f>
        <v>40894.081631944442</v>
      </c>
      <c r="C1077">
        <v>80</v>
      </c>
      <c r="D1077">
        <v>75.968681334999999</v>
      </c>
      <c r="E1077">
        <v>40</v>
      </c>
      <c r="F1077">
        <v>39.969821930000002</v>
      </c>
      <c r="G1077">
        <v>1327.0458983999999</v>
      </c>
      <c r="H1077">
        <v>1324.956543</v>
      </c>
      <c r="I1077">
        <v>1340.7659911999999</v>
      </c>
      <c r="J1077">
        <v>1337.2949219</v>
      </c>
      <c r="K1077">
        <v>0</v>
      </c>
      <c r="L1077">
        <v>1650</v>
      </c>
      <c r="M1077">
        <v>1650</v>
      </c>
      <c r="N1077">
        <v>0</v>
      </c>
    </row>
    <row r="1078" spans="1:14" x14ac:dyDescent="0.25">
      <c r="A1078">
        <v>596.68184900000006</v>
      </c>
      <c r="B1078" s="1">
        <f>DATE(2011,12,18) + TIME(16,21,51)</f>
        <v>40895.681840277779</v>
      </c>
      <c r="C1078">
        <v>80</v>
      </c>
      <c r="D1078">
        <v>75.864364624000004</v>
      </c>
      <c r="E1078">
        <v>40</v>
      </c>
      <c r="F1078">
        <v>39.969837189000003</v>
      </c>
      <c r="G1078">
        <v>1326.9924315999999</v>
      </c>
      <c r="H1078">
        <v>1324.8833007999999</v>
      </c>
      <c r="I1078">
        <v>1340.7624512</v>
      </c>
      <c r="J1078">
        <v>1337.293457</v>
      </c>
      <c r="K1078">
        <v>0</v>
      </c>
      <c r="L1078">
        <v>1650</v>
      </c>
      <c r="M1078">
        <v>1650</v>
      </c>
      <c r="N1078">
        <v>0</v>
      </c>
    </row>
    <row r="1079" spans="1:14" x14ac:dyDescent="0.25">
      <c r="A1079">
        <v>598.33403199999998</v>
      </c>
      <c r="B1079" s="1">
        <f>DATE(2011,12,20) + TIME(8,1,0)</f>
        <v>40897.334027777775</v>
      </c>
      <c r="C1079">
        <v>80</v>
      </c>
      <c r="D1079">
        <v>75.757217406999999</v>
      </c>
      <c r="E1079">
        <v>40</v>
      </c>
      <c r="F1079">
        <v>39.969852447999997</v>
      </c>
      <c r="G1079">
        <v>1326.9381103999999</v>
      </c>
      <c r="H1079">
        <v>1324.8087158000001</v>
      </c>
      <c r="I1079">
        <v>1340.7589111</v>
      </c>
      <c r="J1079">
        <v>1337.2921143000001</v>
      </c>
      <c r="K1079">
        <v>0</v>
      </c>
      <c r="L1079">
        <v>1650</v>
      </c>
      <c r="M1079">
        <v>1650</v>
      </c>
      <c r="N1079">
        <v>0</v>
      </c>
    </row>
    <row r="1080" spans="1:14" x14ac:dyDescent="0.25">
      <c r="A1080">
        <v>600.04351199999996</v>
      </c>
      <c r="B1080" s="1">
        <f>DATE(2011,12,22) + TIME(1,2,39)</f>
        <v>40899.043506944443</v>
      </c>
      <c r="C1080">
        <v>80</v>
      </c>
      <c r="D1080">
        <v>75.646842957000004</v>
      </c>
      <c r="E1080">
        <v>40</v>
      </c>
      <c r="F1080">
        <v>39.969871521000002</v>
      </c>
      <c r="G1080">
        <v>1326.8825684000001</v>
      </c>
      <c r="H1080">
        <v>1324.7327881000001</v>
      </c>
      <c r="I1080">
        <v>1340.7554932</v>
      </c>
      <c r="J1080">
        <v>1337.2906493999999</v>
      </c>
      <c r="K1080">
        <v>0</v>
      </c>
      <c r="L1080">
        <v>1650</v>
      </c>
      <c r="M1080">
        <v>1650</v>
      </c>
      <c r="N1080">
        <v>0</v>
      </c>
    </row>
    <row r="1081" spans="1:14" x14ac:dyDescent="0.25">
      <c r="A1081">
        <v>601.816013</v>
      </c>
      <c r="B1081" s="1">
        <f>DATE(2011,12,23) + TIME(19,35,3)</f>
        <v>40900.816006944442</v>
      </c>
      <c r="C1081">
        <v>80</v>
      </c>
      <c r="D1081">
        <v>75.532768250000004</v>
      </c>
      <c r="E1081">
        <v>40</v>
      </c>
      <c r="F1081">
        <v>39.969890593999999</v>
      </c>
      <c r="G1081">
        <v>1326.8259277</v>
      </c>
      <c r="H1081">
        <v>1324.6552733999999</v>
      </c>
      <c r="I1081">
        <v>1340.7519531</v>
      </c>
      <c r="J1081">
        <v>1337.2893065999999</v>
      </c>
      <c r="K1081">
        <v>0</v>
      </c>
      <c r="L1081">
        <v>1650</v>
      </c>
      <c r="M1081">
        <v>1650</v>
      </c>
      <c r="N1081">
        <v>0</v>
      </c>
    </row>
    <row r="1082" spans="1:14" x14ac:dyDescent="0.25">
      <c r="A1082">
        <v>603.65783799999997</v>
      </c>
      <c r="B1082" s="1">
        <f>DATE(2011,12,25) + TIME(15,47,17)</f>
        <v>40902.657835648148</v>
      </c>
      <c r="C1082">
        <v>80</v>
      </c>
      <c r="D1082">
        <v>75.414489746000001</v>
      </c>
      <c r="E1082">
        <v>40</v>
      </c>
      <c r="F1082">
        <v>39.969913482999999</v>
      </c>
      <c r="G1082">
        <v>1326.7679443</v>
      </c>
      <c r="H1082">
        <v>1324.5760498</v>
      </c>
      <c r="I1082">
        <v>1340.7485352000001</v>
      </c>
      <c r="J1082">
        <v>1337.2879639</v>
      </c>
      <c r="K1082">
        <v>0</v>
      </c>
      <c r="L1082">
        <v>1650</v>
      </c>
      <c r="M1082">
        <v>1650</v>
      </c>
      <c r="N1082">
        <v>0</v>
      </c>
    </row>
    <row r="1083" spans="1:14" x14ac:dyDescent="0.25">
      <c r="A1083">
        <v>605.57597099999998</v>
      </c>
      <c r="B1083" s="1">
        <f>DATE(2011,12,27) + TIME(13,49,23)</f>
        <v>40904.575960648152</v>
      </c>
      <c r="C1083">
        <v>80</v>
      </c>
      <c r="D1083">
        <v>75.291442871000001</v>
      </c>
      <c r="E1083">
        <v>40</v>
      </c>
      <c r="F1083">
        <v>39.969932556000003</v>
      </c>
      <c r="G1083">
        <v>1326.7084961</v>
      </c>
      <c r="H1083">
        <v>1324.494751</v>
      </c>
      <c r="I1083">
        <v>1340.7449951000001</v>
      </c>
      <c r="J1083">
        <v>1337.2866211</v>
      </c>
      <c r="K1083">
        <v>0</v>
      </c>
      <c r="L1083">
        <v>1650</v>
      </c>
      <c r="M1083">
        <v>1650</v>
      </c>
      <c r="N1083">
        <v>0</v>
      </c>
    </row>
    <row r="1084" spans="1:14" x14ac:dyDescent="0.25">
      <c r="A1084">
        <v>607.57820800000002</v>
      </c>
      <c r="B1084" s="1">
        <f>DATE(2011,12,29) + TIME(13,52,37)</f>
        <v>40906.578206018516</v>
      </c>
      <c r="C1084">
        <v>80</v>
      </c>
      <c r="D1084">
        <v>75.163009643999999</v>
      </c>
      <c r="E1084">
        <v>40</v>
      </c>
      <c r="F1084">
        <v>39.969955444</v>
      </c>
      <c r="G1084">
        <v>1326.6473389</v>
      </c>
      <c r="H1084">
        <v>1324.4113769999999</v>
      </c>
      <c r="I1084">
        <v>1340.7415771000001</v>
      </c>
      <c r="J1084">
        <v>1337.2854004000001</v>
      </c>
      <c r="K1084">
        <v>0</v>
      </c>
      <c r="L1084">
        <v>1650</v>
      </c>
      <c r="M1084">
        <v>1650</v>
      </c>
      <c r="N1084">
        <v>0</v>
      </c>
    </row>
    <row r="1085" spans="1:14" x14ac:dyDescent="0.25">
      <c r="A1085">
        <v>609.66353600000002</v>
      </c>
      <c r="B1085" s="1">
        <f>DATE(2011,12,31) + TIME(15,55,29)</f>
        <v>40908.663530092592</v>
      </c>
      <c r="C1085">
        <v>80</v>
      </c>
      <c r="D1085">
        <v>75.028694153000004</v>
      </c>
      <c r="E1085">
        <v>40</v>
      </c>
      <c r="F1085">
        <v>39.969978333</v>
      </c>
      <c r="G1085">
        <v>1326.5845947</v>
      </c>
      <c r="H1085">
        <v>1324.3256836</v>
      </c>
      <c r="I1085">
        <v>1340.7380370999999</v>
      </c>
      <c r="J1085">
        <v>1337.2841797000001</v>
      </c>
      <c r="K1085">
        <v>0</v>
      </c>
      <c r="L1085">
        <v>1650</v>
      </c>
      <c r="M1085">
        <v>1650</v>
      </c>
      <c r="N1085">
        <v>0</v>
      </c>
    </row>
    <row r="1086" spans="1:14" x14ac:dyDescent="0.25">
      <c r="A1086">
        <v>610</v>
      </c>
      <c r="B1086" s="1">
        <f>DATE(2012,1,1) + TIME(0,0,0)</f>
        <v>40909</v>
      </c>
      <c r="C1086">
        <v>80</v>
      </c>
      <c r="D1086">
        <v>74.976341247999997</v>
      </c>
      <c r="E1086">
        <v>40</v>
      </c>
      <c r="F1086">
        <v>39.969978333</v>
      </c>
      <c r="G1086">
        <v>1326.5257568</v>
      </c>
      <c r="H1086">
        <v>1324.25</v>
      </c>
      <c r="I1086">
        <v>1340.7341309000001</v>
      </c>
      <c r="J1086">
        <v>1337.2825928</v>
      </c>
      <c r="K1086">
        <v>0</v>
      </c>
      <c r="L1086">
        <v>1650</v>
      </c>
      <c r="M1086">
        <v>1650</v>
      </c>
      <c r="N1086">
        <v>0</v>
      </c>
    </row>
    <row r="1087" spans="1:14" x14ac:dyDescent="0.25">
      <c r="A1087">
        <v>612.14384099999995</v>
      </c>
      <c r="B1087" s="1">
        <f>DATE(2012,1,3) + TIME(3,27,7)</f>
        <v>40911.143831018519</v>
      </c>
      <c r="C1087">
        <v>80</v>
      </c>
      <c r="D1087">
        <v>74.856498717999997</v>
      </c>
      <c r="E1087">
        <v>40</v>
      </c>
      <c r="F1087">
        <v>39.970008849999999</v>
      </c>
      <c r="G1087">
        <v>1326.5043945</v>
      </c>
      <c r="H1087">
        <v>1324.2141113</v>
      </c>
      <c r="I1087">
        <v>1340.7338867000001</v>
      </c>
      <c r="J1087">
        <v>1337.2827147999999</v>
      </c>
      <c r="K1087">
        <v>0</v>
      </c>
      <c r="L1087">
        <v>1650</v>
      </c>
      <c r="M1087">
        <v>1650</v>
      </c>
      <c r="N1087">
        <v>0</v>
      </c>
    </row>
    <row r="1088" spans="1:14" x14ac:dyDescent="0.25">
      <c r="A1088">
        <v>614.37485400000003</v>
      </c>
      <c r="B1088" s="1">
        <f>DATE(2012,1,5) + TIME(8,59,47)</f>
        <v>40913.374849537038</v>
      </c>
      <c r="C1088">
        <v>80</v>
      </c>
      <c r="D1088">
        <v>74.716812133999994</v>
      </c>
      <c r="E1088">
        <v>40</v>
      </c>
      <c r="F1088">
        <v>39.970035553000002</v>
      </c>
      <c r="G1088">
        <v>1326.4423827999999</v>
      </c>
      <c r="H1088">
        <v>1324.1309814000001</v>
      </c>
      <c r="I1088">
        <v>1340.7303466999999</v>
      </c>
      <c r="J1088">
        <v>1337.2814940999999</v>
      </c>
      <c r="K1088">
        <v>0</v>
      </c>
      <c r="L1088">
        <v>1650</v>
      </c>
      <c r="M1088">
        <v>1650</v>
      </c>
      <c r="N1088">
        <v>0</v>
      </c>
    </row>
    <row r="1089" spans="1:14" x14ac:dyDescent="0.25">
      <c r="A1089">
        <v>616.61977899999999</v>
      </c>
      <c r="B1089" s="1">
        <f>DATE(2012,1,7) + TIME(14,52,28)</f>
        <v>40915.619768518518</v>
      </c>
      <c r="C1089">
        <v>80</v>
      </c>
      <c r="D1089">
        <v>74.567298889</v>
      </c>
      <c r="E1089">
        <v>40</v>
      </c>
      <c r="F1089">
        <v>39.970058440999999</v>
      </c>
      <c r="G1089">
        <v>1326.3765868999999</v>
      </c>
      <c r="H1089">
        <v>1324.0417480000001</v>
      </c>
      <c r="I1089">
        <v>1340.7266846</v>
      </c>
      <c r="J1089">
        <v>1337.2802733999999</v>
      </c>
      <c r="K1089">
        <v>0</v>
      </c>
      <c r="L1089">
        <v>1650</v>
      </c>
      <c r="M1089">
        <v>1650</v>
      </c>
      <c r="N1089">
        <v>0</v>
      </c>
    </row>
    <row r="1090" spans="1:14" x14ac:dyDescent="0.25">
      <c r="A1090">
        <v>618.89283899999998</v>
      </c>
      <c r="B1090" s="1">
        <f>DATE(2012,1,9) + TIME(21,25,41)</f>
        <v>40917.892835648148</v>
      </c>
      <c r="C1090">
        <v>80</v>
      </c>
      <c r="D1090">
        <v>74.412841796999999</v>
      </c>
      <c r="E1090">
        <v>40</v>
      </c>
      <c r="F1090">
        <v>39.970085144000002</v>
      </c>
      <c r="G1090">
        <v>1326.3100586</v>
      </c>
      <c r="H1090">
        <v>1323.9510498</v>
      </c>
      <c r="I1090">
        <v>1340.7231445</v>
      </c>
      <c r="J1090">
        <v>1337.2791748</v>
      </c>
      <c r="K1090">
        <v>0</v>
      </c>
      <c r="L1090">
        <v>1650</v>
      </c>
      <c r="M1090">
        <v>1650</v>
      </c>
      <c r="N1090">
        <v>0</v>
      </c>
    </row>
    <row r="1091" spans="1:14" x14ac:dyDescent="0.25">
      <c r="A1091">
        <v>621.20923400000004</v>
      </c>
      <c r="B1091" s="1">
        <f>DATE(2012,1,12) + TIME(5,1,17)</f>
        <v>40920.209224537037</v>
      </c>
      <c r="C1091">
        <v>80</v>
      </c>
      <c r="D1091">
        <v>74.254135132000002</v>
      </c>
      <c r="E1091">
        <v>40</v>
      </c>
      <c r="F1091">
        <v>39.970115661999998</v>
      </c>
      <c r="G1091">
        <v>1326.2434082</v>
      </c>
      <c r="H1091">
        <v>1323.8601074000001</v>
      </c>
      <c r="I1091">
        <v>1340.7197266000001</v>
      </c>
      <c r="J1091">
        <v>1337.2780762</v>
      </c>
      <c r="K1091">
        <v>0</v>
      </c>
      <c r="L1091">
        <v>1650</v>
      </c>
      <c r="M1091">
        <v>1650</v>
      </c>
      <c r="N1091">
        <v>0</v>
      </c>
    </row>
    <row r="1092" spans="1:14" x14ac:dyDescent="0.25">
      <c r="A1092">
        <v>623.58519899999999</v>
      </c>
      <c r="B1092" s="1">
        <f>DATE(2012,1,14) + TIME(14,2,41)</f>
        <v>40922.585196759261</v>
      </c>
      <c r="C1092">
        <v>80</v>
      </c>
      <c r="D1092">
        <v>74.090476989999999</v>
      </c>
      <c r="E1092">
        <v>40</v>
      </c>
      <c r="F1092">
        <v>39.970142365000001</v>
      </c>
      <c r="G1092">
        <v>1326.1765137</v>
      </c>
      <c r="H1092">
        <v>1323.7687988</v>
      </c>
      <c r="I1092">
        <v>1340.7163086</v>
      </c>
      <c r="J1092">
        <v>1337.2769774999999</v>
      </c>
      <c r="K1092">
        <v>0</v>
      </c>
      <c r="L1092">
        <v>1650</v>
      </c>
      <c r="M1092">
        <v>1650</v>
      </c>
      <c r="N1092">
        <v>0</v>
      </c>
    </row>
    <row r="1093" spans="1:14" x14ac:dyDescent="0.25">
      <c r="A1093">
        <v>626.03372999999999</v>
      </c>
      <c r="B1093" s="1">
        <f>DATE(2012,1,17) + TIME(0,48,34)</f>
        <v>40925.033726851849</v>
      </c>
      <c r="C1093">
        <v>80</v>
      </c>
      <c r="D1093">
        <v>73.920768738000007</v>
      </c>
      <c r="E1093">
        <v>40</v>
      </c>
      <c r="F1093">
        <v>39.970172882</v>
      </c>
      <c r="G1093">
        <v>1326.1091309000001</v>
      </c>
      <c r="H1093">
        <v>1323.6767577999999</v>
      </c>
      <c r="I1093">
        <v>1340.7128906</v>
      </c>
      <c r="J1093">
        <v>1337.276001</v>
      </c>
      <c r="K1093">
        <v>0</v>
      </c>
      <c r="L1093">
        <v>1650</v>
      </c>
      <c r="M1093">
        <v>1650</v>
      </c>
      <c r="N1093">
        <v>0</v>
      </c>
    </row>
    <row r="1094" spans="1:14" x14ac:dyDescent="0.25">
      <c r="A1094">
        <v>628.54537900000003</v>
      </c>
      <c r="B1094" s="1">
        <f>DATE(2012,1,19) + TIME(13,5,20)</f>
        <v>40927.545370370368</v>
      </c>
      <c r="C1094">
        <v>80</v>
      </c>
      <c r="D1094">
        <v>73.744255065999994</v>
      </c>
      <c r="E1094">
        <v>40</v>
      </c>
      <c r="F1094">
        <v>39.970203400000003</v>
      </c>
      <c r="G1094">
        <v>1326.0408935999999</v>
      </c>
      <c r="H1094">
        <v>1323.5837402</v>
      </c>
      <c r="I1094">
        <v>1340.7094727000001</v>
      </c>
      <c r="J1094">
        <v>1337.2749022999999</v>
      </c>
      <c r="K1094">
        <v>0</v>
      </c>
      <c r="L1094">
        <v>1650</v>
      </c>
      <c r="M1094">
        <v>1650</v>
      </c>
      <c r="N1094">
        <v>0</v>
      </c>
    </row>
    <row r="1095" spans="1:14" x14ac:dyDescent="0.25">
      <c r="A1095">
        <v>631.13759200000004</v>
      </c>
      <c r="B1095" s="1">
        <f>DATE(2012,1,22) + TIME(3,18,7)</f>
        <v>40930.13758101852</v>
      </c>
      <c r="C1095">
        <v>80</v>
      </c>
      <c r="D1095">
        <v>73.560539246000005</v>
      </c>
      <c r="E1095">
        <v>40</v>
      </c>
      <c r="F1095">
        <v>39.970233917000002</v>
      </c>
      <c r="G1095">
        <v>1325.9719238</v>
      </c>
      <c r="H1095">
        <v>1323.4897461</v>
      </c>
      <c r="I1095">
        <v>1340.7060547000001</v>
      </c>
      <c r="J1095">
        <v>1337.2739257999999</v>
      </c>
      <c r="K1095">
        <v>0</v>
      </c>
      <c r="L1095">
        <v>1650</v>
      </c>
      <c r="M1095">
        <v>1650</v>
      </c>
      <c r="N1095">
        <v>0</v>
      </c>
    </row>
    <row r="1096" spans="1:14" x14ac:dyDescent="0.25">
      <c r="A1096">
        <v>633.74493500000005</v>
      </c>
      <c r="B1096" s="1">
        <f>DATE(2012,1,24) + TIME(17,52,42)</f>
        <v>40932.744930555556</v>
      </c>
      <c r="C1096">
        <v>80</v>
      </c>
      <c r="D1096">
        <v>73.369911193999997</v>
      </c>
      <c r="E1096">
        <v>40</v>
      </c>
      <c r="F1096">
        <v>39.970264434999997</v>
      </c>
      <c r="G1096">
        <v>1325.9020995999999</v>
      </c>
      <c r="H1096">
        <v>1323.3946533000001</v>
      </c>
      <c r="I1096">
        <v>1340.7025146000001</v>
      </c>
      <c r="J1096">
        <v>1337.2729492000001</v>
      </c>
      <c r="K1096">
        <v>0</v>
      </c>
      <c r="L1096">
        <v>1650</v>
      </c>
      <c r="M1096">
        <v>1650</v>
      </c>
      <c r="N1096">
        <v>0</v>
      </c>
    </row>
    <row r="1097" spans="1:14" x14ac:dyDescent="0.25">
      <c r="A1097">
        <v>636.38145599999996</v>
      </c>
      <c r="B1097" s="1">
        <f>DATE(2012,1,27) + TIME(9,9,17)</f>
        <v>40935.38144675926</v>
      </c>
      <c r="C1097">
        <v>80</v>
      </c>
      <c r="D1097">
        <v>73.174423218000001</v>
      </c>
      <c r="E1097">
        <v>40</v>
      </c>
      <c r="F1097">
        <v>39.970298767000003</v>
      </c>
      <c r="G1097">
        <v>1325.8326416</v>
      </c>
      <c r="H1097">
        <v>1323.2998047000001</v>
      </c>
      <c r="I1097">
        <v>1340.6990966999999</v>
      </c>
      <c r="J1097">
        <v>1337.2719727000001</v>
      </c>
      <c r="K1097">
        <v>0</v>
      </c>
      <c r="L1097">
        <v>1650</v>
      </c>
      <c r="M1097">
        <v>1650</v>
      </c>
      <c r="N1097">
        <v>0</v>
      </c>
    </row>
    <row r="1098" spans="1:14" x14ac:dyDescent="0.25">
      <c r="A1098">
        <v>639.06550400000003</v>
      </c>
      <c r="B1098" s="1">
        <f>DATE(2012,1,30) + TIME(1,34,19)</f>
        <v>40938.065497685187</v>
      </c>
      <c r="C1098">
        <v>80</v>
      </c>
      <c r="D1098">
        <v>72.973670959000003</v>
      </c>
      <c r="E1098">
        <v>40</v>
      </c>
      <c r="F1098">
        <v>39.970329284999998</v>
      </c>
      <c r="G1098">
        <v>1325.7634277</v>
      </c>
      <c r="H1098">
        <v>1323.2054443</v>
      </c>
      <c r="I1098">
        <v>1340.6956786999999</v>
      </c>
      <c r="J1098">
        <v>1337.2709961</v>
      </c>
      <c r="K1098">
        <v>0</v>
      </c>
      <c r="L1098">
        <v>1650</v>
      </c>
      <c r="M1098">
        <v>1650</v>
      </c>
      <c r="N1098">
        <v>0</v>
      </c>
    </row>
    <row r="1099" spans="1:14" x14ac:dyDescent="0.25">
      <c r="A1099">
        <v>641</v>
      </c>
      <c r="B1099" s="1">
        <f>DATE(2012,2,1) + TIME(0,0,0)</f>
        <v>40940</v>
      </c>
      <c r="C1099">
        <v>80</v>
      </c>
      <c r="D1099">
        <v>72.785682678000001</v>
      </c>
      <c r="E1099">
        <v>40</v>
      </c>
      <c r="F1099">
        <v>39.970348358000003</v>
      </c>
      <c r="G1099">
        <v>1325.6951904</v>
      </c>
      <c r="H1099">
        <v>1323.1134033000001</v>
      </c>
      <c r="I1099">
        <v>1340.6921387</v>
      </c>
      <c r="J1099">
        <v>1337.2700195</v>
      </c>
      <c r="K1099">
        <v>0</v>
      </c>
      <c r="L1099">
        <v>1650</v>
      </c>
      <c r="M1099">
        <v>1650</v>
      </c>
      <c r="N1099">
        <v>0</v>
      </c>
    </row>
    <row r="1100" spans="1:14" x14ac:dyDescent="0.25">
      <c r="A1100">
        <v>643.75111200000003</v>
      </c>
      <c r="B1100" s="1">
        <f>DATE(2012,2,3) + TIME(18,1,36)</f>
        <v>40942.751111111109</v>
      </c>
      <c r="C1100">
        <v>80</v>
      </c>
      <c r="D1100">
        <v>72.605766295999999</v>
      </c>
      <c r="E1100">
        <v>40</v>
      </c>
      <c r="F1100">
        <v>39.970386505</v>
      </c>
      <c r="G1100">
        <v>1325.6405029</v>
      </c>
      <c r="H1100">
        <v>1323.0355225000001</v>
      </c>
      <c r="I1100">
        <v>1340.6898193</v>
      </c>
      <c r="J1100">
        <v>1337.2692870999999</v>
      </c>
      <c r="K1100">
        <v>0</v>
      </c>
      <c r="L1100">
        <v>1650</v>
      </c>
      <c r="M1100">
        <v>1650</v>
      </c>
      <c r="N1100">
        <v>0</v>
      </c>
    </row>
    <row r="1101" spans="1:14" x14ac:dyDescent="0.25">
      <c r="A1101">
        <v>646.64622499999996</v>
      </c>
      <c r="B1101" s="1">
        <f>DATE(2012,2,6) + TIME(15,30,33)</f>
        <v>40945.646215277775</v>
      </c>
      <c r="C1101">
        <v>80</v>
      </c>
      <c r="D1101">
        <v>72.394462584999999</v>
      </c>
      <c r="E1101">
        <v>40</v>
      </c>
      <c r="F1101">
        <v>39.970424651999998</v>
      </c>
      <c r="G1101">
        <v>1325.5751952999999</v>
      </c>
      <c r="H1101">
        <v>1322.9479980000001</v>
      </c>
      <c r="I1101">
        <v>1340.6862793</v>
      </c>
      <c r="J1101">
        <v>1337.2684326000001</v>
      </c>
      <c r="K1101">
        <v>0</v>
      </c>
      <c r="L1101">
        <v>1650</v>
      </c>
      <c r="M1101">
        <v>1650</v>
      </c>
      <c r="N1101">
        <v>0</v>
      </c>
    </row>
    <row r="1102" spans="1:14" x14ac:dyDescent="0.25">
      <c r="A1102">
        <v>649.58753100000001</v>
      </c>
      <c r="B1102" s="1">
        <f>DATE(2012,2,9) + TIME(14,6,2)</f>
        <v>40948.587523148148</v>
      </c>
      <c r="C1102">
        <v>80</v>
      </c>
      <c r="D1102">
        <v>72.165924071999996</v>
      </c>
      <c r="E1102">
        <v>40</v>
      </c>
      <c r="F1102">
        <v>39.970458983999997</v>
      </c>
      <c r="G1102">
        <v>1325.5057373</v>
      </c>
      <c r="H1102">
        <v>1322.854126</v>
      </c>
      <c r="I1102">
        <v>1340.6827393000001</v>
      </c>
      <c r="J1102">
        <v>1337.2674560999999</v>
      </c>
      <c r="K1102">
        <v>0</v>
      </c>
      <c r="L1102">
        <v>1650</v>
      </c>
      <c r="M1102">
        <v>1650</v>
      </c>
      <c r="N1102">
        <v>0</v>
      </c>
    </row>
    <row r="1103" spans="1:14" x14ac:dyDescent="0.25">
      <c r="A1103">
        <v>652.55659100000003</v>
      </c>
      <c r="B1103" s="1">
        <f>DATE(2012,2,12) + TIME(13,21,29)</f>
        <v>40951.556585648148</v>
      </c>
      <c r="C1103">
        <v>80</v>
      </c>
      <c r="D1103">
        <v>71.928260803000001</v>
      </c>
      <c r="E1103">
        <v>40</v>
      </c>
      <c r="F1103">
        <v>39.970497131000002</v>
      </c>
      <c r="G1103">
        <v>1325.4353027</v>
      </c>
      <c r="H1103">
        <v>1322.7581786999999</v>
      </c>
      <c r="I1103">
        <v>1340.6791992000001</v>
      </c>
      <c r="J1103">
        <v>1337.2663574000001</v>
      </c>
      <c r="K1103">
        <v>0</v>
      </c>
      <c r="L1103">
        <v>1650</v>
      </c>
      <c r="M1103">
        <v>1650</v>
      </c>
      <c r="N1103">
        <v>0</v>
      </c>
    </row>
    <row r="1104" spans="1:14" x14ac:dyDescent="0.25">
      <c r="A1104">
        <v>655.57208600000001</v>
      </c>
      <c r="B1104" s="1">
        <f>DATE(2012,2,15) + TIME(13,43,48)</f>
        <v>40954.572083333333</v>
      </c>
      <c r="C1104">
        <v>80</v>
      </c>
      <c r="D1104">
        <v>71.683784485000004</v>
      </c>
      <c r="E1104">
        <v>40</v>
      </c>
      <c r="F1104">
        <v>39.970535278</v>
      </c>
      <c r="G1104">
        <v>1325.3651123</v>
      </c>
      <c r="H1104">
        <v>1322.6623535000001</v>
      </c>
      <c r="I1104">
        <v>1340.6756591999999</v>
      </c>
      <c r="J1104">
        <v>1337.2653809000001</v>
      </c>
      <c r="K1104">
        <v>0</v>
      </c>
      <c r="L1104">
        <v>1650</v>
      </c>
      <c r="M1104">
        <v>1650</v>
      </c>
      <c r="N1104">
        <v>0</v>
      </c>
    </row>
    <row r="1105" spans="1:14" x14ac:dyDescent="0.25">
      <c r="A1105">
        <v>658.651971</v>
      </c>
      <c r="B1105" s="1">
        <f>DATE(2012,2,18) + TIME(15,38,50)</f>
        <v>40957.651967592596</v>
      </c>
      <c r="C1105">
        <v>80</v>
      </c>
      <c r="D1105">
        <v>71.431777953999998</v>
      </c>
      <c r="E1105">
        <v>40</v>
      </c>
      <c r="F1105">
        <v>39.970573424999998</v>
      </c>
      <c r="G1105">
        <v>1325.2951660000001</v>
      </c>
      <c r="H1105">
        <v>1322.5668945</v>
      </c>
      <c r="I1105">
        <v>1340.6719971</v>
      </c>
      <c r="J1105">
        <v>1337.2644043</v>
      </c>
      <c r="K1105">
        <v>0</v>
      </c>
      <c r="L1105">
        <v>1650</v>
      </c>
      <c r="M1105">
        <v>1650</v>
      </c>
      <c r="N1105">
        <v>0</v>
      </c>
    </row>
    <row r="1106" spans="1:14" x14ac:dyDescent="0.25">
      <c r="A1106">
        <v>661.81823399999996</v>
      </c>
      <c r="B1106" s="1">
        <f>DATE(2012,2,21) + TIME(19,38,15)</f>
        <v>40960.818229166667</v>
      </c>
      <c r="C1106">
        <v>80</v>
      </c>
      <c r="D1106">
        <v>71.170707703000005</v>
      </c>
      <c r="E1106">
        <v>40</v>
      </c>
      <c r="F1106">
        <v>39.970611572000003</v>
      </c>
      <c r="G1106">
        <v>1325.2250977000001</v>
      </c>
      <c r="H1106">
        <v>1322.4711914</v>
      </c>
      <c r="I1106">
        <v>1340.668457</v>
      </c>
      <c r="J1106">
        <v>1337.2633057</v>
      </c>
      <c r="K1106">
        <v>0</v>
      </c>
      <c r="L1106">
        <v>1650</v>
      </c>
      <c r="M1106">
        <v>1650</v>
      </c>
      <c r="N1106">
        <v>0</v>
      </c>
    </row>
    <row r="1107" spans="1:14" x14ac:dyDescent="0.25">
      <c r="A1107">
        <v>665.08040300000005</v>
      </c>
      <c r="B1107" s="1">
        <f>DATE(2012,2,25) + TIME(1,55,46)</f>
        <v>40964.080393518518</v>
      </c>
      <c r="C1107">
        <v>80</v>
      </c>
      <c r="D1107">
        <v>70.898834229000002</v>
      </c>
      <c r="E1107">
        <v>40</v>
      </c>
      <c r="F1107">
        <v>39.970653534</v>
      </c>
      <c r="G1107">
        <v>1325.1545410000001</v>
      </c>
      <c r="H1107">
        <v>1322.375</v>
      </c>
      <c r="I1107">
        <v>1340.6646728999999</v>
      </c>
      <c r="J1107">
        <v>1337.262207</v>
      </c>
      <c r="K1107">
        <v>0</v>
      </c>
      <c r="L1107">
        <v>1650</v>
      </c>
      <c r="M1107">
        <v>1650</v>
      </c>
      <c r="N1107">
        <v>0</v>
      </c>
    </row>
    <row r="1108" spans="1:14" x14ac:dyDescent="0.25">
      <c r="A1108">
        <v>668.36427100000003</v>
      </c>
      <c r="B1108" s="1">
        <f>DATE(2012,2,28) + TIME(8,44,33)</f>
        <v>40967.364270833335</v>
      </c>
      <c r="C1108">
        <v>80</v>
      </c>
      <c r="D1108">
        <v>70.616409301999994</v>
      </c>
      <c r="E1108">
        <v>40</v>
      </c>
      <c r="F1108">
        <v>39.970695495999998</v>
      </c>
      <c r="G1108">
        <v>1325.0834961</v>
      </c>
      <c r="H1108">
        <v>1322.2780762</v>
      </c>
      <c r="I1108">
        <v>1340.6608887</v>
      </c>
      <c r="J1108">
        <v>1337.2609863</v>
      </c>
      <c r="K1108">
        <v>0</v>
      </c>
      <c r="L1108">
        <v>1650</v>
      </c>
      <c r="M1108">
        <v>1650</v>
      </c>
      <c r="N1108">
        <v>0</v>
      </c>
    </row>
    <row r="1109" spans="1:14" x14ac:dyDescent="0.25">
      <c r="A1109">
        <v>670</v>
      </c>
      <c r="B1109" s="1">
        <f>DATE(2012,3,1) + TIME(0,0,0)</f>
        <v>40969</v>
      </c>
      <c r="C1109">
        <v>80</v>
      </c>
      <c r="D1109">
        <v>70.376426696999999</v>
      </c>
      <c r="E1109">
        <v>40</v>
      </c>
      <c r="F1109">
        <v>39.970710754000002</v>
      </c>
      <c r="G1109">
        <v>1325.0141602000001</v>
      </c>
      <c r="H1109">
        <v>1322.1859131000001</v>
      </c>
      <c r="I1109">
        <v>1340.6571045000001</v>
      </c>
      <c r="J1109">
        <v>1337.2597656</v>
      </c>
      <c r="K1109">
        <v>0</v>
      </c>
      <c r="L1109">
        <v>1650</v>
      </c>
      <c r="M1109">
        <v>1650</v>
      </c>
      <c r="N1109">
        <v>0</v>
      </c>
    </row>
    <row r="1110" spans="1:14" x14ac:dyDescent="0.25">
      <c r="A1110">
        <v>673.32586600000002</v>
      </c>
      <c r="B1110" s="1">
        <f>DATE(2012,3,4) + TIME(7,49,14)</f>
        <v>40972.325856481482</v>
      </c>
      <c r="C1110">
        <v>80</v>
      </c>
      <c r="D1110">
        <v>70.161460876000007</v>
      </c>
      <c r="E1110">
        <v>40</v>
      </c>
      <c r="F1110">
        <v>39.970756530999999</v>
      </c>
      <c r="G1110">
        <v>1324.9704589999999</v>
      </c>
      <c r="H1110">
        <v>1322.119751</v>
      </c>
      <c r="I1110">
        <v>1340.6552733999999</v>
      </c>
      <c r="J1110">
        <v>1337.2592772999999</v>
      </c>
      <c r="K1110">
        <v>0</v>
      </c>
      <c r="L1110">
        <v>1650</v>
      </c>
      <c r="M1110">
        <v>1650</v>
      </c>
      <c r="N1110">
        <v>0</v>
      </c>
    </row>
    <row r="1111" spans="1:14" x14ac:dyDescent="0.25">
      <c r="A1111">
        <v>676.75795300000004</v>
      </c>
      <c r="B1111" s="1">
        <f>DATE(2012,3,7) + TIME(18,11,27)</f>
        <v>40975.757951388892</v>
      </c>
      <c r="C1111">
        <v>80</v>
      </c>
      <c r="D1111">
        <v>69.876327515</v>
      </c>
      <c r="E1111">
        <v>40</v>
      </c>
      <c r="F1111">
        <v>39.970802307</v>
      </c>
      <c r="G1111">
        <v>1324.9069824000001</v>
      </c>
      <c r="H1111">
        <v>1322.0358887</v>
      </c>
      <c r="I1111">
        <v>1340.6514893000001</v>
      </c>
      <c r="J1111">
        <v>1337.2580565999999</v>
      </c>
      <c r="K1111">
        <v>0</v>
      </c>
      <c r="L1111">
        <v>1650</v>
      </c>
      <c r="M1111">
        <v>1650</v>
      </c>
      <c r="N1111">
        <v>0</v>
      </c>
    </row>
    <row r="1112" spans="1:14" x14ac:dyDescent="0.25">
      <c r="A1112">
        <v>680.29212900000005</v>
      </c>
      <c r="B1112" s="1">
        <f>DATE(2012,3,11) + TIME(7,0,39)</f>
        <v>40979.292118055557</v>
      </c>
      <c r="C1112">
        <v>80</v>
      </c>
      <c r="D1112">
        <v>69.565956115999995</v>
      </c>
      <c r="E1112">
        <v>40</v>
      </c>
      <c r="F1112">
        <v>39.970848083</v>
      </c>
      <c r="G1112">
        <v>1324.838501</v>
      </c>
      <c r="H1112">
        <v>1321.9429932</v>
      </c>
      <c r="I1112">
        <v>1340.6474608999999</v>
      </c>
      <c r="J1112">
        <v>1337.2567139</v>
      </c>
      <c r="K1112">
        <v>0</v>
      </c>
      <c r="L1112">
        <v>1650</v>
      </c>
      <c r="M1112">
        <v>1650</v>
      </c>
      <c r="N1112">
        <v>0</v>
      </c>
    </row>
    <row r="1113" spans="1:14" x14ac:dyDescent="0.25">
      <c r="A1113">
        <v>683.88847899999996</v>
      </c>
      <c r="B1113" s="1">
        <f>DATE(2012,3,14) + TIME(21,19,24)</f>
        <v>40982.888472222221</v>
      </c>
      <c r="C1113">
        <v>80</v>
      </c>
      <c r="D1113">
        <v>69.240440368999998</v>
      </c>
      <c r="E1113">
        <v>40</v>
      </c>
      <c r="F1113">
        <v>39.970893859999997</v>
      </c>
      <c r="G1113">
        <v>1324.7685547000001</v>
      </c>
      <c r="H1113">
        <v>1321.8475341999999</v>
      </c>
      <c r="I1113">
        <v>1340.6434326000001</v>
      </c>
      <c r="J1113">
        <v>1337.2553711</v>
      </c>
      <c r="K1113">
        <v>0</v>
      </c>
      <c r="L1113">
        <v>1650</v>
      </c>
      <c r="M1113">
        <v>1650</v>
      </c>
      <c r="N1113">
        <v>0</v>
      </c>
    </row>
    <row r="1114" spans="1:14" x14ac:dyDescent="0.25">
      <c r="A1114">
        <v>687.52571799999998</v>
      </c>
      <c r="B1114" s="1">
        <f>DATE(2012,3,18) + TIME(12,37,2)</f>
        <v>40986.525717592594</v>
      </c>
      <c r="C1114">
        <v>80</v>
      </c>
      <c r="D1114">
        <v>68.904197693</v>
      </c>
      <c r="E1114">
        <v>40</v>
      </c>
      <c r="F1114">
        <v>39.970939635999997</v>
      </c>
      <c r="G1114">
        <v>1324.6983643000001</v>
      </c>
      <c r="H1114">
        <v>1321.7515868999999</v>
      </c>
      <c r="I1114">
        <v>1340.6394043</v>
      </c>
      <c r="J1114">
        <v>1337.2539062000001</v>
      </c>
      <c r="K1114">
        <v>0</v>
      </c>
      <c r="L1114">
        <v>1650</v>
      </c>
      <c r="M1114">
        <v>1650</v>
      </c>
      <c r="N1114">
        <v>0</v>
      </c>
    </row>
    <row r="1115" spans="1:14" x14ac:dyDescent="0.25">
      <c r="A1115">
        <v>691.227754</v>
      </c>
      <c r="B1115" s="1">
        <f>DATE(2012,3,22) + TIME(5,27,57)</f>
        <v>40990.227743055555</v>
      </c>
      <c r="C1115">
        <v>80</v>
      </c>
      <c r="D1115">
        <v>68.558937072999996</v>
      </c>
      <c r="E1115">
        <v>40</v>
      </c>
      <c r="F1115">
        <v>39.970985413000001</v>
      </c>
      <c r="G1115">
        <v>1324.6287841999999</v>
      </c>
      <c r="H1115">
        <v>1321.6561279</v>
      </c>
      <c r="I1115">
        <v>1340.6352539</v>
      </c>
      <c r="J1115">
        <v>1337.2524414</v>
      </c>
      <c r="K1115">
        <v>0</v>
      </c>
      <c r="L1115">
        <v>1650</v>
      </c>
      <c r="M1115">
        <v>1650</v>
      </c>
      <c r="N1115">
        <v>0</v>
      </c>
    </row>
    <row r="1116" spans="1:14" x14ac:dyDescent="0.25">
      <c r="A1116">
        <v>695.02092200000004</v>
      </c>
      <c r="B1116" s="1">
        <f>DATE(2012,3,26) + TIME(0,30,7)</f>
        <v>40994.020914351851</v>
      </c>
      <c r="C1116">
        <v>80</v>
      </c>
      <c r="D1116">
        <v>68.202857971</v>
      </c>
      <c r="E1116">
        <v>40</v>
      </c>
      <c r="F1116">
        <v>39.971035004000001</v>
      </c>
      <c r="G1116">
        <v>1324.5595702999999</v>
      </c>
      <c r="H1116">
        <v>1321.5611572</v>
      </c>
      <c r="I1116">
        <v>1340.6311035000001</v>
      </c>
      <c r="J1116">
        <v>1337.2508545000001</v>
      </c>
      <c r="K1116">
        <v>0</v>
      </c>
      <c r="L1116">
        <v>1650</v>
      </c>
      <c r="M1116">
        <v>1650</v>
      </c>
      <c r="N1116">
        <v>0</v>
      </c>
    </row>
    <row r="1117" spans="1:14" x14ac:dyDescent="0.25">
      <c r="A1117">
        <v>698.92091400000004</v>
      </c>
      <c r="B1117" s="1">
        <f>DATE(2012,3,29) + TIME(22,6,6)</f>
        <v>40997.920902777776</v>
      </c>
      <c r="C1117">
        <v>80</v>
      </c>
      <c r="D1117">
        <v>67.833724975999999</v>
      </c>
      <c r="E1117">
        <v>40</v>
      </c>
      <c r="F1117">
        <v>39.971084595000001</v>
      </c>
      <c r="G1117">
        <v>1324.4904785000001</v>
      </c>
      <c r="H1117">
        <v>1321.4663086</v>
      </c>
      <c r="I1117">
        <v>1340.6267089999999</v>
      </c>
      <c r="J1117">
        <v>1337.2492675999999</v>
      </c>
      <c r="K1117">
        <v>0</v>
      </c>
      <c r="L1117">
        <v>1650</v>
      </c>
      <c r="M1117">
        <v>1650</v>
      </c>
      <c r="N1117">
        <v>0</v>
      </c>
    </row>
    <row r="1118" spans="1:14" x14ac:dyDescent="0.25">
      <c r="A1118">
        <v>701</v>
      </c>
      <c r="B1118" s="1">
        <f>DATE(2012,4,1) + TIME(0,0,0)</f>
        <v>41000</v>
      </c>
      <c r="C1118">
        <v>80</v>
      </c>
      <c r="D1118">
        <v>67.501327515</v>
      </c>
      <c r="E1118">
        <v>40</v>
      </c>
      <c r="F1118">
        <v>39.971103667999998</v>
      </c>
      <c r="G1118">
        <v>1324.4217529</v>
      </c>
      <c r="H1118">
        <v>1321.3745117000001</v>
      </c>
      <c r="I1118">
        <v>1340.6223144999999</v>
      </c>
      <c r="J1118">
        <v>1337.2474365</v>
      </c>
      <c r="K1118">
        <v>0</v>
      </c>
      <c r="L1118">
        <v>1650</v>
      </c>
      <c r="M1118">
        <v>1650</v>
      </c>
      <c r="N1118">
        <v>0</v>
      </c>
    </row>
    <row r="1119" spans="1:14" x14ac:dyDescent="0.25">
      <c r="A1119">
        <v>704.94136900000001</v>
      </c>
      <c r="B1119" s="1">
        <f>DATE(2012,4,4) + TIME(22,35,34)</f>
        <v>41003.941365740742</v>
      </c>
      <c r="C1119">
        <v>80</v>
      </c>
      <c r="D1119">
        <v>67.221870421999995</v>
      </c>
      <c r="E1119">
        <v>40</v>
      </c>
      <c r="F1119">
        <v>39.971160888999997</v>
      </c>
      <c r="G1119">
        <v>1324.3774414</v>
      </c>
      <c r="H1119">
        <v>1321.3070068</v>
      </c>
      <c r="I1119">
        <v>1340.6199951000001</v>
      </c>
      <c r="J1119">
        <v>1337.246582</v>
      </c>
      <c r="K1119">
        <v>0</v>
      </c>
      <c r="L1119">
        <v>1650</v>
      </c>
      <c r="M1119">
        <v>1650</v>
      </c>
      <c r="N1119">
        <v>0</v>
      </c>
    </row>
    <row r="1120" spans="1:14" x14ac:dyDescent="0.25">
      <c r="A1120">
        <v>708.99836800000003</v>
      </c>
      <c r="B1120" s="1">
        <f>DATE(2012,4,8) + TIME(23,57,39)</f>
        <v>41007.998368055552</v>
      </c>
      <c r="C1120">
        <v>80</v>
      </c>
      <c r="D1120">
        <v>66.843498229999994</v>
      </c>
      <c r="E1120">
        <v>40</v>
      </c>
      <c r="F1120">
        <v>39.971214293999999</v>
      </c>
      <c r="G1120">
        <v>1324.3154297000001</v>
      </c>
      <c r="H1120">
        <v>1321.2247314000001</v>
      </c>
      <c r="I1120">
        <v>1340.6154785000001</v>
      </c>
      <c r="J1120">
        <v>1337.2446289</v>
      </c>
      <c r="K1120">
        <v>0</v>
      </c>
      <c r="L1120">
        <v>1650</v>
      </c>
      <c r="M1120">
        <v>1650</v>
      </c>
      <c r="N1120">
        <v>0</v>
      </c>
    </row>
    <row r="1121" spans="1:14" x14ac:dyDescent="0.25">
      <c r="A1121">
        <v>713.16794100000004</v>
      </c>
      <c r="B1121" s="1">
        <f>DATE(2012,4,13) + TIME(4,1,50)</f>
        <v>41012.167939814812</v>
      </c>
      <c r="C1121">
        <v>80</v>
      </c>
      <c r="D1121">
        <v>66.435295104999994</v>
      </c>
      <c r="E1121">
        <v>40</v>
      </c>
      <c r="F1121">
        <v>39.971267699999999</v>
      </c>
      <c r="G1121">
        <v>1324.2487793</v>
      </c>
      <c r="H1121">
        <v>1321.1336670000001</v>
      </c>
      <c r="I1121">
        <v>1340.6108397999999</v>
      </c>
      <c r="J1121">
        <v>1337.2426757999999</v>
      </c>
      <c r="K1121">
        <v>0</v>
      </c>
      <c r="L1121">
        <v>1650</v>
      </c>
      <c r="M1121">
        <v>1650</v>
      </c>
      <c r="N1121">
        <v>0</v>
      </c>
    </row>
    <row r="1122" spans="1:14" x14ac:dyDescent="0.25">
      <c r="A1122">
        <v>717.410889</v>
      </c>
      <c r="B1122" s="1">
        <f>DATE(2012,4,17) + TIME(9,51,40)</f>
        <v>41016.410879629628</v>
      </c>
      <c r="C1122">
        <v>80</v>
      </c>
      <c r="D1122">
        <v>66.009704589999998</v>
      </c>
      <c r="E1122">
        <v>40</v>
      </c>
      <c r="F1122">
        <v>39.971321105999998</v>
      </c>
      <c r="G1122">
        <v>1324.1812743999999</v>
      </c>
      <c r="H1122">
        <v>1321.0407714999999</v>
      </c>
      <c r="I1122">
        <v>1340.6060791</v>
      </c>
      <c r="J1122">
        <v>1337.2406006000001</v>
      </c>
      <c r="K1122">
        <v>0</v>
      </c>
      <c r="L1122">
        <v>1650</v>
      </c>
      <c r="M1122">
        <v>1650</v>
      </c>
      <c r="N1122">
        <v>0</v>
      </c>
    </row>
    <row r="1123" spans="1:14" x14ac:dyDescent="0.25">
      <c r="A1123">
        <v>721.72449099999994</v>
      </c>
      <c r="B1123" s="1">
        <f>DATE(2012,4,21) + TIME(17,23,16)</f>
        <v>41020.724490740744</v>
      </c>
      <c r="C1123">
        <v>80</v>
      </c>
      <c r="D1123">
        <v>65.571357727000006</v>
      </c>
      <c r="E1123">
        <v>40</v>
      </c>
      <c r="F1123">
        <v>39.971378326</v>
      </c>
      <c r="G1123">
        <v>1324.1141356999999</v>
      </c>
      <c r="H1123">
        <v>1320.9481201000001</v>
      </c>
      <c r="I1123">
        <v>1340.6011963000001</v>
      </c>
      <c r="J1123">
        <v>1337.2384033000001</v>
      </c>
      <c r="K1123">
        <v>0</v>
      </c>
      <c r="L1123">
        <v>1650</v>
      </c>
      <c r="M1123">
        <v>1650</v>
      </c>
      <c r="N1123">
        <v>0</v>
      </c>
    </row>
    <row r="1124" spans="1:14" x14ac:dyDescent="0.25">
      <c r="A1124">
        <v>726.13930000000005</v>
      </c>
      <c r="B1124" s="1">
        <f>DATE(2012,4,26) + TIME(3,20,35)</f>
        <v>41025.139293981483</v>
      </c>
      <c r="C1124">
        <v>80</v>
      </c>
      <c r="D1124">
        <v>65.120994568</v>
      </c>
      <c r="E1124">
        <v>40</v>
      </c>
      <c r="F1124">
        <v>39.971435546999999</v>
      </c>
      <c r="G1124">
        <v>1324.0478516000001</v>
      </c>
      <c r="H1124">
        <v>1320.8563231999999</v>
      </c>
      <c r="I1124">
        <v>1340.5961914</v>
      </c>
      <c r="J1124">
        <v>1337.2362060999999</v>
      </c>
      <c r="K1124">
        <v>0</v>
      </c>
      <c r="L1124">
        <v>1650</v>
      </c>
      <c r="M1124">
        <v>1650</v>
      </c>
      <c r="N1124">
        <v>0</v>
      </c>
    </row>
    <row r="1125" spans="1:14" x14ac:dyDescent="0.25">
      <c r="A1125">
        <v>730.67156599999998</v>
      </c>
      <c r="B1125" s="1">
        <f>DATE(2012,4,30) + TIME(16,7,3)</f>
        <v>41029.6715625</v>
      </c>
      <c r="C1125">
        <v>80</v>
      </c>
      <c r="D1125">
        <v>64.656486510999997</v>
      </c>
      <c r="E1125">
        <v>40</v>
      </c>
      <c r="F1125">
        <v>39.971492767000001</v>
      </c>
      <c r="G1125">
        <v>1323.9820557</v>
      </c>
      <c r="H1125">
        <v>1320.7651367000001</v>
      </c>
      <c r="I1125">
        <v>1340.5911865</v>
      </c>
      <c r="J1125">
        <v>1337.2337646000001</v>
      </c>
      <c r="K1125">
        <v>0</v>
      </c>
      <c r="L1125">
        <v>1650</v>
      </c>
      <c r="M1125">
        <v>1650</v>
      </c>
      <c r="N1125">
        <v>0</v>
      </c>
    </row>
    <row r="1126" spans="1:14" x14ac:dyDescent="0.25">
      <c r="A1126">
        <v>731</v>
      </c>
      <c r="B1126" s="1">
        <f>DATE(2012,5,1) + TIME(0,0,0)</f>
        <v>41030</v>
      </c>
      <c r="C1126">
        <v>80</v>
      </c>
      <c r="D1126">
        <v>64.491081238000007</v>
      </c>
      <c r="E1126">
        <v>40</v>
      </c>
      <c r="F1126">
        <v>39.971492767000001</v>
      </c>
      <c r="G1126">
        <v>1323.9162598</v>
      </c>
      <c r="H1126">
        <v>1320.6889647999999</v>
      </c>
      <c r="I1126">
        <v>1340.5856934000001</v>
      </c>
      <c r="J1126">
        <v>1337.230957</v>
      </c>
      <c r="K1126">
        <v>0</v>
      </c>
      <c r="L1126">
        <v>1650</v>
      </c>
      <c r="M1126">
        <v>1650</v>
      </c>
      <c r="N1126">
        <v>0</v>
      </c>
    </row>
    <row r="1127" spans="1:14" x14ac:dyDescent="0.25">
      <c r="A1127">
        <v>731.000001</v>
      </c>
      <c r="B1127" s="1">
        <f>DATE(2012,5,1) + TIME(0,0,0)</f>
        <v>41030</v>
      </c>
      <c r="C1127">
        <v>80</v>
      </c>
      <c r="D1127">
        <v>64.491210937999995</v>
      </c>
      <c r="E1127">
        <v>40</v>
      </c>
      <c r="F1127">
        <v>39.971427917</v>
      </c>
      <c r="G1127">
        <v>1328.0683594</v>
      </c>
      <c r="H1127">
        <v>1324.7017822</v>
      </c>
      <c r="I1127">
        <v>1336.7000731999999</v>
      </c>
      <c r="J1127">
        <v>1333.7901611</v>
      </c>
      <c r="K1127">
        <v>1650</v>
      </c>
      <c r="L1127">
        <v>0</v>
      </c>
      <c r="M1127">
        <v>0</v>
      </c>
      <c r="N1127">
        <v>1650</v>
      </c>
    </row>
    <row r="1128" spans="1:14" x14ac:dyDescent="0.25">
      <c r="A1128">
        <v>731.00000399999999</v>
      </c>
      <c r="B1128" s="1">
        <f>DATE(2012,5,1) + TIME(0,0,0)</f>
        <v>41030</v>
      </c>
      <c r="C1128">
        <v>80</v>
      </c>
      <c r="D1128">
        <v>64.491455078000001</v>
      </c>
      <c r="E1128">
        <v>40</v>
      </c>
      <c r="F1128">
        <v>39.971298218000001</v>
      </c>
      <c r="G1128">
        <v>1329.2414550999999</v>
      </c>
      <c r="H1128">
        <v>1326.0845947</v>
      </c>
      <c r="I1128">
        <v>1335.6068115</v>
      </c>
      <c r="J1128">
        <v>1332.6967772999999</v>
      </c>
      <c r="K1128">
        <v>1650</v>
      </c>
      <c r="L1128">
        <v>0</v>
      </c>
      <c r="M1128">
        <v>0</v>
      </c>
      <c r="N1128">
        <v>1650</v>
      </c>
    </row>
    <row r="1129" spans="1:14" x14ac:dyDescent="0.25">
      <c r="A1129">
        <v>731.00001299999997</v>
      </c>
      <c r="B1129" s="1">
        <f>DATE(2012,5,1) + TIME(0,0,1)</f>
        <v>41030.000011574077</v>
      </c>
      <c r="C1129">
        <v>80</v>
      </c>
      <c r="D1129">
        <v>64.491859435999999</v>
      </c>
      <c r="E1129">
        <v>40</v>
      </c>
      <c r="F1129">
        <v>39.971099854000002</v>
      </c>
      <c r="G1129">
        <v>1330.9760742000001</v>
      </c>
      <c r="H1129">
        <v>1327.8676757999999</v>
      </c>
      <c r="I1129">
        <v>1333.9790039</v>
      </c>
      <c r="J1129">
        <v>1331.0693358999999</v>
      </c>
      <c r="K1129">
        <v>1650</v>
      </c>
      <c r="L1129">
        <v>0</v>
      </c>
      <c r="M1129">
        <v>0</v>
      </c>
      <c r="N1129">
        <v>1650</v>
      </c>
    </row>
    <row r="1130" spans="1:14" x14ac:dyDescent="0.25">
      <c r="A1130">
        <v>731.00004000000001</v>
      </c>
      <c r="B1130" s="1">
        <f>DATE(2012,5,1) + TIME(0,0,3)</f>
        <v>41030.000034722223</v>
      </c>
      <c r="C1130">
        <v>80</v>
      </c>
      <c r="D1130">
        <v>64.492637634000005</v>
      </c>
      <c r="E1130">
        <v>40</v>
      </c>
      <c r="F1130">
        <v>39.970882416000002</v>
      </c>
      <c r="G1130">
        <v>1332.9483643000001</v>
      </c>
      <c r="H1130">
        <v>1329.7695312000001</v>
      </c>
      <c r="I1130">
        <v>1332.1613769999999</v>
      </c>
      <c r="J1130">
        <v>1329.2529297000001</v>
      </c>
      <c r="K1130">
        <v>1650</v>
      </c>
      <c r="L1130">
        <v>0</v>
      </c>
      <c r="M1130">
        <v>0</v>
      </c>
      <c r="N1130">
        <v>1650</v>
      </c>
    </row>
    <row r="1131" spans="1:14" x14ac:dyDescent="0.25">
      <c r="A1131">
        <v>731.00012100000004</v>
      </c>
      <c r="B1131" s="1">
        <f>DATE(2012,5,1) + TIME(0,0,10)</f>
        <v>41030.000115740739</v>
      </c>
      <c r="C1131">
        <v>80</v>
      </c>
      <c r="D1131">
        <v>64.494506835999999</v>
      </c>
      <c r="E1131">
        <v>40</v>
      </c>
      <c r="F1131">
        <v>39.970657349</v>
      </c>
      <c r="G1131">
        <v>1334.9390868999999</v>
      </c>
      <c r="H1131">
        <v>1331.6809082</v>
      </c>
      <c r="I1131">
        <v>1330.3487548999999</v>
      </c>
      <c r="J1131">
        <v>1327.4414062000001</v>
      </c>
      <c r="K1131">
        <v>1650</v>
      </c>
      <c r="L1131">
        <v>0</v>
      </c>
      <c r="M1131">
        <v>0</v>
      </c>
      <c r="N1131">
        <v>1650</v>
      </c>
    </row>
    <row r="1132" spans="1:14" x14ac:dyDescent="0.25">
      <c r="A1132">
        <v>731.00036399999999</v>
      </c>
      <c r="B1132" s="1">
        <f>DATE(2012,5,1) + TIME(0,0,31)</f>
        <v>41030.000358796293</v>
      </c>
      <c r="C1132">
        <v>80</v>
      </c>
      <c r="D1132">
        <v>64.499694824000002</v>
      </c>
      <c r="E1132">
        <v>40</v>
      </c>
      <c r="F1132">
        <v>39.970420836999999</v>
      </c>
      <c r="G1132">
        <v>1336.9206543</v>
      </c>
      <c r="H1132">
        <v>1333.5861815999999</v>
      </c>
      <c r="I1132">
        <v>1328.5444336</v>
      </c>
      <c r="J1132">
        <v>1325.6301269999999</v>
      </c>
      <c r="K1132">
        <v>1650</v>
      </c>
      <c r="L1132">
        <v>0</v>
      </c>
      <c r="M1132">
        <v>0</v>
      </c>
      <c r="N1132">
        <v>1650</v>
      </c>
    </row>
    <row r="1133" spans="1:14" x14ac:dyDescent="0.25">
      <c r="A1133">
        <v>731.00109299999997</v>
      </c>
      <c r="B1133" s="1">
        <f>DATE(2012,5,1) + TIME(0,1,34)</f>
        <v>41030.001087962963</v>
      </c>
      <c r="C1133">
        <v>80</v>
      </c>
      <c r="D1133">
        <v>64.515068053999997</v>
      </c>
      <c r="E1133">
        <v>40</v>
      </c>
      <c r="F1133">
        <v>39.970142365000001</v>
      </c>
      <c r="G1133">
        <v>1338.8076172000001</v>
      </c>
      <c r="H1133">
        <v>1335.3978271000001</v>
      </c>
      <c r="I1133">
        <v>1326.7777100000001</v>
      </c>
      <c r="J1133">
        <v>1323.8325195</v>
      </c>
      <c r="K1133">
        <v>1650</v>
      </c>
      <c r="L1133">
        <v>0</v>
      </c>
      <c r="M1133">
        <v>0</v>
      </c>
      <c r="N1133">
        <v>1650</v>
      </c>
    </row>
    <row r="1134" spans="1:14" x14ac:dyDescent="0.25">
      <c r="A1134">
        <v>731.00328000000002</v>
      </c>
      <c r="B1134" s="1">
        <f>DATE(2012,5,1) + TIME(0,4,43)</f>
        <v>41030.003275462965</v>
      </c>
      <c r="C1134">
        <v>80</v>
      </c>
      <c r="D1134">
        <v>64.561271667</v>
      </c>
      <c r="E1134">
        <v>40</v>
      </c>
      <c r="F1134">
        <v>39.969764709000003</v>
      </c>
      <c r="G1134">
        <v>1340.3092041</v>
      </c>
      <c r="H1134">
        <v>1336.8439940999999</v>
      </c>
      <c r="I1134">
        <v>1325.2705077999999</v>
      </c>
      <c r="J1134">
        <v>1322.2878418</v>
      </c>
      <c r="K1134">
        <v>1650</v>
      </c>
      <c r="L1134">
        <v>0</v>
      </c>
      <c r="M1134">
        <v>0</v>
      </c>
      <c r="N1134">
        <v>1650</v>
      </c>
    </row>
    <row r="1135" spans="1:14" x14ac:dyDescent="0.25">
      <c r="A1135">
        <v>731.00984100000005</v>
      </c>
      <c r="B1135" s="1">
        <f>DATE(2012,5,1) + TIME(0,14,10)</f>
        <v>41030.009837962964</v>
      </c>
      <c r="C1135">
        <v>80</v>
      </c>
      <c r="D1135">
        <v>64.699142456000004</v>
      </c>
      <c r="E1135">
        <v>40</v>
      </c>
      <c r="F1135">
        <v>39.969070434999999</v>
      </c>
      <c r="G1135">
        <v>1341.1811522999999</v>
      </c>
      <c r="H1135">
        <v>1337.6983643000001</v>
      </c>
      <c r="I1135">
        <v>1324.3599853999999</v>
      </c>
      <c r="J1135">
        <v>1321.3577881000001</v>
      </c>
      <c r="K1135">
        <v>1650</v>
      </c>
      <c r="L1135">
        <v>0</v>
      </c>
      <c r="M1135">
        <v>0</v>
      </c>
      <c r="N1135">
        <v>1650</v>
      </c>
    </row>
    <row r="1136" spans="1:14" x14ac:dyDescent="0.25">
      <c r="A1136">
        <v>731.02952400000004</v>
      </c>
      <c r="B1136" s="1">
        <f>DATE(2012,5,1) + TIME(0,42,30)</f>
        <v>41030.029513888891</v>
      </c>
      <c r="C1136">
        <v>80</v>
      </c>
      <c r="D1136">
        <v>65.101615906000006</v>
      </c>
      <c r="E1136">
        <v>40</v>
      </c>
      <c r="F1136">
        <v>39.967288971000002</v>
      </c>
      <c r="G1136">
        <v>1341.4661865</v>
      </c>
      <c r="H1136">
        <v>1338.0026855000001</v>
      </c>
      <c r="I1136">
        <v>1324.0820312000001</v>
      </c>
      <c r="J1136">
        <v>1321.0744629000001</v>
      </c>
      <c r="K1136">
        <v>1650</v>
      </c>
      <c r="L1136">
        <v>0</v>
      </c>
      <c r="M1136">
        <v>0</v>
      </c>
      <c r="N1136">
        <v>1650</v>
      </c>
    </row>
    <row r="1137" spans="1:14" x14ac:dyDescent="0.25">
      <c r="A1137">
        <v>731.05837599999995</v>
      </c>
      <c r="B1137" s="1">
        <f>DATE(2012,5,1) + TIME(1,24,3)</f>
        <v>41030.058368055557</v>
      </c>
      <c r="C1137">
        <v>80</v>
      </c>
      <c r="D1137">
        <v>65.669242858999993</v>
      </c>
      <c r="E1137">
        <v>40</v>
      </c>
      <c r="F1137">
        <v>39.964756012000002</v>
      </c>
      <c r="G1137">
        <v>1341.4831543</v>
      </c>
      <c r="H1137">
        <v>1338.0462646000001</v>
      </c>
      <c r="I1137">
        <v>1324.0560303</v>
      </c>
      <c r="J1137">
        <v>1321.0478516000001</v>
      </c>
      <c r="K1137">
        <v>1650</v>
      </c>
      <c r="L1137">
        <v>0</v>
      </c>
      <c r="M1137">
        <v>0</v>
      </c>
      <c r="N1137">
        <v>1650</v>
      </c>
    </row>
    <row r="1138" spans="1:14" x14ac:dyDescent="0.25">
      <c r="A1138">
        <v>731.08777199999997</v>
      </c>
      <c r="B1138" s="1">
        <f>DATE(2012,5,1) + TIME(2,6,23)</f>
        <v>41030.087766203702</v>
      </c>
      <c r="C1138">
        <v>80</v>
      </c>
      <c r="D1138">
        <v>66.226432799999998</v>
      </c>
      <c r="E1138">
        <v>40</v>
      </c>
      <c r="F1138">
        <v>39.962200164999999</v>
      </c>
      <c r="G1138">
        <v>1341.4708252</v>
      </c>
      <c r="H1138">
        <v>1338.0526123</v>
      </c>
      <c r="I1138">
        <v>1324.0562743999999</v>
      </c>
      <c r="J1138">
        <v>1321.0479736</v>
      </c>
      <c r="K1138">
        <v>1650</v>
      </c>
      <c r="L1138">
        <v>0</v>
      </c>
      <c r="M1138">
        <v>0</v>
      </c>
      <c r="N1138">
        <v>1650</v>
      </c>
    </row>
    <row r="1139" spans="1:14" x14ac:dyDescent="0.25">
      <c r="A1139">
        <v>731.11774800000001</v>
      </c>
      <c r="B1139" s="1">
        <f>DATE(2012,5,1) + TIME(2,49,33)</f>
        <v>41030.117743055554</v>
      </c>
      <c r="C1139">
        <v>80</v>
      </c>
      <c r="D1139">
        <v>66.773429871000005</v>
      </c>
      <c r="E1139">
        <v>40</v>
      </c>
      <c r="F1139">
        <v>39.9596138</v>
      </c>
      <c r="G1139">
        <v>1341.4542236</v>
      </c>
      <c r="H1139">
        <v>1338.0533447</v>
      </c>
      <c r="I1139">
        <v>1324.0570068</v>
      </c>
      <c r="J1139">
        <v>1321.0485839999999</v>
      </c>
      <c r="K1139">
        <v>1650</v>
      </c>
      <c r="L1139">
        <v>0</v>
      </c>
      <c r="M1139">
        <v>0</v>
      </c>
      <c r="N1139">
        <v>1650</v>
      </c>
    </row>
    <row r="1140" spans="1:14" x14ac:dyDescent="0.25">
      <c r="A1140">
        <v>731.14832999999999</v>
      </c>
      <c r="B1140" s="1">
        <f>DATE(2012,5,1) + TIME(3,33,35)</f>
        <v>41030.148321759261</v>
      </c>
      <c r="C1140">
        <v>80</v>
      </c>
      <c r="D1140">
        <v>67.310287475999999</v>
      </c>
      <c r="E1140">
        <v>40</v>
      </c>
      <c r="F1140">
        <v>39.956993103000002</v>
      </c>
      <c r="G1140">
        <v>1341.4392089999999</v>
      </c>
      <c r="H1140">
        <v>1338.0543213000001</v>
      </c>
      <c r="I1140">
        <v>1324.0573730000001</v>
      </c>
      <c r="J1140">
        <v>1321.0488281</v>
      </c>
      <c r="K1140">
        <v>1650</v>
      </c>
      <c r="L1140">
        <v>0</v>
      </c>
      <c r="M1140">
        <v>0</v>
      </c>
      <c r="N1140">
        <v>1650</v>
      </c>
    </row>
    <row r="1141" spans="1:14" x14ac:dyDescent="0.25">
      <c r="A1141">
        <v>731.17954699999996</v>
      </c>
      <c r="B1141" s="1">
        <f>DATE(2012,5,1) + TIME(4,18,32)</f>
        <v>41030.179537037038</v>
      </c>
      <c r="C1141">
        <v>80</v>
      </c>
      <c r="D1141">
        <v>67.837051392000006</v>
      </c>
      <c r="E1141">
        <v>40</v>
      </c>
      <c r="F1141">
        <v>39.954338073999999</v>
      </c>
      <c r="G1141">
        <v>1341.4267577999999</v>
      </c>
      <c r="H1141">
        <v>1338.0563964999999</v>
      </c>
      <c r="I1141">
        <v>1324.0576172000001</v>
      </c>
      <c r="J1141">
        <v>1321.0489502</v>
      </c>
      <c r="K1141">
        <v>1650</v>
      </c>
      <c r="L1141">
        <v>0</v>
      </c>
      <c r="M1141">
        <v>0</v>
      </c>
      <c r="N1141">
        <v>1650</v>
      </c>
    </row>
    <row r="1142" spans="1:14" x14ac:dyDescent="0.25">
      <c r="A1142">
        <v>731.21142899999995</v>
      </c>
      <c r="B1142" s="1">
        <f>DATE(2012,5,1) + TIME(5,4,27)</f>
        <v>41030.211423611108</v>
      </c>
      <c r="C1142">
        <v>80</v>
      </c>
      <c r="D1142">
        <v>68.353759765999996</v>
      </c>
      <c r="E1142">
        <v>40</v>
      </c>
      <c r="F1142">
        <v>39.951648712000001</v>
      </c>
      <c r="G1142">
        <v>1341.4167480000001</v>
      </c>
      <c r="H1142">
        <v>1338.0598144999999</v>
      </c>
      <c r="I1142">
        <v>1324.0578613</v>
      </c>
      <c r="J1142">
        <v>1321.0489502</v>
      </c>
      <c r="K1142">
        <v>1650</v>
      </c>
      <c r="L1142">
        <v>0</v>
      </c>
      <c r="M1142">
        <v>0</v>
      </c>
      <c r="N1142">
        <v>1650</v>
      </c>
    </row>
    <row r="1143" spans="1:14" x14ac:dyDescent="0.25">
      <c r="A1143">
        <v>731.24400700000001</v>
      </c>
      <c r="B1143" s="1">
        <f>DATE(2012,5,1) + TIME(5,51,22)</f>
        <v>41030.244004629632</v>
      </c>
      <c r="C1143">
        <v>80</v>
      </c>
      <c r="D1143">
        <v>68.860404967999997</v>
      </c>
      <c r="E1143">
        <v>40</v>
      </c>
      <c r="F1143">
        <v>39.948925017999997</v>
      </c>
      <c r="G1143">
        <v>1341.4091797000001</v>
      </c>
      <c r="H1143">
        <v>1338.0644531</v>
      </c>
      <c r="I1143">
        <v>1324.0579834</v>
      </c>
      <c r="J1143">
        <v>1321.0489502</v>
      </c>
      <c r="K1143">
        <v>1650</v>
      </c>
      <c r="L1143">
        <v>0</v>
      </c>
      <c r="M1143">
        <v>0</v>
      </c>
      <c r="N1143">
        <v>1650</v>
      </c>
    </row>
    <row r="1144" spans="1:14" x14ac:dyDescent="0.25">
      <c r="A1144">
        <v>731.27731700000004</v>
      </c>
      <c r="B1144" s="1">
        <f>DATE(2012,5,1) + TIME(6,39,20)</f>
        <v>41030.277314814812</v>
      </c>
      <c r="C1144">
        <v>80</v>
      </c>
      <c r="D1144">
        <v>69.356987000000004</v>
      </c>
      <c r="E1144">
        <v>40</v>
      </c>
      <c r="F1144">
        <v>39.946159363</v>
      </c>
      <c r="G1144">
        <v>1341.4039307</v>
      </c>
      <c r="H1144">
        <v>1338.0703125</v>
      </c>
      <c r="I1144">
        <v>1324.0582274999999</v>
      </c>
      <c r="J1144">
        <v>1321.0489502</v>
      </c>
      <c r="K1144">
        <v>1650</v>
      </c>
      <c r="L1144">
        <v>0</v>
      </c>
      <c r="M1144">
        <v>0</v>
      </c>
      <c r="N1144">
        <v>1650</v>
      </c>
    </row>
    <row r="1145" spans="1:14" x14ac:dyDescent="0.25">
      <c r="A1145">
        <v>731.31138799999997</v>
      </c>
      <c r="B1145" s="1">
        <f>DATE(2012,5,1) + TIME(7,28,23)</f>
        <v>41030.311377314814</v>
      </c>
      <c r="C1145">
        <v>80</v>
      </c>
      <c r="D1145">
        <v>69.843391417999996</v>
      </c>
      <c r="E1145">
        <v>40</v>
      </c>
      <c r="F1145">
        <v>39.943355560000001</v>
      </c>
      <c r="G1145">
        <v>1341.4011230000001</v>
      </c>
      <c r="H1145">
        <v>1338.0773925999999</v>
      </c>
      <c r="I1145">
        <v>1324.0583495999999</v>
      </c>
      <c r="J1145">
        <v>1321.0489502</v>
      </c>
      <c r="K1145">
        <v>1650</v>
      </c>
      <c r="L1145">
        <v>0</v>
      </c>
      <c r="M1145">
        <v>0</v>
      </c>
      <c r="N1145">
        <v>1650</v>
      </c>
    </row>
    <row r="1146" spans="1:14" x14ac:dyDescent="0.25">
      <c r="A1146">
        <v>731.34626300000002</v>
      </c>
      <c r="B1146" s="1">
        <f>DATE(2012,5,1) + TIME(8,18,37)</f>
        <v>41030.346261574072</v>
      </c>
      <c r="C1146">
        <v>80</v>
      </c>
      <c r="D1146">
        <v>70.319396972999996</v>
      </c>
      <c r="E1146">
        <v>40</v>
      </c>
      <c r="F1146">
        <v>39.940505981000001</v>
      </c>
      <c r="G1146">
        <v>1341.4003906</v>
      </c>
      <c r="H1146">
        <v>1338.0855713000001</v>
      </c>
      <c r="I1146">
        <v>1324.0584716999999</v>
      </c>
      <c r="J1146">
        <v>1321.0489502</v>
      </c>
      <c r="K1146">
        <v>1650</v>
      </c>
      <c r="L1146">
        <v>0</v>
      </c>
      <c r="M1146">
        <v>0</v>
      </c>
      <c r="N1146">
        <v>1650</v>
      </c>
    </row>
    <row r="1147" spans="1:14" x14ac:dyDescent="0.25">
      <c r="A1147">
        <v>731.38198399999999</v>
      </c>
      <c r="B1147" s="1">
        <f>DATE(2012,5,1) + TIME(9,10,3)</f>
        <v>41030.381979166668</v>
      </c>
      <c r="C1147">
        <v>80</v>
      </c>
      <c r="D1147">
        <v>70.785095214999998</v>
      </c>
      <c r="E1147">
        <v>40</v>
      </c>
      <c r="F1147">
        <v>39.937610626000001</v>
      </c>
      <c r="G1147">
        <v>1341.4017334</v>
      </c>
      <c r="H1147">
        <v>1338.0947266000001</v>
      </c>
      <c r="I1147">
        <v>1324.0585937999999</v>
      </c>
      <c r="J1147">
        <v>1321.0488281</v>
      </c>
      <c r="K1147">
        <v>1650</v>
      </c>
      <c r="L1147">
        <v>0</v>
      </c>
      <c r="M1147">
        <v>0</v>
      </c>
      <c r="N1147">
        <v>1650</v>
      </c>
    </row>
    <row r="1148" spans="1:14" x14ac:dyDescent="0.25">
      <c r="A1148">
        <v>731.41859699999998</v>
      </c>
      <c r="B1148" s="1">
        <f>DATE(2012,5,1) + TIME(10,2,46)</f>
        <v>41030.418587962966</v>
      </c>
      <c r="C1148">
        <v>80</v>
      </c>
      <c r="D1148">
        <v>71.240509032999995</v>
      </c>
      <c r="E1148">
        <v>40</v>
      </c>
      <c r="F1148">
        <v>39.934669495000001</v>
      </c>
      <c r="G1148">
        <v>1341.4051514</v>
      </c>
      <c r="H1148">
        <v>1338.1049805</v>
      </c>
      <c r="I1148">
        <v>1324.0587158000001</v>
      </c>
      <c r="J1148">
        <v>1321.0487060999999</v>
      </c>
      <c r="K1148">
        <v>1650</v>
      </c>
      <c r="L1148">
        <v>0</v>
      </c>
      <c r="M1148">
        <v>0</v>
      </c>
      <c r="N1148">
        <v>1650</v>
      </c>
    </row>
    <row r="1149" spans="1:14" x14ac:dyDescent="0.25">
      <c r="A1149">
        <v>731.45608900000002</v>
      </c>
      <c r="B1149" s="1">
        <f>DATE(2012,5,1) + TIME(10,56,46)</f>
        <v>41030.456087962964</v>
      </c>
      <c r="C1149">
        <v>80</v>
      </c>
      <c r="D1149">
        <v>71.684890746999997</v>
      </c>
      <c r="E1149">
        <v>40</v>
      </c>
      <c r="F1149">
        <v>39.931682586999997</v>
      </c>
      <c r="G1149">
        <v>1341.4105225000001</v>
      </c>
      <c r="H1149">
        <v>1338.1162108999999</v>
      </c>
      <c r="I1149">
        <v>1324.0588379000001</v>
      </c>
      <c r="J1149">
        <v>1321.0487060999999</v>
      </c>
      <c r="K1149">
        <v>1650</v>
      </c>
      <c r="L1149">
        <v>0</v>
      </c>
      <c r="M1149">
        <v>0</v>
      </c>
      <c r="N1149">
        <v>1650</v>
      </c>
    </row>
    <row r="1150" spans="1:14" x14ac:dyDescent="0.25">
      <c r="A1150">
        <v>731.49447199999997</v>
      </c>
      <c r="B1150" s="1">
        <f>DATE(2012,5,1) + TIME(11,52,2)</f>
        <v>41030.494467592594</v>
      </c>
      <c r="C1150">
        <v>80</v>
      </c>
      <c r="D1150">
        <v>72.117835998999993</v>
      </c>
      <c r="E1150">
        <v>40</v>
      </c>
      <c r="F1150">
        <v>39.928649901999997</v>
      </c>
      <c r="G1150">
        <v>1341.4177245999999</v>
      </c>
      <c r="H1150">
        <v>1338.128418</v>
      </c>
      <c r="I1150">
        <v>1324.0588379000001</v>
      </c>
      <c r="J1150">
        <v>1321.0485839999999</v>
      </c>
      <c r="K1150">
        <v>1650</v>
      </c>
      <c r="L1150">
        <v>0</v>
      </c>
      <c r="M1150">
        <v>0</v>
      </c>
      <c r="N1150">
        <v>1650</v>
      </c>
    </row>
    <row r="1151" spans="1:14" x14ac:dyDescent="0.25">
      <c r="A1151">
        <v>731.53379299999995</v>
      </c>
      <c r="B1151" s="1">
        <f>DATE(2012,5,1) + TIME(12,48,39)</f>
        <v>41030.533784722225</v>
      </c>
      <c r="C1151">
        <v>80</v>
      </c>
      <c r="D1151">
        <v>72.539299010999997</v>
      </c>
      <c r="E1151">
        <v>40</v>
      </c>
      <c r="F1151">
        <v>39.925567627</v>
      </c>
      <c r="G1151">
        <v>1341.4267577999999</v>
      </c>
      <c r="H1151">
        <v>1338.1414795000001</v>
      </c>
      <c r="I1151">
        <v>1324.0589600000001</v>
      </c>
      <c r="J1151">
        <v>1321.0483397999999</v>
      </c>
      <c r="K1151">
        <v>1650</v>
      </c>
      <c r="L1151">
        <v>0</v>
      </c>
      <c r="M1151">
        <v>0</v>
      </c>
      <c r="N1151">
        <v>1650</v>
      </c>
    </row>
    <row r="1152" spans="1:14" x14ac:dyDescent="0.25">
      <c r="A1152">
        <v>731.57409500000006</v>
      </c>
      <c r="B1152" s="1">
        <f>DATE(2012,5,1) + TIME(13,46,41)</f>
        <v>41030.57408564815</v>
      </c>
      <c r="C1152">
        <v>80</v>
      </c>
      <c r="D1152">
        <v>72.949172974000007</v>
      </c>
      <c r="E1152">
        <v>40</v>
      </c>
      <c r="F1152">
        <v>39.922435759999999</v>
      </c>
      <c r="G1152">
        <v>1341.4373779</v>
      </c>
      <c r="H1152">
        <v>1338.1553954999999</v>
      </c>
      <c r="I1152">
        <v>1324.0589600000001</v>
      </c>
      <c r="J1152">
        <v>1321.0482178</v>
      </c>
      <c r="K1152">
        <v>1650</v>
      </c>
      <c r="L1152">
        <v>0</v>
      </c>
      <c r="M1152">
        <v>0</v>
      </c>
      <c r="N1152">
        <v>1650</v>
      </c>
    </row>
    <row r="1153" spans="1:14" x14ac:dyDescent="0.25">
      <c r="A1153">
        <v>731.61543300000005</v>
      </c>
      <c r="B1153" s="1">
        <f>DATE(2012,5,1) + TIME(14,46,13)</f>
        <v>41030.615428240744</v>
      </c>
      <c r="C1153">
        <v>80</v>
      </c>
      <c r="D1153">
        <v>73.347419739000003</v>
      </c>
      <c r="E1153">
        <v>40</v>
      </c>
      <c r="F1153">
        <v>39.919250488000003</v>
      </c>
      <c r="G1153">
        <v>1341.4494629000001</v>
      </c>
      <c r="H1153">
        <v>1338.1700439000001</v>
      </c>
      <c r="I1153">
        <v>1324.059082</v>
      </c>
      <c r="J1153">
        <v>1321.0480957</v>
      </c>
      <c r="K1153">
        <v>1650</v>
      </c>
      <c r="L1153">
        <v>0</v>
      </c>
      <c r="M1153">
        <v>0</v>
      </c>
      <c r="N1153">
        <v>1650</v>
      </c>
    </row>
    <row r="1154" spans="1:14" x14ac:dyDescent="0.25">
      <c r="A1154">
        <v>731.65786500000002</v>
      </c>
      <c r="B1154" s="1">
        <f>DATE(2012,5,1) + TIME(15,47,19)</f>
        <v>41030.657858796294</v>
      </c>
      <c r="C1154">
        <v>80</v>
      </c>
      <c r="D1154">
        <v>73.734001160000005</v>
      </c>
      <c r="E1154">
        <v>40</v>
      </c>
      <c r="F1154">
        <v>39.916007995999998</v>
      </c>
      <c r="G1154">
        <v>1341.4631348</v>
      </c>
      <c r="H1154">
        <v>1338.1853027</v>
      </c>
      <c r="I1154">
        <v>1324.059082</v>
      </c>
      <c r="J1154">
        <v>1321.0478516000001</v>
      </c>
      <c r="K1154">
        <v>1650</v>
      </c>
      <c r="L1154">
        <v>0</v>
      </c>
      <c r="M1154">
        <v>0</v>
      </c>
      <c r="N1154">
        <v>1650</v>
      </c>
    </row>
    <row r="1155" spans="1:14" x14ac:dyDescent="0.25">
      <c r="A1155">
        <v>731.70145200000002</v>
      </c>
      <c r="B1155" s="1">
        <f>DATE(2012,5,1) + TIME(16,50,5)</f>
        <v>41030.70144675926</v>
      </c>
      <c r="C1155">
        <v>80</v>
      </c>
      <c r="D1155">
        <v>74.108848571999999</v>
      </c>
      <c r="E1155">
        <v>40</v>
      </c>
      <c r="F1155">
        <v>39.912708281999997</v>
      </c>
      <c r="G1155">
        <v>1341.4780272999999</v>
      </c>
      <c r="H1155">
        <v>1338.2012939000001</v>
      </c>
      <c r="I1155">
        <v>1324.0592041</v>
      </c>
      <c r="J1155">
        <v>1321.0477295000001</v>
      </c>
      <c r="K1155">
        <v>1650</v>
      </c>
      <c r="L1155">
        <v>0</v>
      </c>
      <c r="M1155">
        <v>0</v>
      </c>
      <c r="N1155">
        <v>1650</v>
      </c>
    </row>
    <row r="1156" spans="1:14" x14ac:dyDescent="0.25">
      <c r="A1156">
        <v>731.74625700000001</v>
      </c>
      <c r="B1156" s="1">
        <f>DATE(2012,5,1) + TIME(17,54,36)</f>
        <v>41030.746249999997</v>
      </c>
      <c r="C1156">
        <v>80</v>
      </c>
      <c r="D1156">
        <v>74.471878051999994</v>
      </c>
      <c r="E1156">
        <v>40</v>
      </c>
      <c r="F1156">
        <v>39.909343718999999</v>
      </c>
      <c r="G1156">
        <v>1341.4943848</v>
      </c>
      <c r="H1156">
        <v>1338.2178954999999</v>
      </c>
      <c r="I1156">
        <v>1324.0592041</v>
      </c>
      <c r="J1156">
        <v>1321.0474853999999</v>
      </c>
      <c r="K1156">
        <v>1650</v>
      </c>
      <c r="L1156">
        <v>0</v>
      </c>
      <c r="M1156">
        <v>0</v>
      </c>
      <c r="N1156">
        <v>1650</v>
      </c>
    </row>
    <row r="1157" spans="1:14" x14ac:dyDescent="0.25">
      <c r="A1157">
        <v>731.79235200000005</v>
      </c>
      <c r="B1157" s="1">
        <f>DATE(2012,5,1) + TIME(19,0,59)</f>
        <v>41030.792349537034</v>
      </c>
      <c r="C1157">
        <v>80</v>
      </c>
      <c r="D1157">
        <v>74.823005675999994</v>
      </c>
      <c r="E1157">
        <v>40</v>
      </c>
      <c r="F1157">
        <v>39.905914307000003</v>
      </c>
      <c r="G1157">
        <v>1341.5117187999999</v>
      </c>
      <c r="H1157">
        <v>1338.2351074000001</v>
      </c>
      <c r="I1157">
        <v>1324.0592041</v>
      </c>
      <c r="J1157">
        <v>1321.0472411999999</v>
      </c>
      <c r="K1157">
        <v>1650</v>
      </c>
      <c r="L1157">
        <v>0</v>
      </c>
      <c r="M1157">
        <v>0</v>
      </c>
      <c r="N1157">
        <v>1650</v>
      </c>
    </row>
    <row r="1158" spans="1:14" x14ac:dyDescent="0.25">
      <c r="A1158">
        <v>731.83981000000006</v>
      </c>
      <c r="B1158" s="1">
        <f>DATE(2012,5,1) + TIME(20,9,19)</f>
        <v>41030.839803240742</v>
      </c>
      <c r="C1158">
        <v>80</v>
      </c>
      <c r="D1158">
        <v>75.162040709999999</v>
      </c>
      <c r="E1158">
        <v>40</v>
      </c>
      <c r="F1158">
        <v>39.902416229000004</v>
      </c>
      <c r="G1158">
        <v>1341.5303954999999</v>
      </c>
      <c r="H1158">
        <v>1338.2526855000001</v>
      </c>
      <c r="I1158">
        <v>1324.0592041</v>
      </c>
      <c r="J1158">
        <v>1321.0469971</v>
      </c>
      <c r="K1158">
        <v>1650</v>
      </c>
      <c r="L1158">
        <v>0</v>
      </c>
      <c r="M1158">
        <v>0</v>
      </c>
      <c r="N1158">
        <v>1650</v>
      </c>
    </row>
    <row r="1159" spans="1:14" x14ac:dyDescent="0.25">
      <c r="A1159">
        <v>731.88871300000005</v>
      </c>
      <c r="B1159" s="1">
        <f>DATE(2012,5,1) + TIME(21,19,44)</f>
        <v>41030.888703703706</v>
      </c>
      <c r="C1159">
        <v>80</v>
      </c>
      <c r="D1159">
        <v>75.488891601999995</v>
      </c>
      <c r="E1159">
        <v>40</v>
      </c>
      <c r="F1159">
        <v>39.898841857999997</v>
      </c>
      <c r="G1159">
        <v>1341.5499268000001</v>
      </c>
      <c r="H1159">
        <v>1338.270874</v>
      </c>
      <c r="I1159">
        <v>1324.0592041</v>
      </c>
      <c r="J1159">
        <v>1321.0467529</v>
      </c>
      <c r="K1159">
        <v>1650</v>
      </c>
      <c r="L1159">
        <v>0</v>
      </c>
      <c r="M1159">
        <v>0</v>
      </c>
      <c r="N1159">
        <v>1650</v>
      </c>
    </row>
    <row r="1160" spans="1:14" x14ac:dyDescent="0.25">
      <c r="A1160">
        <v>731.93915000000004</v>
      </c>
      <c r="B1160" s="1">
        <f>DATE(2012,5,1) + TIME(22,32,22)</f>
        <v>41030.939143518517</v>
      </c>
      <c r="C1160">
        <v>80</v>
      </c>
      <c r="D1160">
        <v>75.803611755000006</v>
      </c>
      <c r="E1160">
        <v>40</v>
      </c>
      <c r="F1160">
        <v>39.895187378000003</v>
      </c>
      <c r="G1160">
        <v>1341.5704346</v>
      </c>
      <c r="H1160">
        <v>1338.2893065999999</v>
      </c>
      <c r="I1160">
        <v>1324.0592041</v>
      </c>
      <c r="J1160">
        <v>1321.0465088000001</v>
      </c>
      <c r="K1160">
        <v>1650</v>
      </c>
      <c r="L1160">
        <v>0</v>
      </c>
      <c r="M1160">
        <v>0</v>
      </c>
      <c r="N1160">
        <v>1650</v>
      </c>
    </row>
    <row r="1161" spans="1:14" x14ac:dyDescent="0.25">
      <c r="A1161">
        <v>731.99121700000001</v>
      </c>
      <c r="B1161" s="1">
        <f>DATE(2012,5,1) + TIME(23,47,21)</f>
        <v>41030.991215277776</v>
      </c>
      <c r="C1161">
        <v>80</v>
      </c>
      <c r="D1161">
        <v>76.106132506999998</v>
      </c>
      <c r="E1161">
        <v>40</v>
      </c>
      <c r="F1161">
        <v>39.891452788999999</v>
      </c>
      <c r="G1161">
        <v>1341.5919189000001</v>
      </c>
      <c r="H1161">
        <v>1338.3082274999999</v>
      </c>
      <c r="I1161">
        <v>1324.0592041</v>
      </c>
      <c r="J1161">
        <v>1321.0461425999999</v>
      </c>
      <c r="K1161">
        <v>1650</v>
      </c>
      <c r="L1161">
        <v>0</v>
      </c>
      <c r="M1161">
        <v>0</v>
      </c>
      <c r="N1161">
        <v>1650</v>
      </c>
    </row>
    <row r="1162" spans="1:14" x14ac:dyDescent="0.25">
      <c r="A1162">
        <v>732.045028</v>
      </c>
      <c r="B1162" s="1">
        <f>DATE(2012,5,2) + TIME(1,4,50)</f>
        <v>41031.045023148145</v>
      </c>
      <c r="C1162">
        <v>80</v>
      </c>
      <c r="D1162">
        <v>76.396453856999997</v>
      </c>
      <c r="E1162">
        <v>40</v>
      </c>
      <c r="F1162">
        <v>39.887626648000001</v>
      </c>
      <c r="G1162">
        <v>1341.6141356999999</v>
      </c>
      <c r="H1162">
        <v>1338.3273925999999</v>
      </c>
      <c r="I1162">
        <v>1324.0592041</v>
      </c>
      <c r="J1162">
        <v>1321.0458983999999</v>
      </c>
      <c r="K1162">
        <v>1650</v>
      </c>
      <c r="L1162">
        <v>0</v>
      </c>
      <c r="M1162">
        <v>0</v>
      </c>
      <c r="N1162">
        <v>1650</v>
      </c>
    </row>
    <row r="1163" spans="1:14" x14ac:dyDescent="0.25">
      <c r="A1163">
        <v>732.10070599999995</v>
      </c>
      <c r="B1163" s="1">
        <f>DATE(2012,5,2) + TIME(2,25,0)</f>
        <v>41031.100694444445</v>
      </c>
      <c r="C1163">
        <v>80</v>
      </c>
      <c r="D1163">
        <v>76.674537658999995</v>
      </c>
      <c r="E1163">
        <v>40</v>
      </c>
      <c r="F1163">
        <v>39.883705139</v>
      </c>
      <c r="G1163">
        <v>1341.6369629000001</v>
      </c>
      <c r="H1163">
        <v>1338.3469238</v>
      </c>
      <c r="I1163">
        <v>1324.059082</v>
      </c>
      <c r="J1163">
        <v>1321.0455322</v>
      </c>
      <c r="K1163">
        <v>1650</v>
      </c>
      <c r="L1163">
        <v>0</v>
      </c>
      <c r="M1163">
        <v>0</v>
      </c>
      <c r="N1163">
        <v>1650</v>
      </c>
    </row>
    <row r="1164" spans="1:14" x14ac:dyDescent="0.25">
      <c r="A1164">
        <v>732.15836100000001</v>
      </c>
      <c r="B1164" s="1">
        <f>DATE(2012,5,2) + TIME(3,48,2)</f>
        <v>41031.158356481479</v>
      </c>
      <c r="C1164">
        <v>80</v>
      </c>
      <c r="D1164">
        <v>76.940284728999998</v>
      </c>
      <c r="E1164">
        <v>40</v>
      </c>
      <c r="F1164">
        <v>39.879680634000003</v>
      </c>
      <c r="G1164">
        <v>1341.6605225000001</v>
      </c>
      <c r="H1164">
        <v>1338.3665771000001</v>
      </c>
      <c r="I1164">
        <v>1324.059082</v>
      </c>
      <c r="J1164">
        <v>1321.0452881000001</v>
      </c>
      <c r="K1164">
        <v>1650</v>
      </c>
      <c r="L1164">
        <v>0</v>
      </c>
      <c r="M1164">
        <v>0</v>
      </c>
      <c r="N1164">
        <v>1650</v>
      </c>
    </row>
    <row r="1165" spans="1:14" x14ac:dyDescent="0.25">
      <c r="A1165">
        <v>732.21813399999996</v>
      </c>
      <c r="B1165" s="1">
        <f>DATE(2012,5,2) + TIME(5,14,6)</f>
        <v>41031.218124999999</v>
      </c>
      <c r="C1165">
        <v>80</v>
      </c>
      <c r="D1165">
        <v>77.193664550999998</v>
      </c>
      <c r="E1165">
        <v>40</v>
      </c>
      <c r="F1165">
        <v>39.875549315999997</v>
      </c>
      <c r="G1165">
        <v>1341.6846923999999</v>
      </c>
      <c r="H1165">
        <v>1338.3864745999999</v>
      </c>
      <c r="I1165">
        <v>1324.059082</v>
      </c>
      <c r="J1165">
        <v>1321.0449219</v>
      </c>
      <c r="K1165">
        <v>1650</v>
      </c>
      <c r="L1165">
        <v>0</v>
      </c>
      <c r="M1165">
        <v>0</v>
      </c>
      <c r="N1165">
        <v>1650</v>
      </c>
    </row>
    <row r="1166" spans="1:14" x14ac:dyDescent="0.25">
      <c r="A1166">
        <v>732.28017699999998</v>
      </c>
      <c r="B1166" s="1">
        <f>DATE(2012,5,2) + TIME(6,43,27)</f>
        <v>41031.280173611114</v>
      </c>
      <c r="C1166">
        <v>80</v>
      </c>
      <c r="D1166">
        <v>77.434677124000004</v>
      </c>
      <c r="E1166">
        <v>40</v>
      </c>
      <c r="F1166">
        <v>39.871303558000001</v>
      </c>
      <c r="G1166">
        <v>1341.7092285000001</v>
      </c>
      <c r="H1166">
        <v>1338.4063721</v>
      </c>
      <c r="I1166">
        <v>1324.0589600000001</v>
      </c>
      <c r="J1166">
        <v>1321.0445557</v>
      </c>
      <c r="K1166">
        <v>1650</v>
      </c>
      <c r="L1166">
        <v>0</v>
      </c>
      <c r="M1166">
        <v>0</v>
      </c>
      <c r="N1166">
        <v>1650</v>
      </c>
    </row>
    <row r="1167" spans="1:14" x14ac:dyDescent="0.25">
      <c r="A1167">
        <v>732.34466099999997</v>
      </c>
      <c r="B1167" s="1">
        <f>DATE(2012,5,2) + TIME(8,16,18)</f>
        <v>41031.344652777778</v>
      </c>
      <c r="C1167">
        <v>80</v>
      </c>
      <c r="D1167">
        <v>77.663330078000001</v>
      </c>
      <c r="E1167">
        <v>40</v>
      </c>
      <c r="F1167">
        <v>39.866931915000002</v>
      </c>
      <c r="G1167">
        <v>1341.7342529</v>
      </c>
      <c r="H1167">
        <v>1338.4265137</v>
      </c>
      <c r="I1167">
        <v>1324.0589600000001</v>
      </c>
      <c r="J1167">
        <v>1321.0441894999999</v>
      </c>
      <c r="K1167">
        <v>1650</v>
      </c>
      <c r="L1167">
        <v>0</v>
      </c>
      <c r="M1167">
        <v>0</v>
      </c>
      <c r="N1167">
        <v>1650</v>
      </c>
    </row>
    <row r="1168" spans="1:14" x14ac:dyDescent="0.25">
      <c r="A1168">
        <v>732.41177400000004</v>
      </c>
      <c r="B1168" s="1">
        <f>DATE(2012,5,2) + TIME(9,52,57)</f>
        <v>41031.411770833336</v>
      </c>
      <c r="C1168">
        <v>80</v>
      </c>
      <c r="D1168">
        <v>77.879669188999998</v>
      </c>
      <c r="E1168">
        <v>40</v>
      </c>
      <c r="F1168">
        <v>39.862426757999998</v>
      </c>
      <c r="G1168">
        <v>1341.7595214999999</v>
      </c>
      <c r="H1168">
        <v>1338.4465332</v>
      </c>
      <c r="I1168">
        <v>1324.0588379000001</v>
      </c>
      <c r="J1168">
        <v>1321.0438231999999</v>
      </c>
      <c r="K1168">
        <v>1650</v>
      </c>
      <c r="L1168">
        <v>0</v>
      </c>
      <c r="M1168">
        <v>0</v>
      </c>
      <c r="N1168">
        <v>1650</v>
      </c>
    </row>
    <row r="1169" spans="1:14" x14ac:dyDescent="0.25">
      <c r="A1169">
        <v>732.481717</v>
      </c>
      <c r="B1169" s="1">
        <f>DATE(2012,5,2) + TIME(11,33,40)</f>
        <v>41031.481712962966</v>
      </c>
      <c r="C1169">
        <v>80</v>
      </c>
      <c r="D1169">
        <v>78.083702087000006</v>
      </c>
      <c r="E1169">
        <v>40</v>
      </c>
      <c r="F1169">
        <v>39.857780456999997</v>
      </c>
      <c r="G1169">
        <v>1341.7850341999999</v>
      </c>
      <c r="H1169">
        <v>1338.4665527</v>
      </c>
      <c r="I1169">
        <v>1324.0588379000001</v>
      </c>
      <c r="J1169">
        <v>1321.043457</v>
      </c>
      <c r="K1169">
        <v>1650</v>
      </c>
      <c r="L1169">
        <v>0</v>
      </c>
      <c r="M1169">
        <v>0</v>
      </c>
      <c r="N1169">
        <v>1650</v>
      </c>
    </row>
    <row r="1170" spans="1:14" x14ac:dyDescent="0.25">
      <c r="A1170">
        <v>732.55453699999998</v>
      </c>
      <c r="B1170" s="1">
        <f>DATE(2012,5,2) + TIME(13,18,32)</f>
        <v>41031.554537037038</v>
      </c>
      <c r="C1170">
        <v>80</v>
      </c>
      <c r="D1170">
        <v>78.275077820000007</v>
      </c>
      <c r="E1170">
        <v>40</v>
      </c>
      <c r="F1170">
        <v>39.852993011000002</v>
      </c>
      <c r="G1170">
        <v>1341.8109131000001</v>
      </c>
      <c r="H1170">
        <v>1338.4865723</v>
      </c>
      <c r="I1170">
        <v>1324.0587158000001</v>
      </c>
      <c r="J1170">
        <v>1321.0430908000001</v>
      </c>
      <c r="K1170">
        <v>1650</v>
      </c>
      <c r="L1170">
        <v>0</v>
      </c>
      <c r="M1170">
        <v>0</v>
      </c>
      <c r="N1170">
        <v>1650</v>
      </c>
    </row>
    <row r="1171" spans="1:14" x14ac:dyDescent="0.25">
      <c r="A1171">
        <v>732.63045199999999</v>
      </c>
      <c r="B1171" s="1">
        <f>DATE(2012,5,2) + TIME(15,7,51)</f>
        <v>41031.63045138889</v>
      </c>
      <c r="C1171">
        <v>80</v>
      </c>
      <c r="D1171">
        <v>78.453948975000003</v>
      </c>
      <c r="E1171">
        <v>40</v>
      </c>
      <c r="F1171">
        <v>39.848049164000003</v>
      </c>
      <c r="G1171">
        <v>1341.8366699000001</v>
      </c>
      <c r="H1171">
        <v>1338.5064697</v>
      </c>
      <c r="I1171">
        <v>1324.0585937999999</v>
      </c>
      <c r="J1171">
        <v>1321.0426024999999</v>
      </c>
      <c r="K1171">
        <v>1650</v>
      </c>
      <c r="L1171">
        <v>0</v>
      </c>
      <c r="M1171">
        <v>0</v>
      </c>
      <c r="N1171">
        <v>1650</v>
      </c>
    </row>
    <row r="1172" spans="1:14" x14ac:dyDescent="0.25">
      <c r="A1172">
        <v>732.70969700000001</v>
      </c>
      <c r="B1172" s="1">
        <f>DATE(2012,5,2) + TIME(17,1,57)</f>
        <v>41031.709687499999</v>
      </c>
      <c r="C1172">
        <v>80</v>
      </c>
      <c r="D1172">
        <v>78.620483398000005</v>
      </c>
      <c r="E1172">
        <v>40</v>
      </c>
      <c r="F1172">
        <v>39.842945098999998</v>
      </c>
      <c r="G1172">
        <v>1341.8623047000001</v>
      </c>
      <c r="H1172">
        <v>1338.5261230000001</v>
      </c>
      <c r="I1172">
        <v>1324.0584716999999</v>
      </c>
      <c r="J1172">
        <v>1321.0422363</v>
      </c>
      <c r="K1172">
        <v>1650</v>
      </c>
      <c r="L1172">
        <v>0</v>
      </c>
      <c r="M1172">
        <v>0</v>
      </c>
      <c r="N1172">
        <v>1650</v>
      </c>
    </row>
    <row r="1173" spans="1:14" x14ac:dyDescent="0.25">
      <c r="A1173">
        <v>732.79253900000003</v>
      </c>
      <c r="B1173" s="1">
        <f>DATE(2012,5,2) + TIME(19,1,15)</f>
        <v>41031.792534722219</v>
      </c>
      <c r="C1173">
        <v>80</v>
      </c>
      <c r="D1173">
        <v>78.774894713999998</v>
      </c>
      <c r="E1173">
        <v>40</v>
      </c>
      <c r="F1173">
        <v>39.837661742999998</v>
      </c>
      <c r="G1173">
        <v>1341.8879394999999</v>
      </c>
      <c r="H1173">
        <v>1338.5455322</v>
      </c>
      <c r="I1173">
        <v>1324.0584716999999</v>
      </c>
      <c r="J1173">
        <v>1321.0417480000001</v>
      </c>
      <c r="K1173">
        <v>1650</v>
      </c>
      <c r="L1173">
        <v>0</v>
      </c>
      <c r="M1173">
        <v>0</v>
      </c>
      <c r="N1173">
        <v>1650</v>
      </c>
    </row>
    <row r="1174" spans="1:14" x14ac:dyDescent="0.25">
      <c r="A1174">
        <v>732.87927200000001</v>
      </c>
      <c r="B1174" s="1">
        <f>DATE(2012,5,2) + TIME(21,6,9)</f>
        <v>41031.879270833335</v>
      </c>
      <c r="C1174">
        <v>80</v>
      </c>
      <c r="D1174">
        <v>78.917442321999999</v>
      </c>
      <c r="E1174">
        <v>40</v>
      </c>
      <c r="F1174">
        <v>39.832191467000001</v>
      </c>
      <c r="G1174">
        <v>1341.9132079999999</v>
      </c>
      <c r="H1174">
        <v>1338.5645752</v>
      </c>
      <c r="I1174">
        <v>1324.0583495999999</v>
      </c>
      <c r="J1174">
        <v>1321.0412598</v>
      </c>
      <c r="K1174">
        <v>1650</v>
      </c>
      <c r="L1174">
        <v>0</v>
      </c>
      <c r="M1174">
        <v>0</v>
      </c>
      <c r="N1174">
        <v>1650</v>
      </c>
    </row>
    <row r="1175" spans="1:14" x14ac:dyDescent="0.25">
      <c r="A1175">
        <v>732.97022500000003</v>
      </c>
      <c r="B1175" s="1">
        <f>DATE(2012,5,2) + TIME(23,17,7)</f>
        <v>41031.970219907409</v>
      </c>
      <c r="C1175">
        <v>80</v>
      </c>
      <c r="D1175">
        <v>79.048400878999999</v>
      </c>
      <c r="E1175">
        <v>40</v>
      </c>
      <c r="F1175">
        <v>39.826515198000003</v>
      </c>
      <c r="G1175">
        <v>1341.9382324000001</v>
      </c>
      <c r="H1175">
        <v>1338.583374</v>
      </c>
      <c r="I1175">
        <v>1324.0582274999999</v>
      </c>
      <c r="J1175">
        <v>1321.0408935999999</v>
      </c>
      <c r="K1175">
        <v>1650</v>
      </c>
      <c r="L1175">
        <v>0</v>
      </c>
      <c r="M1175">
        <v>0</v>
      </c>
      <c r="N1175">
        <v>1650</v>
      </c>
    </row>
    <row r="1176" spans="1:14" x14ac:dyDescent="0.25">
      <c r="A1176">
        <v>733.06577100000004</v>
      </c>
      <c r="B1176" s="1">
        <f>DATE(2012,5,3) + TIME(1,34,42)</f>
        <v>41032.065763888888</v>
      </c>
      <c r="C1176">
        <v>80</v>
      </c>
      <c r="D1176">
        <v>79.168090820000003</v>
      </c>
      <c r="E1176">
        <v>40</v>
      </c>
      <c r="F1176">
        <v>39.820617675999998</v>
      </c>
      <c r="G1176">
        <v>1341.9627685999999</v>
      </c>
      <c r="H1176">
        <v>1338.6015625</v>
      </c>
      <c r="I1176">
        <v>1324.0581055</v>
      </c>
      <c r="J1176">
        <v>1321.0404053</v>
      </c>
      <c r="K1176">
        <v>1650</v>
      </c>
      <c r="L1176">
        <v>0</v>
      </c>
      <c r="M1176">
        <v>0</v>
      </c>
      <c r="N1176">
        <v>1650</v>
      </c>
    </row>
    <row r="1177" spans="1:14" x14ac:dyDescent="0.25">
      <c r="A1177">
        <v>733.16632900000002</v>
      </c>
      <c r="B1177" s="1">
        <f>DATE(2012,5,3) + TIME(3,59,30)</f>
        <v>41032.166319444441</v>
      </c>
      <c r="C1177">
        <v>80</v>
      </c>
      <c r="D1177">
        <v>79.276893615999995</v>
      </c>
      <c r="E1177">
        <v>40</v>
      </c>
      <c r="F1177">
        <v>39.814476012999997</v>
      </c>
      <c r="G1177">
        <v>1341.9868164</v>
      </c>
      <c r="H1177">
        <v>1338.6195068</v>
      </c>
      <c r="I1177">
        <v>1324.0578613</v>
      </c>
      <c r="J1177">
        <v>1321.0397949000001</v>
      </c>
      <c r="K1177">
        <v>1650</v>
      </c>
      <c r="L1177">
        <v>0</v>
      </c>
      <c r="M1177">
        <v>0</v>
      </c>
      <c r="N1177">
        <v>1650</v>
      </c>
    </row>
    <row r="1178" spans="1:14" x14ac:dyDescent="0.25">
      <c r="A1178">
        <v>733.272426</v>
      </c>
      <c r="B1178" s="1">
        <f>DATE(2012,5,3) + TIME(6,32,17)</f>
        <v>41032.272418981483</v>
      </c>
      <c r="C1178">
        <v>80</v>
      </c>
      <c r="D1178">
        <v>79.375228882000002</v>
      </c>
      <c r="E1178">
        <v>40</v>
      </c>
      <c r="F1178">
        <v>39.808071136000002</v>
      </c>
      <c r="G1178">
        <v>1342.0102539</v>
      </c>
      <c r="H1178">
        <v>1338.6367187999999</v>
      </c>
      <c r="I1178">
        <v>1324.0577393000001</v>
      </c>
      <c r="J1178">
        <v>1321.0393065999999</v>
      </c>
      <c r="K1178">
        <v>1650</v>
      </c>
      <c r="L1178">
        <v>0</v>
      </c>
      <c r="M1178">
        <v>0</v>
      </c>
      <c r="N1178">
        <v>1650</v>
      </c>
    </row>
    <row r="1179" spans="1:14" x14ac:dyDescent="0.25">
      <c r="A1179">
        <v>733.38459899999998</v>
      </c>
      <c r="B1179" s="1">
        <f>DATE(2012,5,3) + TIME(9,13,49)</f>
        <v>41032.384594907409</v>
      </c>
      <c r="C1179">
        <v>80</v>
      </c>
      <c r="D1179">
        <v>79.463523864999999</v>
      </c>
      <c r="E1179">
        <v>40</v>
      </c>
      <c r="F1179">
        <v>39.801376343000001</v>
      </c>
      <c r="G1179">
        <v>1342.0330810999999</v>
      </c>
      <c r="H1179">
        <v>1338.6535644999999</v>
      </c>
      <c r="I1179">
        <v>1324.0576172000001</v>
      </c>
      <c r="J1179">
        <v>1321.0388184000001</v>
      </c>
      <c r="K1179">
        <v>1650</v>
      </c>
      <c r="L1179">
        <v>0</v>
      </c>
      <c r="M1179">
        <v>0</v>
      </c>
      <c r="N1179">
        <v>1650</v>
      </c>
    </row>
    <row r="1180" spans="1:14" x14ac:dyDescent="0.25">
      <c r="A1180">
        <v>733.50345400000003</v>
      </c>
      <c r="B1180" s="1">
        <f>DATE(2012,5,3) + TIME(12,4,58)</f>
        <v>41032.503449074073</v>
      </c>
      <c r="C1180">
        <v>80</v>
      </c>
      <c r="D1180">
        <v>79.542213439999998</v>
      </c>
      <c r="E1180">
        <v>40</v>
      </c>
      <c r="F1180">
        <v>39.794361115000001</v>
      </c>
      <c r="G1180">
        <v>1342.0550536999999</v>
      </c>
      <c r="H1180">
        <v>1338.6696777</v>
      </c>
      <c r="I1180">
        <v>1324.0573730000001</v>
      </c>
      <c r="J1180">
        <v>1321.0382079999999</v>
      </c>
      <c r="K1180">
        <v>1650</v>
      </c>
      <c r="L1180">
        <v>0</v>
      </c>
      <c r="M1180">
        <v>0</v>
      </c>
      <c r="N1180">
        <v>1650</v>
      </c>
    </row>
    <row r="1181" spans="1:14" x14ac:dyDescent="0.25">
      <c r="A1181">
        <v>733.62346600000001</v>
      </c>
      <c r="B1181" s="1">
        <f>DATE(2012,5,3) + TIME(14,57,47)</f>
        <v>41032.623460648145</v>
      </c>
      <c r="C1181">
        <v>80</v>
      </c>
      <c r="D1181">
        <v>79.608932495000005</v>
      </c>
      <c r="E1181">
        <v>40</v>
      </c>
      <c r="F1181">
        <v>39.787334442000002</v>
      </c>
      <c r="G1181">
        <v>1342.0767822</v>
      </c>
      <c r="H1181">
        <v>1338.6855469</v>
      </c>
      <c r="I1181">
        <v>1324.057251</v>
      </c>
      <c r="J1181">
        <v>1321.0377197</v>
      </c>
      <c r="K1181">
        <v>1650</v>
      </c>
      <c r="L1181">
        <v>0</v>
      </c>
      <c r="M1181">
        <v>0</v>
      </c>
      <c r="N1181">
        <v>1650</v>
      </c>
    </row>
    <row r="1182" spans="1:14" x14ac:dyDescent="0.25">
      <c r="A1182">
        <v>733.74426200000005</v>
      </c>
      <c r="B1182" s="1">
        <f>DATE(2012,5,3) + TIME(17,51,44)</f>
        <v>41032.744259259256</v>
      </c>
      <c r="C1182">
        <v>80</v>
      </c>
      <c r="D1182">
        <v>79.665229796999995</v>
      </c>
      <c r="E1182">
        <v>40</v>
      </c>
      <c r="F1182">
        <v>39.78030777</v>
      </c>
      <c r="G1182">
        <v>1342.0968018000001</v>
      </c>
      <c r="H1182">
        <v>1338.6999512</v>
      </c>
      <c r="I1182">
        <v>1324.0570068</v>
      </c>
      <c r="J1182">
        <v>1321.0371094</v>
      </c>
      <c r="K1182">
        <v>1650</v>
      </c>
      <c r="L1182">
        <v>0</v>
      </c>
      <c r="M1182">
        <v>0</v>
      </c>
      <c r="N1182">
        <v>1650</v>
      </c>
    </row>
    <row r="1183" spans="1:14" x14ac:dyDescent="0.25">
      <c r="A1183">
        <v>733.86614299999997</v>
      </c>
      <c r="B1183" s="1">
        <f>DATE(2012,5,3) + TIME(20,47,14)</f>
        <v>41032.86613425926</v>
      </c>
      <c r="C1183">
        <v>80</v>
      </c>
      <c r="D1183">
        <v>79.712768554999997</v>
      </c>
      <c r="E1183">
        <v>40</v>
      </c>
      <c r="F1183">
        <v>39.773269653</v>
      </c>
      <c r="G1183">
        <v>1342.1147461</v>
      </c>
      <c r="H1183">
        <v>1338.7131348</v>
      </c>
      <c r="I1183">
        <v>1324.0567627</v>
      </c>
      <c r="J1183">
        <v>1321.036499</v>
      </c>
      <c r="K1183">
        <v>1650</v>
      </c>
      <c r="L1183">
        <v>0</v>
      </c>
      <c r="M1183">
        <v>0</v>
      </c>
      <c r="N1183">
        <v>1650</v>
      </c>
    </row>
    <row r="1184" spans="1:14" x14ac:dyDescent="0.25">
      <c r="A1184">
        <v>733.98938399999997</v>
      </c>
      <c r="B1184" s="1">
        <f>DATE(2012,5,3) + TIME(23,44,42)</f>
        <v>41032.989374999997</v>
      </c>
      <c r="C1184">
        <v>80</v>
      </c>
      <c r="D1184">
        <v>79.752906799000002</v>
      </c>
      <c r="E1184">
        <v>40</v>
      </c>
      <c r="F1184">
        <v>39.766197204999997</v>
      </c>
      <c r="G1184">
        <v>1342.1308594</v>
      </c>
      <c r="H1184">
        <v>1338.7249756000001</v>
      </c>
      <c r="I1184">
        <v>1324.0565185999999</v>
      </c>
      <c r="J1184">
        <v>1321.0358887</v>
      </c>
      <c r="K1184">
        <v>1650</v>
      </c>
      <c r="L1184">
        <v>0</v>
      </c>
      <c r="M1184">
        <v>0</v>
      </c>
      <c r="N1184">
        <v>1650</v>
      </c>
    </row>
    <row r="1185" spans="1:14" x14ac:dyDescent="0.25">
      <c r="A1185">
        <v>734.11429999999996</v>
      </c>
      <c r="B1185" s="1">
        <f>DATE(2012,5,4) + TIME(2,44,35)</f>
        <v>41033.114293981482</v>
      </c>
      <c r="C1185">
        <v>80</v>
      </c>
      <c r="D1185">
        <v>79.786796570000007</v>
      </c>
      <c r="E1185">
        <v>40</v>
      </c>
      <c r="F1185">
        <v>39.759082794000001</v>
      </c>
      <c r="G1185">
        <v>1342.1455077999999</v>
      </c>
      <c r="H1185">
        <v>1338.7357178</v>
      </c>
      <c r="I1185">
        <v>1324.0562743999999</v>
      </c>
      <c r="J1185">
        <v>1321.0354004000001</v>
      </c>
      <c r="K1185">
        <v>1650</v>
      </c>
      <c r="L1185">
        <v>0</v>
      </c>
      <c r="M1185">
        <v>0</v>
      </c>
      <c r="N1185">
        <v>1650</v>
      </c>
    </row>
    <row r="1186" spans="1:14" x14ac:dyDescent="0.25">
      <c r="A1186">
        <v>734.24115600000005</v>
      </c>
      <c r="B1186" s="1">
        <f>DATE(2012,5,4) + TIME(5,47,15)</f>
        <v>41033.24114583333</v>
      </c>
      <c r="C1186">
        <v>80</v>
      </c>
      <c r="D1186">
        <v>79.815399170000006</v>
      </c>
      <c r="E1186">
        <v>40</v>
      </c>
      <c r="F1186">
        <v>39.751907349</v>
      </c>
      <c r="G1186">
        <v>1342.1585693</v>
      </c>
      <c r="H1186">
        <v>1338.7453613</v>
      </c>
      <c r="I1186">
        <v>1324.0561522999999</v>
      </c>
      <c r="J1186">
        <v>1321.0347899999999</v>
      </c>
      <c r="K1186">
        <v>1650</v>
      </c>
      <c r="L1186">
        <v>0</v>
      </c>
      <c r="M1186">
        <v>0</v>
      </c>
      <c r="N1186">
        <v>1650</v>
      </c>
    </row>
    <row r="1187" spans="1:14" x14ac:dyDescent="0.25">
      <c r="A1187">
        <v>734.370228</v>
      </c>
      <c r="B1187" s="1">
        <f>DATE(2012,5,4) + TIME(8,53,7)</f>
        <v>41033.370219907411</v>
      </c>
      <c r="C1187">
        <v>80</v>
      </c>
      <c r="D1187">
        <v>79.839508057000003</v>
      </c>
      <c r="E1187">
        <v>40</v>
      </c>
      <c r="F1187">
        <v>39.744655608999999</v>
      </c>
      <c r="G1187">
        <v>1342.1701660000001</v>
      </c>
      <c r="H1187">
        <v>1338.7541504000001</v>
      </c>
      <c r="I1187">
        <v>1324.0559082</v>
      </c>
      <c r="J1187">
        <v>1321.0341797000001</v>
      </c>
      <c r="K1187">
        <v>1650</v>
      </c>
      <c r="L1187">
        <v>0</v>
      </c>
      <c r="M1187">
        <v>0</v>
      </c>
      <c r="N1187">
        <v>1650</v>
      </c>
    </row>
    <row r="1188" spans="1:14" x14ac:dyDescent="0.25">
      <c r="A1188">
        <v>734.50184300000001</v>
      </c>
      <c r="B1188" s="1">
        <f>DATE(2012,5,4) + TIME(12,2,39)</f>
        <v>41033.501840277779</v>
      </c>
      <c r="C1188">
        <v>80</v>
      </c>
      <c r="D1188">
        <v>79.859802246000001</v>
      </c>
      <c r="E1188">
        <v>40</v>
      </c>
      <c r="F1188">
        <v>39.737312316999997</v>
      </c>
      <c r="G1188">
        <v>1342.1805420000001</v>
      </c>
      <c r="H1188">
        <v>1338.7619629000001</v>
      </c>
      <c r="I1188">
        <v>1324.0556641000001</v>
      </c>
      <c r="J1188">
        <v>1321.0336914</v>
      </c>
      <c r="K1188">
        <v>1650</v>
      </c>
      <c r="L1188">
        <v>0</v>
      </c>
      <c r="M1188">
        <v>0</v>
      </c>
      <c r="N1188">
        <v>1650</v>
      </c>
    </row>
    <row r="1189" spans="1:14" x14ac:dyDescent="0.25">
      <c r="A1189">
        <v>734.63641700000005</v>
      </c>
      <c r="B1189" s="1">
        <f>DATE(2012,5,4) + TIME(15,16,26)</f>
        <v>41033.636412037034</v>
      </c>
      <c r="C1189">
        <v>80</v>
      </c>
      <c r="D1189">
        <v>79.876876831000004</v>
      </c>
      <c r="E1189">
        <v>40</v>
      </c>
      <c r="F1189">
        <v>39.729858397999998</v>
      </c>
      <c r="G1189">
        <v>1342.1896973</v>
      </c>
      <c r="H1189">
        <v>1338.769043</v>
      </c>
      <c r="I1189">
        <v>1324.0552978999999</v>
      </c>
      <c r="J1189">
        <v>1321.0330810999999</v>
      </c>
      <c r="K1189">
        <v>1650</v>
      </c>
      <c r="L1189">
        <v>0</v>
      </c>
      <c r="M1189">
        <v>0</v>
      </c>
      <c r="N1189">
        <v>1650</v>
      </c>
    </row>
    <row r="1190" spans="1:14" x14ac:dyDescent="0.25">
      <c r="A1190">
        <v>734.774317</v>
      </c>
      <c r="B1190" s="1">
        <f>DATE(2012,5,4) + TIME(18,35,0)</f>
        <v>41033.774305555555</v>
      </c>
      <c r="C1190">
        <v>80</v>
      </c>
      <c r="D1190">
        <v>79.891212463000002</v>
      </c>
      <c r="E1190">
        <v>40</v>
      </c>
      <c r="F1190">
        <v>39.722274779999999</v>
      </c>
      <c r="G1190">
        <v>1342.1977539</v>
      </c>
      <c r="H1190">
        <v>1338.7753906</v>
      </c>
      <c r="I1190">
        <v>1324.0550536999999</v>
      </c>
      <c r="J1190">
        <v>1321.0324707</v>
      </c>
      <c r="K1190">
        <v>1650</v>
      </c>
      <c r="L1190">
        <v>0</v>
      </c>
      <c r="M1190">
        <v>0</v>
      </c>
      <c r="N1190">
        <v>1650</v>
      </c>
    </row>
    <row r="1191" spans="1:14" x14ac:dyDescent="0.25">
      <c r="A1191">
        <v>734.91594499999997</v>
      </c>
      <c r="B1191" s="1">
        <f>DATE(2012,5,4) + TIME(21,58,57)</f>
        <v>41033.915937500002</v>
      </c>
      <c r="C1191">
        <v>80</v>
      </c>
      <c r="D1191">
        <v>79.903221130000006</v>
      </c>
      <c r="E1191">
        <v>40</v>
      </c>
      <c r="F1191">
        <v>39.714538574000002</v>
      </c>
      <c r="G1191">
        <v>1342.2047118999999</v>
      </c>
      <c r="H1191">
        <v>1338.7810059000001</v>
      </c>
      <c r="I1191">
        <v>1324.0548096</v>
      </c>
      <c r="J1191">
        <v>1321.0318603999999</v>
      </c>
      <c r="K1191">
        <v>1650</v>
      </c>
      <c r="L1191">
        <v>0</v>
      </c>
      <c r="M1191">
        <v>0</v>
      </c>
      <c r="N1191">
        <v>1650</v>
      </c>
    </row>
    <row r="1192" spans="1:14" x14ac:dyDescent="0.25">
      <c r="A1192">
        <v>735.06174399999998</v>
      </c>
      <c r="B1192" s="1">
        <f>DATE(2012,5,5) + TIME(1,28,54)</f>
        <v>41034.061736111114</v>
      </c>
      <c r="C1192">
        <v>80</v>
      </c>
      <c r="D1192">
        <v>79.913261414000004</v>
      </c>
      <c r="E1192">
        <v>40</v>
      </c>
      <c r="F1192">
        <v>39.706638335999997</v>
      </c>
      <c r="G1192">
        <v>1342.2106934000001</v>
      </c>
      <c r="H1192">
        <v>1338.7858887</v>
      </c>
      <c r="I1192">
        <v>1324.0545654</v>
      </c>
      <c r="J1192">
        <v>1321.03125</v>
      </c>
      <c r="K1192">
        <v>1650</v>
      </c>
      <c r="L1192">
        <v>0</v>
      </c>
      <c r="M1192">
        <v>0</v>
      </c>
      <c r="N1192">
        <v>1650</v>
      </c>
    </row>
    <row r="1193" spans="1:14" x14ac:dyDescent="0.25">
      <c r="A1193">
        <v>735.210285</v>
      </c>
      <c r="B1193" s="1">
        <f>DATE(2012,5,5) + TIME(5,2,48)</f>
        <v>41034.210277777776</v>
      </c>
      <c r="C1193">
        <v>80</v>
      </c>
      <c r="D1193">
        <v>79.921546935999999</v>
      </c>
      <c r="E1193">
        <v>40</v>
      </c>
      <c r="F1193">
        <v>39.698635101000001</v>
      </c>
      <c r="G1193">
        <v>1342.2156981999999</v>
      </c>
      <c r="H1193">
        <v>1338.7902832</v>
      </c>
      <c r="I1193">
        <v>1324.0541992000001</v>
      </c>
      <c r="J1193">
        <v>1321.0306396000001</v>
      </c>
      <c r="K1193">
        <v>1650</v>
      </c>
      <c r="L1193">
        <v>0</v>
      </c>
      <c r="M1193">
        <v>0</v>
      </c>
      <c r="N1193">
        <v>1650</v>
      </c>
    </row>
    <row r="1194" spans="1:14" x14ac:dyDescent="0.25">
      <c r="A1194">
        <v>735.361358</v>
      </c>
      <c r="B1194" s="1">
        <f>DATE(2012,5,5) + TIME(8,40,21)</f>
        <v>41034.361354166664</v>
      </c>
      <c r="C1194">
        <v>80</v>
      </c>
      <c r="D1194">
        <v>79.928344726999995</v>
      </c>
      <c r="E1194">
        <v>40</v>
      </c>
      <c r="F1194">
        <v>39.690544127999999</v>
      </c>
      <c r="G1194">
        <v>1342.2197266000001</v>
      </c>
      <c r="H1194">
        <v>1338.7939452999999</v>
      </c>
      <c r="I1194">
        <v>1324.0538329999999</v>
      </c>
      <c r="J1194">
        <v>1321.0300293</v>
      </c>
      <c r="K1194">
        <v>1650</v>
      </c>
      <c r="L1194">
        <v>0</v>
      </c>
      <c r="M1194">
        <v>0</v>
      </c>
      <c r="N1194">
        <v>1650</v>
      </c>
    </row>
    <row r="1195" spans="1:14" x14ac:dyDescent="0.25">
      <c r="A1195">
        <v>735.51529100000005</v>
      </c>
      <c r="B1195" s="1">
        <f>DATE(2012,5,5) + TIME(12,22,1)</f>
        <v>41034.515289351853</v>
      </c>
      <c r="C1195">
        <v>80</v>
      </c>
      <c r="D1195">
        <v>79.933929442999997</v>
      </c>
      <c r="E1195">
        <v>40</v>
      </c>
      <c r="F1195">
        <v>39.682350159000002</v>
      </c>
      <c r="G1195">
        <v>1342.2229004000001</v>
      </c>
      <c r="H1195">
        <v>1338.7971190999999</v>
      </c>
      <c r="I1195">
        <v>1324.0535889</v>
      </c>
      <c r="J1195">
        <v>1321.0294189000001</v>
      </c>
      <c r="K1195">
        <v>1650</v>
      </c>
      <c r="L1195">
        <v>0</v>
      </c>
      <c r="M1195">
        <v>0</v>
      </c>
      <c r="N1195">
        <v>1650</v>
      </c>
    </row>
    <row r="1196" spans="1:14" x14ac:dyDescent="0.25">
      <c r="A1196">
        <v>735.67237699999998</v>
      </c>
      <c r="B1196" s="1">
        <f>DATE(2012,5,5) + TIME(16,8,13)</f>
        <v>41034.672372685185</v>
      </c>
      <c r="C1196">
        <v>80</v>
      </c>
      <c r="D1196">
        <v>79.938514709000003</v>
      </c>
      <c r="E1196">
        <v>40</v>
      </c>
      <c r="F1196">
        <v>39.674037933000001</v>
      </c>
      <c r="G1196">
        <v>1342.2252197</v>
      </c>
      <c r="H1196">
        <v>1338.7996826000001</v>
      </c>
      <c r="I1196">
        <v>1324.0532227000001</v>
      </c>
      <c r="J1196">
        <v>1321.0286865</v>
      </c>
      <c r="K1196">
        <v>1650</v>
      </c>
      <c r="L1196">
        <v>0</v>
      </c>
      <c r="M1196">
        <v>0</v>
      </c>
      <c r="N1196">
        <v>1650</v>
      </c>
    </row>
    <row r="1197" spans="1:14" x14ac:dyDescent="0.25">
      <c r="A1197">
        <v>735.8329</v>
      </c>
      <c r="B1197" s="1">
        <f>DATE(2012,5,5) + TIME(19,59,22)</f>
        <v>41034.83289351852</v>
      </c>
      <c r="C1197">
        <v>80</v>
      </c>
      <c r="D1197">
        <v>79.942268372000001</v>
      </c>
      <c r="E1197">
        <v>40</v>
      </c>
      <c r="F1197">
        <v>39.665592193999998</v>
      </c>
      <c r="G1197">
        <v>1342.2266846</v>
      </c>
      <c r="H1197">
        <v>1338.8017577999999</v>
      </c>
      <c r="I1197">
        <v>1324.0528564000001</v>
      </c>
      <c r="J1197">
        <v>1321.0280762</v>
      </c>
      <c r="K1197">
        <v>1650</v>
      </c>
      <c r="L1197">
        <v>0</v>
      </c>
      <c r="M1197">
        <v>0</v>
      </c>
      <c r="N1197">
        <v>1650</v>
      </c>
    </row>
    <row r="1198" spans="1:14" x14ac:dyDescent="0.25">
      <c r="A1198">
        <v>735.99720400000001</v>
      </c>
      <c r="B1198" s="1">
        <f>DATE(2012,5,5) + TIME(23,55,58)</f>
        <v>41034.997199074074</v>
      </c>
      <c r="C1198">
        <v>80</v>
      </c>
      <c r="D1198">
        <v>79.945335388000004</v>
      </c>
      <c r="E1198">
        <v>40</v>
      </c>
      <c r="F1198">
        <v>39.657005310000002</v>
      </c>
      <c r="G1198">
        <v>1342.2274170000001</v>
      </c>
      <c r="H1198">
        <v>1338.8033447</v>
      </c>
      <c r="I1198">
        <v>1324.0524902</v>
      </c>
      <c r="J1198">
        <v>1321.0274658000001</v>
      </c>
      <c r="K1198">
        <v>1650</v>
      </c>
      <c r="L1198">
        <v>0</v>
      </c>
      <c r="M1198">
        <v>0</v>
      </c>
      <c r="N1198">
        <v>1650</v>
      </c>
    </row>
    <row r="1199" spans="1:14" x14ac:dyDescent="0.25">
      <c r="A1199">
        <v>736.165663</v>
      </c>
      <c r="B1199" s="1">
        <f>DATE(2012,5,6) + TIME(3,58,33)</f>
        <v>41035.165659722225</v>
      </c>
      <c r="C1199">
        <v>80</v>
      </c>
      <c r="D1199">
        <v>79.947837829999997</v>
      </c>
      <c r="E1199">
        <v>40</v>
      </c>
      <c r="F1199">
        <v>39.648258208999998</v>
      </c>
      <c r="G1199">
        <v>1342.2272949000001</v>
      </c>
      <c r="H1199">
        <v>1338.8044434000001</v>
      </c>
      <c r="I1199">
        <v>1324.052124</v>
      </c>
      <c r="J1199">
        <v>1321.0267334</v>
      </c>
      <c r="K1199">
        <v>1650</v>
      </c>
      <c r="L1199">
        <v>0</v>
      </c>
      <c r="M1199">
        <v>0</v>
      </c>
      <c r="N1199">
        <v>1650</v>
      </c>
    </row>
    <row r="1200" spans="1:14" x14ac:dyDescent="0.25">
      <c r="A1200">
        <v>736.33868800000005</v>
      </c>
      <c r="B1200" s="1">
        <f>DATE(2012,5,6) + TIME(8,7,42)</f>
        <v>41035.338680555556</v>
      </c>
      <c r="C1200">
        <v>80</v>
      </c>
      <c r="D1200">
        <v>79.949882506999998</v>
      </c>
      <c r="E1200">
        <v>40</v>
      </c>
      <c r="F1200">
        <v>39.639328003000003</v>
      </c>
      <c r="G1200">
        <v>1342.2265625</v>
      </c>
      <c r="H1200">
        <v>1338.8051757999999</v>
      </c>
      <c r="I1200">
        <v>1324.0517577999999</v>
      </c>
      <c r="J1200">
        <v>1321.026001</v>
      </c>
      <c r="K1200">
        <v>1650</v>
      </c>
      <c r="L1200">
        <v>0</v>
      </c>
      <c r="M1200">
        <v>0</v>
      </c>
      <c r="N1200">
        <v>1650</v>
      </c>
    </row>
    <row r="1201" spans="1:14" x14ac:dyDescent="0.25">
      <c r="A1201">
        <v>736.51672599999995</v>
      </c>
      <c r="B1201" s="1">
        <f>DATE(2012,5,6) + TIME(12,24,5)</f>
        <v>41035.516724537039</v>
      </c>
      <c r="C1201">
        <v>80</v>
      </c>
      <c r="D1201">
        <v>79.951545714999995</v>
      </c>
      <c r="E1201">
        <v>40</v>
      </c>
      <c r="F1201">
        <v>39.630199431999998</v>
      </c>
      <c r="G1201">
        <v>1342.2252197</v>
      </c>
      <c r="H1201">
        <v>1338.8054199000001</v>
      </c>
      <c r="I1201">
        <v>1324.0513916</v>
      </c>
      <c r="J1201">
        <v>1321.0252685999999</v>
      </c>
      <c r="K1201">
        <v>1650</v>
      </c>
      <c r="L1201">
        <v>0</v>
      </c>
      <c r="M1201">
        <v>0</v>
      </c>
      <c r="N1201">
        <v>1650</v>
      </c>
    </row>
    <row r="1202" spans="1:14" x14ac:dyDescent="0.25">
      <c r="A1202">
        <v>736.70037100000002</v>
      </c>
      <c r="B1202" s="1">
        <f>DATE(2012,5,6) + TIME(16,48,32)</f>
        <v>41035.700370370374</v>
      </c>
      <c r="C1202">
        <v>80</v>
      </c>
      <c r="D1202">
        <v>79.952903747999997</v>
      </c>
      <c r="E1202">
        <v>40</v>
      </c>
      <c r="F1202">
        <v>39.620849608999997</v>
      </c>
      <c r="G1202">
        <v>1342.2232666</v>
      </c>
      <c r="H1202">
        <v>1338.8052978999999</v>
      </c>
      <c r="I1202">
        <v>1324.0509033000001</v>
      </c>
      <c r="J1202">
        <v>1321.0245361</v>
      </c>
      <c r="K1202">
        <v>1650</v>
      </c>
      <c r="L1202">
        <v>0</v>
      </c>
      <c r="M1202">
        <v>0</v>
      </c>
      <c r="N1202">
        <v>1650</v>
      </c>
    </row>
    <row r="1203" spans="1:14" x14ac:dyDescent="0.25">
      <c r="A1203">
        <v>736.89037800000006</v>
      </c>
      <c r="B1203" s="1">
        <f>DATE(2012,5,6) + TIME(21,22,8)</f>
        <v>41035.890370370369</v>
      </c>
      <c r="C1203">
        <v>80</v>
      </c>
      <c r="D1203">
        <v>79.954002380000006</v>
      </c>
      <c r="E1203">
        <v>40</v>
      </c>
      <c r="F1203">
        <v>39.611244202000002</v>
      </c>
      <c r="G1203">
        <v>1342.2207031</v>
      </c>
      <c r="H1203">
        <v>1338.8049315999999</v>
      </c>
      <c r="I1203">
        <v>1324.0505370999999</v>
      </c>
      <c r="J1203">
        <v>1321.0238036999999</v>
      </c>
      <c r="K1203">
        <v>1650</v>
      </c>
      <c r="L1203">
        <v>0</v>
      </c>
      <c r="M1203">
        <v>0</v>
      </c>
      <c r="N1203">
        <v>1650</v>
      </c>
    </row>
    <row r="1204" spans="1:14" x14ac:dyDescent="0.25">
      <c r="A1204">
        <v>737.08742800000005</v>
      </c>
      <c r="B1204" s="1">
        <f>DATE(2012,5,7) + TIME(2,5,53)</f>
        <v>41036.087418981479</v>
      </c>
      <c r="C1204">
        <v>80</v>
      </c>
      <c r="D1204">
        <v>79.954895019999995</v>
      </c>
      <c r="E1204">
        <v>40</v>
      </c>
      <c r="F1204">
        <v>39.601356506000002</v>
      </c>
      <c r="G1204">
        <v>1342.2175293</v>
      </c>
      <c r="H1204">
        <v>1338.8040771000001</v>
      </c>
      <c r="I1204">
        <v>1324.0500488</v>
      </c>
      <c r="J1204">
        <v>1321.0229492000001</v>
      </c>
      <c r="K1204">
        <v>1650</v>
      </c>
      <c r="L1204">
        <v>0</v>
      </c>
      <c r="M1204">
        <v>0</v>
      </c>
      <c r="N1204">
        <v>1650</v>
      </c>
    </row>
    <row r="1205" spans="1:14" x14ac:dyDescent="0.25">
      <c r="A1205">
        <v>737.29233499999998</v>
      </c>
      <c r="B1205" s="1">
        <f>DATE(2012,5,7) + TIME(7,0,57)</f>
        <v>41036.292326388888</v>
      </c>
      <c r="C1205">
        <v>80</v>
      </c>
      <c r="D1205">
        <v>79.955619811999995</v>
      </c>
      <c r="E1205">
        <v>40</v>
      </c>
      <c r="F1205">
        <v>39.591148376</v>
      </c>
      <c r="G1205">
        <v>1342.2137451000001</v>
      </c>
      <c r="H1205">
        <v>1338.8029785000001</v>
      </c>
      <c r="I1205">
        <v>1324.0495605000001</v>
      </c>
      <c r="J1205">
        <v>1321.0222168</v>
      </c>
      <c r="K1205">
        <v>1650</v>
      </c>
      <c r="L1205">
        <v>0</v>
      </c>
      <c r="M1205">
        <v>0</v>
      </c>
      <c r="N1205">
        <v>1650</v>
      </c>
    </row>
    <row r="1206" spans="1:14" x14ac:dyDescent="0.25">
      <c r="A1206">
        <v>737.50323800000001</v>
      </c>
      <c r="B1206" s="1">
        <f>DATE(2012,5,7) + TIME(12,4,39)</f>
        <v>41036.503229166665</v>
      </c>
      <c r="C1206">
        <v>80</v>
      </c>
      <c r="D1206">
        <v>79.956199646000002</v>
      </c>
      <c r="E1206">
        <v>40</v>
      </c>
      <c r="F1206">
        <v>39.58070755</v>
      </c>
      <c r="G1206">
        <v>1342.2094727000001</v>
      </c>
      <c r="H1206">
        <v>1338.8015137</v>
      </c>
      <c r="I1206">
        <v>1324.0490723</v>
      </c>
      <c r="J1206">
        <v>1321.0213623</v>
      </c>
      <c r="K1206">
        <v>1650</v>
      </c>
      <c r="L1206">
        <v>0</v>
      </c>
      <c r="M1206">
        <v>0</v>
      </c>
      <c r="N1206">
        <v>1650</v>
      </c>
    </row>
    <row r="1207" spans="1:14" x14ac:dyDescent="0.25">
      <c r="A1207">
        <v>737.72034900000006</v>
      </c>
      <c r="B1207" s="1">
        <f>DATE(2012,5,7) + TIME(17,17,18)</f>
        <v>41036.720347222225</v>
      </c>
      <c r="C1207">
        <v>80</v>
      </c>
      <c r="D1207">
        <v>79.956665039000001</v>
      </c>
      <c r="E1207">
        <v>40</v>
      </c>
      <c r="F1207">
        <v>39.570026398000003</v>
      </c>
      <c r="G1207">
        <v>1342.2045897999999</v>
      </c>
      <c r="H1207">
        <v>1338.7998047000001</v>
      </c>
      <c r="I1207">
        <v>1324.0485839999999</v>
      </c>
      <c r="J1207">
        <v>1321.0203856999999</v>
      </c>
      <c r="K1207">
        <v>1650</v>
      </c>
      <c r="L1207">
        <v>0</v>
      </c>
      <c r="M1207">
        <v>0</v>
      </c>
      <c r="N1207">
        <v>1650</v>
      </c>
    </row>
    <row r="1208" spans="1:14" x14ac:dyDescent="0.25">
      <c r="A1208">
        <v>737.94427900000005</v>
      </c>
      <c r="B1208" s="1">
        <f>DATE(2012,5,7) + TIME(22,39,45)</f>
        <v>41036.94427083333</v>
      </c>
      <c r="C1208">
        <v>80</v>
      </c>
      <c r="D1208">
        <v>79.95703125</v>
      </c>
      <c r="E1208">
        <v>40</v>
      </c>
      <c r="F1208">
        <v>39.559074402</v>
      </c>
      <c r="G1208">
        <v>1342.1993408000001</v>
      </c>
      <c r="H1208">
        <v>1338.7978516000001</v>
      </c>
      <c r="I1208">
        <v>1324.0480957</v>
      </c>
      <c r="J1208">
        <v>1321.0195312000001</v>
      </c>
      <c r="K1208">
        <v>1650</v>
      </c>
      <c r="L1208">
        <v>0</v>
      </c>
      <c r="M1208">
        <v>0</v>
      </c>
      <c r="N1208">
        <v>1650</v>
      </c>
    </row>
    <row r="1209" spans="1:14" x14ac:dyDescent="0.25">
      <c r="A1209">
        <v>738.17501600000003</v>
      </c>
      <c r="B1209" s="1">
        <f>DATE(2012,5,8) + TIME(4,12,1)</f>
        <v>41037.175011574072</v>
      </c>
      <c r="C1209">
        <v>80</v>
      </c>
      <c r="D1209">
        <v>79.957321167000003</v>
      </c>
      <c r="E1209">
        <v>40</v>
      </c>
      <c r="F1209">
        <v>39.547863006999997</v>
      </c>
      <c r="G1209">
        <v>1342.1936035000001</v>
      </c>
      <c r="H1209">
        <v>1338.7956543</v>
      </c>
      <c r="I1209">
        <v>1324.0474853999999</v>
      </c>
      <c r="J1209">
        <v>1321.0185547000001</v>
      </c>
      <c r="K1209">
        <v>1650</v>
      </c>
      <c r="L1209">
        <v>0</v>
      </c>
      <c r="M1209">
        <v>0</v>
      </c>
      <c r="N1209">
        <v>1650</v>
      </c>
    </row>
    <row r="1210" spans="1:14" x14ac:dyDescent="0.25">
      <c r="A1210">
        <v>738.41134</v>
      </c>
      <c r="B1210" s="1">
        <f>DATE(2012,5,8) + TIME(9,52,19)</f>
        <v>41037.41133101852</v>
      </c>
      <c r="C1210">
        <v>80</v>
      </c>
      <c r="D1210">
        <v>79.957550049000005</v>
      </c>
      <c r="E1210">
        <v>40</v>
      </c>
      <c r="F1210">
        <v>39.536441803000002</v>
      </c>
      <c r="G1210">
        <v>1342.1873779</v>
      </c>
      <c r="H1210">
        <v>1338.7930908000001</v>
      </c>
      <c r="I1210">
        <v>1324.0469971</v>
      </c>
      <c r="J1210">
        <v>1321.0177002</v>
      </c>
      <c r="K1210">
        <v>1650</v>
      </c>
      <c r="L1210">
        <v>0</v>
      </c>
      <c r="M1210">
        <v>0</v>
      </c>
      <c r="N1210">
        <v>1650</v>
      </c>
    </row>
    <row r="1211" spans="1:14" x14ac:dyDescent="0.25">
      <c r="A1211">
        <v>738.65058599999998</v>
      </c>
      <c r="B1211" s="1">
        <f>DATE(2012,5,8) + TIME(15,36,50)</f>
        <v>41037.650578703702</v>
      </c>
      <c r="C1211">
        <v>80</v>
      </c>
      <c r="D1211">
        <v>79.957725525000001</v>
      </c>
      <c r="E1211">
        <v>40</v>
      </c>
      <c r="F1211">
        <v>39.524917602999999</v>
      </c>
      <c r="G1211">
        <v>1342.1806641000001</v>
      </c>
      <c r="H1211">
        <v>1338.7904053</v>
      </c>
      <c r="I1211">
        <v>1324.0463867000001</v>
      </c>
      <c r="J1211">
        <v>1321.0167236</v>
      </c>
      <c r="K1211">
        <v>1650</v>
      </c>
      <c r="L1211">
        <v>0</v>
      </c>
      <c r="M1211">
        <v>0</v>
      </c>
      <c r="N1211">
        <v>1650</v>
      </c>
    </row>
    <row r="1212" spans="1:14" x14ac:dyDescent="0.25">
      <c r="A1212">
        <v>738.89341400000001</v>
      </c>
      <c r="B1212" s="1">
        <f>DATE(2012,5,8) + TIME(21,26,31)</f>
        <v>41037.893414351849</v>
      </c>
      <c r="C1212">
        <v>80</v>
      </c>
      <c r="D1212">
        <v>79.957862853999998</v>
      </c>
      <c r="E1212">
        <v>40</v>
      </c>
      <c r="F1212">
        <v>39.513267517000003</v>
      </c>
      <c r="G1212">
        <v>1342.1737060999999</v>
      </c>
      <c r="H1212">
        <v>1338.7874756000001</v>
      </c>
      <c r="I1212">
        <v>1324.0457764</v>
      </c>
      <c r="J1212">
        <v>1321.015625</v>
      </c>
      <c r="K1212">
        <v>1650</v>
      </c>
      <c r="L1212">
        <v>0</v>
      </c>
      <c r="M1212">
        <v>0</v>
      </c>
      <c r="N1212">
        <v>1650</v>
      </c>
    </row>
    <row r="1213" spans="1:14" x14ac:dyDescent="0.25">
      <c r="A1213">
        <v>739.14069600000005</v>
      </c>
      <c r="B1213" s="1">
        <f>DATE(2012,5,9) + TIME(3,22,36)</f>
        <v>41038.140694444446</v>
      </c>
      <c r="C1213">
        <v>80</v>
      </c>
      <c r="D1213">
        <v>79.957969665999997</v>
      </c>
      <c r="E1213">
        <v>40</v>
      </c>
      <c r="F1213">
        <v>39.501468658</v>
      </c>
      <c r="G1213">
        <v>1342.1665039</v>
      </c>
      <c r="H1213">
        <v>1338.7843018000001</v>
      </c>
      <c r="I1213">
        <v>1324.0451660000001</v>
      </c>
      <c r="J1213">
        <v>1321.0146483999999</v>
      </c>
      <c r="K1213">
        <v>1650</v>
      </c>
      <c r="L1213">
        <v>0</v>
      </c>
      <c r="M1213">
        <v>0</v>
      </c>
      <c r="N1213">
        <v>1650</v>
      </c>
    </row>
    <row r="1214" spans="1:14" x14ac:dyDescent="0.25">
      <c r="A1214">
        <v>739.39343799999995</v>
      </c>
      <c r="B1214" s="1">
        <f>DATE(2012,5,9) + TIME(9,26,33)</f>
        <v>41038.393437500003</v>
      </c>
      <c r="C1214">
        <v>80</v>
      </c>
      <c r="D1214">
        <v>79.958045959000003</v>
      </c>
      <c r="E1214">
        <v>40</v>
      </c>
      <c r="F1214">
        <v>39.489475249999998</v>
      </c>
      <c r="G1214">
        <v>1342.1590576000001</v>
      </c>
      <c r="H1214">
        <v>1338.7811279</v>
      </c>
      <c r="I1214">
        <v>1324.0445557</v>
      </c>
      <c r="J1214">
        <v>1321.0136719</v>
      </c>
      <c r="K1214">
        <v>1650</v>
      </c>
      <c r="L1214">
        <v>0</v>
      </c>
      <c r="M1214">
        <v>0</v>
      </c>
      <c r="N1214">
        <v>1650</v>
      </c>
    </row>
    <row r="1215" spans="1:14" x14ac:dyDescent="0.25">
      <c r="A1215">
        <v>739.652423</v>
      </c>
      <c r="B1215" s="1">
        <f>DATE(2012,5,9) + TIME(15,39,29)</f>
        <v>41038.652418981481</v>
      </c>
      <c r="C1215">
        <v>80</v>
      </c>
      <c r="D1215">
        <v>79.958099364999995</v>
      </c>
      <c r="E1215">
        <v>40</v>
      </c>
      <c r="F1215">
        <v>39.477264404000003</v>
      </c>
      <c r="G1215">
        <v>1342.1513672000001</v>
      </c>
      <c r="H1215">
        <v>1338.7777100000001</v>
      </c>
      <c r="I1215">
        <v>1324.0438231999999</v>
      </c>
      <c r="J1215">
        <v>1321.0125731999999</v>
      </c>
      <c r="K1215">
        <v>1650</v>
      </c>
      <c r="L1215">
        <v>0</v>
      </c>
      <c r="M1215">
        <v>0</v>
      </c>
      <c r="N1215">
        <v>1650</v>
      </c>
    </row>
    <row r="1216" spans="1:14" x14ac:dyDescent="0.25">
      <c r="A1216">
        <v>739.91851299999996</v>
      </c>
      <c r="B1216" s="1">
        <f>DATE(2012,5,9) + TIME(22,2,39)</f>
        <v>41038.918506944443</v>
      </c>
      <c r="C1216">
        <v>80</v>
      </c>
      <c r="D1216">
        <v>79.958145142000006</v>
      </c>
      <c r="E1216">
        <v>40</v>
      </c>
      <c r="F1216">
        <v>39.464801788000003</v>
      </c>
      <c r="G1216">
        <v>1342.1433105000001</v>
      </c>
      <c r="H1216">
        <v>1338.7742920000001</v>
      </c>
      <c r="I1216">
        <v>1324.0432129000001</v>
      </c>
      <c r="J1216">
        <v>1321.0114745999999</v>
      </c>
      <c r="K1216">
        <v>1650</v>
      </c>
      <c r="L1216">
        <v>0</v>
      </c>
      <c r="M1216">
        <v>0</v>
      </c>
      <c r="N1216">
        <v>1650</v>
      </c>
    </row>
    <row r="1217" spans="1:14" x14ac:dyDescent="0.25">
      <c r="A1217">
        <v>740.18645500000002</v>
      </c>
      <c r="B1217" s="1">
        <f>DATE(2012,5,10) + TIME(4,28,29)</f>
        <v>41039.18644675926</v>
      </c>
      <c r="C1217">
        <v>80</v>
      </c>
      <c r="D1217">
        <v>79.958168029999996</v>
      </c>
      <c r="E1217">
        <v>40</v>
      </c>
      <c r="F1217">
        <v>39.452293396000002</v>
      </c>
      <c r="G1217">
        <v>1342.1351318</v>
      </c>
      <c r="H1217">
        <v>1338.7706298999999</v>
      </c>
      <c r="I1217">
        <v>1324.0424805</v>
      </c>
      <c r="J1217">
        <v>1321.010376</v>
      </c>
      <c r="K1217">
        <v>1650</v>
      </c>
      <c r="L1217">
        <v>0</v>
      </c>
      <c r="M1217">
        <v>0</v>
      </c>
      <c r="N1217">
        <v>1650</v>
      </c>
    </row>
    <row r="1218" spans="1:14" x14ac:dyDescent="0.25">
      <c r="A1218">
        <v>740.45663200000001</v>
      </c>
      <c r="B1218" s="1">
        <f>DATE(2012,5,10) + TIME(10,57,33)</f>
        <v>41039.456631944442</v>
      </c>
      <c r="C1218">
        <v>80</v>
      </c>
      <c r="D1218">
        <v>79.958175659000005</v>
      </c>
      <c r="E1218">
        <v>40</v>
      </c>
      <c r="F1218">
        <v>39.439727783000002</v>
      </c>
      <c r="G1218">
        <v>1342.1268310999999</v>
      </c>
      <c r="H1218">
        <v>1338.7669678</v>
      </c>
      <c r="I1218">
        <v>1324.0418701000001</v>
      </c>
      <c r="J1218">
        <v>1321.0092772999999</v>
      </c>
      <c r="K1218">
        <v>1650</v>
      </c>
      <c r="L1218">
        <v>0</v>
      </c>
      <c r="M1218">
        <v>0</v>
      </c>
      <c r="N1218">
        <v>1650</v>
      </c>
    </row>
    <row r="1219" spans="1:14" x14ac:dyDescent="0.25">
      <c r="A1219">
        <v>740.72958500000004</v>
      </c>
      <c r="B1219" s="1">
        <f>DATE(2012,5,10) + TIME(17,30,36)</f>
        <v>41039.729583333334</v>
      </c>
      <c r="C1219">
        <v>80</v>
      </c>
      <c r="D1219">
        <v>79.958175659000005</v>
      </c>
      <c r="E1219">
        <v>40</v>
      </c>
      <c r="F1219">
        <v>39.427089690999999</v>
      </c>
      <c r="G1219">
        <v>1342.1184082</v>
      </c>
      <c r="H1219">
        <v>1338.7631836</v>
      </c>
      <c r="I1219">
        <v>1324.0411377</v>
      </c>
      <c r="J1219">
        <v>1321.0080565999999</v>
      </c>
      <c r="K1219">
        <v>1650</v>
      </c>
      <c r="L1219">
        <v>0</v>
      </c>
      <c r="M1219">
        <v>0</v>
      </c>
      <c r="N1219">
        <v>1650</v>
      </c>
    </row>
    <row r="1220" spans="1:14" x14ac:dyDescent="0.25">
      <c r="A1220">
        <v>741.00595199999998</v>
      </c>
      <c r="B1220" s="1">
        <f>DATE(2012,5,11) + TIME(0,8,34)</f>
        <v>41040.005949074075</v>
      </c>
      <c r="C1220">
        <v>80</v>
      </c>
      <c r="D1220">
        <v>79.958168029999996</v>
      </c>
      <c r="E1220">
        <v>40</v>
      </c>
      <c r="F1220">
        <v>39.414360045999999</v>
      </c>
      <c r="G1220">
        <v>1342.1098632999999</v>
      </c>
      <c r="H1220">
        <v>1338.7593993999999</v>
      </c>
      <c r="I1220">
        <v>1324.0404053</v>
      </c>
      <c r="J1220">
        <v>1321.0069579999999</v>
      </c>
      <c r="K1220">
        <v>1650</v>
      </c>
      <c r="L1220">
        <v>0</v>
      </c>
      <c r="M1220">
        <v>0</v>
      </c>
      <c r="N1220">
        <v>1650</v>
      </c>
    </row>
    <row r="1221" spans="1:14" x14ac:dyDescent="0.25">
      <c r="A1221">
        <v>741.28626699999995</v>
      </c>
      <c r="B1221" s="1">
        <f>DATE(2012,5,11) + TIME(6,52,13)</f>
        <v>41040.286261574074</v>
      </c>
      <c r="C1221">
        <v>80</v>
      </c>
      <c r="D1221">
        <v>79.958160399999997</v>
      </c>
      <c r="E1221">
        <v>40</v>
      </c>
      <c r="F1221">
        <v>39.401515961000001</v>
      </c>
      <c r="G1221">
        <v>1342.1009521000001</v>
      </c>
      <c r="H1221">
        <v>1338.755249</v>
      </c>
      <c r="I1221">
        <v>1324.0396728999999</v>
      </c>
      <c r="J1221">
        <v>1321.0057373</v>
      </c>
      <c r="K1221">
        <v>1650</v>
      </c>
      <c r="L1221">
        <v>0</v>
      </c>
      <c r="M1221">
        <v>0</v>
      </c>
      <c r="N1221">
        <v>1650</v>
      </c>
    </row>
    <row r="1222" spans="1:14" x14ac:dyDescent="0.25">
      <c r="A1222">
        <v>741.57110599999999</v>
      </c>
      <c r="B1222" s="1">
        <f>DATE(2012,5,11) + TIME(13,42,23)</f>
        <v>41040.571099537039</v>
      </c>
      <c r="C1222">
        <v>80</v>
      </c>
      <c r="D1222">
        <v>79.958137511999993</v>
      </c>
      <c r="E1222">
        <v>40</v>
      </c>
      <c r="F1222">
        <v>39.388545989999997</v>
      </c>
      <c r="G1222">
        <v>1342.0917969</v>
      </c>
      <c r="H1222">
        <v>1338.7509766000001</v>
      </c>
      <c r="I1222">
        <v>1324.0389404</v>
      </c>
      <c r="J1222">
        <v>1321.0046387</v>
      </c>
      <c r="K1222">
        <v>1650</v>
      </c>
      <c r="L1222">
        <v>0</v>
      </c>
      <c r="M1222">
        <v>0</v>
      </c>
      <c r="N1222">
        <v>1650</v>
      </c>
    </row>
    <row r="1223" spans="1:14" x14ac:dyDescent="0.25">
      <c r="A1223">
        <v>741.86109399999998</v>
      </c>
      <c r="B1223" s="1">
        <f>DATE(2012,5,11) + TIME(20,39,58)</f>
        <v>41040.861087962963</v>
      </c>
      <c r="C1223">
        <v>80</v>
      </c>
      <c r="D1223">
        <v>79.958106994999994</v>
      </c>
      <c r="E1223">
        <v>40</v>
      </c>
      <c r="F1223">
        <v>39.375423431000002</v>
      </c>
      <c r="G1223">
        <v>1342.0826416</v>
      </c>
      <c r="H1223">
        <v>1338.7468262</v>
      </c>
      <c r="I1223">
        <v>1324.0382079999999</v>
      </c>
      <c r="J1223">
        <v>1321.003418</v>
      </c>
      <c r="K1223">
        <v>1650</v>
      </c>
      <c r="L1223">
        <v>0</v>
      </c>
      <c r="M1223">
        <v>0</v>
      </c>
      <c r="N1223">
        <v>1650</v>
      </c>
    </row>
    <row r="1224" spans="1:14" x14ac:dyDescent="0.25">
      <c r="A1224">
        <v>742.15689099999997</v>
      </c>
      <c r="B1224" s="1">
        <f>DATE(2012,5,12) + TIME(3,45,55)</f>
        <v>41041.156886574077</v>
      </c>
      <c r="C1224">
        <v>80</v>
      </c>
      <c r="D1224">
        <v>79.958076477000006</v>
      </c>
      <c r="E1224">
        <v>40</v>
      </c>
      <c r="F1224">
        <v>39.362129211000003</v>
      </c>
      <c r="G1224">
        <v>1342.0734863</v>
      </c>
      <c r="H1224">
        <v>1338.7425536999999</v>
      </c>
      <c r="I1224">
        <v>1324.0374756000001</v>
      </c>
      <c r="J1224">
        <v>1321.0020752</v>
      </c>
      <c r="K1224">
        <v>1650</v>
      </c>
      <c r="L1224">
        <v>0</v>
      </c>
      <c r="M1224">
        <v>0</v>
      </c>
      <c r="N1224">
        <v>1650</v>
      </c>
    </row>
    <row r="1225" spans="1:14" x14ac:dyDescent="0.25">
      <c r="A1225">
        <v>742.45920100000001</v>
      </c>
      <c r="B1225" s="1">
        <f>DATE(2012,5,12) + TIME(11,1,14)</f>
        <v>41041.459189814814</v>
      </c>
      <c r="C1225">
        <v>80</v>
      </c>
      <c r="D1225">
        <v>79.958045959000003</v>
      </c>
      <c r="E1225">
        <v>40</v>
      </c>
      <c r="F1225">
        <v>39.348636626999998</v>
      </c>
      <c r="G1225">
        <v>1342.0642089999999</v>
      </c>
      <c r="H1225">
        <v>1338.7384033000001</v>
      </c>
      <c r="I1225">
        <v>1324.0366211</v>
      </c>
      <c r="J1225">
        <v>1321.0008545000001</v>
      </c>
      <c r="K1225">
        <v>1650</v>
      </c>
      <c r="L1225">
        <v>0</v>
      </c>
      <c r="M1225">
        <v>0</v>
      </c>
      <c r="N1225">
        <v>1650</v>
      </c>
    </row>
    <row r="1226" spans="1:14" x14ac:dyDescent="0.25">
      <c r="A1226">
        <v>742.76893500000006</v>
      </c>
      <c r="B1226" s="1">
        <f>DATE(2012,5,12) + TIME(18,27,15)</f>
        <v>41041.768923611111</v>
      </c>
      <c r="C1226">
        <v>80</v>
      </c>
      <c r="D1226">
        <v>79.958007812000005</v>
      </c>
      <c r="E1226">
        <v>40</v>
      </c>
      <c r="F1226">
        <v>39.334911345999998</v>
      </c>
      <c r="G1226">
        <v>1342.0549315999999</v>
      </c>
      <c r="H1226">
        <v>1338.7341309000001</v>
      </c>
      <c r="I1226">
        <v>1324.0357666</v>
      </c>
      <c r="J1226">
        <v>1320.9995117000001</v>
      </c>
      <c r="K1226">
        <v>1650</v>
      </c>
      <c r="L1226">
        <v>0</v>
      </c>
      <c r="M1226">
        <v>0</v>
      </c>
      <c r="N1226">
        <v>1650</v>
      </c>
    </row>
    <row r="1227" spans="1:14" x14ac:dyDescent="0.25">
      <c r="A1227">
        <v>743.08783000000005</v>
      </c>
      <c r="B1227" s="1">
        <f>DATE(2012,5,13) + TIME(2,6,28)</f>
        <v>41042.087824074071</v>
      </c>
      <c r="C1227">
        <v>80</v>
      </c>
      <c r="D1227">
        <v>79.957962035999998</v>
      </c>
      <c r="E1227">
        <v>40</v>
      </c>
      <c r="F1227">
        <v>39.320892334</v>
      </c>
      <c r="G1227">
        <v>1342.0455322</v>
      </c>
      <c r="H1227">
        <v>1338.7298584</v>
      </c>
      <c r="I1227">
        <v>1324.0350341999999</v>
      </c>
      <c r="J1227">
        <v>1320.9981689000001</v>
      </c>
      <c r="K1227">
        <v>1650</v>
      </c>
      <c r="L1227">
        <v>0</v>
      </c>
      <c r="M1227">
        <v>0</v>
      </c>
      <c r="N1227">
        <v>1650</v>
      </c>
    </row>
    <row r="1228" spans="1:14" x14ac:dyDescent="0.25">
      <c r="A1228">
        <v>743.41697799999997</v>
      </c>
      <c r="B1228" s="1">
        <f>DATE(2012,5,13) + TIME(10,0,26)</f>
        <v>41042.416967592595</v>
      </c>
      <c r="C1228">
        <v>80</v>
      </c>
      <c r="D1228">
        <v>79.957916260000005</v>
      </c>
      <c r="E1228">
        <v>40</v>
      </c>
      <c r="F1228">
        <v>39.306549072000003</v>
      </c>
      <c r="G1228">
        <v>1342.0358887</v>
      </c>
      <c r="H1228">
        <v>1338.7254639</v>
      </c>
      <c r="I1228">
        <v>1324.0340576000001</v>
      </c>
      <c r="J1228">
        <v>1320.9967041</v>
      </c>
      <c r="K1228">
        <v>1650</v>
      </c>
      <c r="L1228">
        <v>0</v>
      </c>
      <c r="M1228">
        <v>0</v>
      </c>
      <c r="N1228">
        <v>1650</v>
      </c>
    </row>
    <row r="1229" spans="1:14" x14ac:dyDescent="0.25">
      <c r="A1229">
        <v>743.75599599999998</v>
      </c>
      <c r="B1229" s="1">
        <f>DATE(2012,5,13) + TIME(18,8,38)</f>
        <v>41042.755995370368</v>
      </c>
      <c r="C1229">
        <v>80</v>
      </c>
      <c r="D1229">
        <v>79.957870482999994</v>
      </c>
      <c r="E1229">
        <v>40</v>
      </c>
      <c r="F1229">
        <v>39.291885376000003</v>
      </c>
      <c r="G1229">
        <v>1342.0262451000001</v>
      </c>
      <c r="H1229">
        <v>1338.7210693</v>
      </c>
      <c r="I1229">
        <v>1324.0332031</v>
      </c>
      <c r="J1229">
        <v>1320.9952393000001</v>
      </c>
      <c r="K1229">
        <v>1650</v>
      </c>
      <c r="L1229">
        <v>0</v>
      </c>
      <c r="M1229">
        <v>0</v>
      </c>
      <c r="N1229">
        <v>1650</v>
      </c>
    </row>
    <row r="1230" spans="1:14" x14ac:dyDescent="0.25">
      <c r="A1230">
        <v>744.10127799999998</v>
      </c>
      <c r="B1230" s="1">
        <f>DATE(2012,5,14) + TIME(2,25,50)</f>
        <v>41043.101273148146</v>
      </c>
      <c r="C1230">
        <v>80</v>
      </c>
      <c r="D1230">
        <v>79.957824707</v>
      </c>
      <c r="E1230">
        <v>40</v>
      </c>
      <c r="F1230">
        <v>39.277030945</v>
      </c>
      <c r="G1230">
        <v>1342.0163574000001</v>
      </c>
      <c r="H1230">
        <v>1338.7166748</v>
      </c>
      <c r="I1230">
        <v>1324.0322266000001</v>
      </c>
      <c r="J1230">
        <v>1320.9937743999999</v>
      </c>
      <c r="K1230">
        <v>1650</v>
      </c>
      <c r="L1230">
        <v>0</v>
      </c>
      <c r="M1230">
        <v>0</v>
      </c>
      <c r="N1230">
        <v>1650</v>
      </c>
    </row>
    <row r="1231" spans="1:14" x14ac:dyDescent="0.25">
      <c r="A1231">
        <v>744.45364300000006</v>
      </c>
      <c r="B1231" s="1">
        <f>DATE(2012,5,14) + TIME(10,53,14)</f>
        <v>41043.453634259262</v>
      </c>
      <c r="C1231">
        <v>80</v>
      </c>
      <c r="D1231">
        <v>79.957771300999994</v>
      </c>
      <c r="E1231">
        <v>40</v>
      </c>
      <c r="F1231">
        <v>39.261955260999997</v>
      </c>
      <c r="G1231">
        <v>1342.0064697</v>
      </c>
      <c r="H1231">
        <v>1338.7121582</v>
      </c>
      <c r="I1231">
        <v>1324.03125</v>
      </c>
      <c r="J1231">
        <v>1320.9921875</v>
      </c>
      <c r="K1231">
        <v>1650</v>
      </c>
      <c r="L1231">
        <v>0</v>
      </c>
      <c r="M1231">
        <v>0</v>
      </c>
      <c r="N1231">
        <v>1650</v>
      </c>
    </row>
    <row r="1232" spans="1:14" x14ac:dyDescent="0.25">
      <c r="A1232">
        <v>744.81388100000004</v>
      </c>
      <c r="B1232" s="1">
        <f>DATE(2012,5,14) + TIME(19,31,59)</f>
        <v>41043.813877314817</v>
      </c>
      <c r="C1232">
        <v>80</v>
      </c>
      <c r="D1232">
        <v>79.957717896000005</v>
      </c>
      <c r="E1232">
        <v>40</v>
      </c>
      <c r="F1232">
        <v>39.246646880999997</v>
      </c>
      <c r="G1232">
        <v>1341.996582</v>
      </c>
      <c r="H1232">
        <v>1338.7077637</v>
      </c>
      <c r="I1232">
        <v>1324.0302733999999</v>
      </c>
      <c r="J1232">
        <v>1320.9906006000001</v>
      </c>
      <c r="K1232">
        <v>1650</v>
      </c>
      <c r="L1232">
        <v>0</v>
      </c>
      <c r="M1232">
        <v>0</v>
      </c>
      <c r="N1232">
        <v>1650</v>
      </c>
    </row>
    <row r="1233" spans="1:14" x14ac:dyDescent="0.25">
      <c r="A1233">
        <v>745.17950099999996</v>
      </c>
      <c r="B1233" s="1">
        <f>DATE(2012,5,15) + TIME(4,18,28)</f>
        <v>41044.179490740738</v>
      </c>
      <c r="C1233">
        <v>80</v>
      </c>
      <c r="D1233">
        <v>79.957664489999999</v>
      </c>
      <c r="E1233">
        <v>40</v>
      </c>
      <c r="F1233">
        <v>39.231185912999997</v>
      </c>
      <c r="G1233">
        <v>1341.9865723</v>
      </c>
      <c r="H1233">
        <v>1338.7033690999999</v>
      </c>
      <c r="I1233">
        <v>1324.0292969</v>
      </c>
      <c r="J1233">
        <v>1320.9890137</v>
      </c>
      <c r="K1233">
        <v>1650</v>
      </c>
      <c r="L1233">
        <v>0</v>
      </c>
      <c r="M1233">
        <v>0</v>
      </c>
      <c r="N1233">
        <v>1650</v>
      </c>
    </row>
    <row r="1234" spans="1:14" x14ac:dyDescent="0.25">
      <c r="A1234">
        <v>745.55116399999997</v>
      </c>
      <c r="B1234" s="1">
        <f>DATE(2012,5,15) + TIME(13,13,40)</f>
        <v>41044.551157407404</v>
      </c>
      <c r="C1234">
        <v>80</v>
      </c>
      <c r="D1234">
        <v>79.957603454999997</v>
      </c>
      <c r="E1234">
        <v>40</v>
      </c>
      <c r="F1234">
        <v>39.215560912999997</v>
      </c>
      <c r="G1234">
        <v>1341.9766846</v>
      </c>
      <c r="H1234">
        <v>1338.6988524999999</v>
      </c>
      <c r="I1234">
        <v>1324.0281981999999</v>
      </c>
      <c r="J1234">
        <v>1320.9873047000001</v>
      </c>
      <c r="K1234">
        <v>1650</v>
      </c>
      <c r="L1234">
        <v>0</v>
      </c>
      <c r="M1234">
        <v>0</v>
      </c>
      <c r="N1234">
        <v>1650</v>
      </c>
    </row>
    <row r="1235" spans="1:14" x14ac:dyDescent="0.25">
      <c r="A1235">
        <v>745.92953</v>
      </c>
      <c r="B1235" s="1">
        <f>DATE(2012,5,15) + TIME(22,18,31)</f>
        <v>41044.929525462961</v>
      </c>
      <c r="C1235">
        <v>80</v>
      </c>
      <c r="D1235">
        <v>79.957550049000005</v>
      </c>
      <c r="E1235">
        <v>40</v>
      </c>
      <c r="F1235">
        <v>39.199748993</v>
      </c>
      <c r="G1235">
        <v>1341.9667969</v>
      </c>
      <c r="H1235">
        <v>1338.6944579999999</v>
      </c>
      <c r="I1235">
        <v>1324.0272216999999</v>
      </c>
      <c r="J1235">
        <v>1320.9855957</v>
      </c>
      <c r="K1235">
        <v>1650</v>
      </c>
      <c r="L1235">
        <v>0</v>
      </c>
      <c r="M1235">
        <v>0</v>
      </c>
      <c r="N1235">
        <v>1650</v>
      </c>
    </row>
    <row r="1236" spans="1:14" x14ac:dyDescent="0.25">
      <c r="A1236">
        <v>746.31539199999997</v>
      </c>
      <c r="B1236" s="1">
        <f>DATE(2012,5,16) + TIME(7,34,9)</f>
        <v>41045.315381944441</v>
      </c>
      <c r="C1236">
        <v>80</v>
      </c>
      <c r="D1236">
        <v>79.957489014000004</v>
      </c>
      <c r="E1236">
        <v>40</v>
      </c>
      <c r="F1236">
        <v>39.183738708</v>
      </c>
      <c r="G1236">
        <v>1341.9567870999999</v>
      </c>
      <c r="H1236">
        <v>1338.6900635</v>
      </c>
      <c r="I1236">
        <v>1324.0261230000001</v>
      </c>
      <c r="J1236">
        <v>1320.9838867000001</v>
      </c>
      <c r="K1236">
        <v>1650</v>
      </c>
      <c r="L1236">
        <v>0</v>
      </c>
      <c r="M1236">
        <v>0</v>
      </c>
      <c r="N1236">
        <v>1650</v>
      </c>
    </row>
    <row r="1237" spans="1:14" x14ac:dyDescent="0.25">
      <c r="A1237">
        <v>746.70961399999999</v>
      </c>
      <c r="B1237" s="1">
        <f>DATE(2012,5,16) + TIME(17,1,50)</f>
        <v>41045.709606481483</v>
      </c>
      <c r="C1237">
        <v>80</v>
      </c>
      <c r="D1237">
        <v>79.957435607999997</v>
      </c>
      <c r="E1237">
        <v>40</v>
      </c>
      <c r="F1237">
        <v>39.167495727999999</v>
      </c>
      <c r="G1237">
        <v>1341.9468993999999</v>
      </c>
      <c r="H1237">
        <v>1338.6856689000001</v>
      </c>
      <c r="I1237">
        <v>1324.0249022999999</v>
      </c>
      <c r="J1237">
        <v>1320.9820557</v>
      </c>
      <c r="K1237">
        <v>1650</v>
      </c>
      <c r="L1237">
        <v>0</v>
      </c>
      <c r="M1237">
        <v>0</v>
      </c>
      <c r="N1237">
        <v>1650</v>
      </c>
    </row>
    <row r="1238" spans="1:14" x14ac:dyDescent="0.25">
      <c r="A1238">
        <v>747.11312799999996</v>
      </c>
      <c r="B1238" s="1">
        <f>DATE(2012,5,17) + TIME(2,42,54)</f>
        <v>41046.113125000003</v>
      </c>
      <c r="C1238">
        <v>80</v>
      </c>
      <c r="D1238">
        <v>79.957374572999996</v>
      </c>
      <c r="E1238">
        <v>40</v>
      </c>
      <c r="F1238">
        <v>39.151000977000002</v>
      </c>
      <c r="G1238">
        <v>1341.9368896000001</v>
      </c>
      <c r="H1238">
        <v>1338.6812743999999</v>
      </c>
      <c r="I1238">
        <v>1324.0238036999999</v>
      </c>
      <c r="J1238">
        <v>1320.9802245999999</v>
      </c>
      <c r="K1238">
        <v>1650</v>
      </c>
      <c r="L1238">
        <v>0</v>
      </c>
      <c r="M1238">
        <v>0</v>
      </c>
      <c r="N1238">
        <v>1650</v>
      </c>
    </row>
    <row r="1239" spans="1:14" x14ac:dyDescent="0.25">
      <c r="A1239">
        <v>747.52695200000005</v>
      </c>
      <c r="B1239" s="1">
        <f>DATE(2012,5,17) + TIME(12,38,48)</f>
        <v>41046.526944444442</v>
      </c>
      <c r="C1239">
        <v>80</v>
      </c>
      <c r="D1239">
        <v>79.957313537999994</v>
      </c>
      <c r="E1239">
        <v>40</v>
      </c>
      <c r="F1239">
        <v>39.134223937999998</v>
      </c>
      <c r="G1239">
        <v>1341.9268798999999</v>
      </c>
      <c r="H1239">
        <v>1338.6768798999999</v>
      </c>
      <c r="I1239">
        <v>1324.0225829999999</v>
      </c>
      <c r="J1239">
        <v>1320.9782714999999</v>
      </c>
      <c r="K1239">
        <v>1650</v>
      </c>
      <c r="L1239">
        <v>0</v>
      </c>
      <c r="M1239">
        <v>0</v>
      </c>
      <c r="N1239">
        <v>1650</v>
      </c>
    </row>
    <row r="1240" spans="1:14" x14ac:dyDescent="0.25">
      <c r="A1240">
        <v>747.94508499999995</v>
      </c>
      <c r="B1240" s="1">
        <f>DATE(2012,5,17) + TIME(22,40,55)</f>
        <v>41046.945081018515</v>
      </c>
      <c r="C1240">
        <v>80</v>
      </c>
      <c r="D1240">
        <v>79.957252502000003</v>
      </c>
      <c r="E1240">
        <v>40</v>
      </c>
      <c r="F1240">
        <v>39.117343902999998</v>
      </c>
      <c r="G1240">
        <v>1341.9168701000001</v>
      </c>
      <c r="H1240">
        <v>1338.6724853999999</v>
      </c>
      <c r="I1240">
        <v>1324.0213623</v>
      </c>
      <c r="J1240">
        <v>1320.9763184000001</v>
      </c>
      <c r="K1240">
        <v>1650</v>
      </c>
      <c r="L1240">
        <v>0</v>
      </c>
      <c r="M1240">
        <v>0</v>
      </c>
      <c r="N1240">
        <v>1650</v>
      </c>
    </row>
    <row r="1241" spans="1:14" x14ac:dyDescent="0.25">
      <c r="A1241">
        <v>748.36731199999997</v>
      </c>
      <c r="B1241" s="1">
        <f>DATE(2012,5,18) + TIME(8,48,55)</f>
        <v>41047.367303240739</v>
      </c>
      <c r="C1241">
        <v>80</v>
      </c>
      <c r="D1241">
        <v>79.957191467000001</v>
      </c>
      <c r="E1241">
        <v>40</v>
      </c>
      <c r="F1241">
        <v>39.100379943999997</v>
      </c>
      <c r="G1241">
        <v>1341.9068603999999</v>
      </c>
      <c r="H1241">
        <v>1338.6680908000001</v>
      </c>
      <c r="I1241">
        <v>1324.0201416</v>
      </c>
      <c r="J1241">
        <v>1320.9742432</v>
      </c>
      <c r="K1241">
        <v>1650</v>
      </c>
      <c r="L1241">
        <v>0</v>
      </c>
      <c r="M1241">
        <v>0</v>
      </c>
      <c r="N1241">
        <v>1650</v>
      </c>
    </row>
    <row r="1242" spans="1:14" x14ac:dyDescent="0.25">
      <c r="A1242">
        <v>748.79452200000003</v>
      </c>
      <c r="B1242" s="1">
        <f>DATE(2012,5,18) + TIME(19,4,6)</f>
        <v>41047.79451388889</v>
      </c>
      <c r="C1242">
        <v>80</v>
      </c>
      <c r="D1242">
        <v>79.957130432</v>
      </c>
      <c r="E1242">
        <v>40</v>
      </c>
      <c r="F1242">
        <v>39.083320618000002</v>
      </c>
      <c r="G1242">
        <v>1341.8969727000001</v>
      </c>
      <c r="H1242">
        <v>1338.6638184000001</v>
      </c>
      <c r="I1242">
        <v>1324.0187988</v>
      </c>
      <c r="J1242">
        <v>1320.972168</v>
      </c>
      <c r="K1242">
        <v>1650</v>
      </c>
      <c r="L1242">
        <v>0</v>
      </c>
      <c r="M1242">
        <v>0</v>
      </c>
      <c r="N1242">
        <v>1650</v>
      </c>
    </row>
    <row r="1243" spans="1:14" x14ac:dyDescent="0.25">
      <c r="A1243">
        <v>749.22765600000002</v>
      </c>
      <c r="B1243" s="1">
        <f>DATE(2012,5,19) + TIME(5,27,49)</f>
        <v>41048.227650462963</v>
      </c>
      <c r="C1243">
        <v>80</v>
      </c>
      <c r="D1243">
        <v>79.957069396999998</v>
      </c>
      <c r="E1243">
        <v>40</v>
      </c>
      <c r="F1243">
        <v>39.066139221</v>
      </c>
      <c r="G1243">
        <v>1341.8870850000001</v>
      </c>
      <c r="H1243">
        <v>1338.6594238</v>
      </c>
      <c r="I1243">
        <v>1324.0174560999999</v>
      </c>
      <c r="J1243">
        <v>1320.9700928</v>
      </c>
      <c r="K1243">
        <v>1650</v>
      </c>
      <c r="L1243">
        <v>0</v>
      </c>
      <c r="M1243">
        <v>0</v>
      </c>
      <c r="N1243">
        <v>1650</v>
      </c>
    </row>
    <row r="1244" spans="1:14" x14ac:dyDescent="0.25">
      <c r="A1244">
        <v>749.66773000000001</v>
      </c>
      <c r="B1244" s="1">
        <f>DATE(2012,5,19) + TIME(16,1,31)</f>
        <v>41048.667719907404</v>
      </c>
      <c r="C1244">
        <v>80</v>
      </c>
      <c r="D1244">
        <v>79.957008361999996</v>
      </c>
      <c r="E1244">
        <v>40</v>
      </c>
      <c r="F1244">
        <v>39.048812865999999</v>
      </c>
      <c r="G1244">
        <v>1341.8773193</v>
      </c>
      <c r="H1244">
        <v>1338.6552733999999</v>
      </c>
      <c r="I1244">
        <v>1324.0161132999999</v>
      </c>
      <c r="J1244">
        <v>1320.9678954999999</v>
      </c>
      <c r="K1244">
        <v>1650</v>
      </c>
      <c r="L1244">
        <v>0</v>
      </c>
      <c r="M1244">
        <v>0</v>
      </c>
      <c r="N1244">
        <v>1650</v>
      </c>
    </row>
    <row r="1245" spans="1:14" x14ac:dyDescent="0.25">
      <c r="A1245">
        <v>750.116896</v>
      </c>
      <c r="B1245" s="1">
        <f>DATE(2012,5,20) + TIME(2,48,19)</f>
        <v>41049.116886574076</v>
      </c>
      <c r="C1245">
        <v>80</v>
      </c>
      <c r="D1245">
        <v>79.956947326999995</v>
      </c>
      <c r="E1245">
        <v>40</v>
      </c>
      <c r="F1245">
        <v>39.031280518000003</v>
      </c>
      <c r="G1245">
        <v>1341.8674315999999</v>
      </c>
      <c r="H1245">
        <v>1338.651001</v>
      </c>
      <c r="I1245">
        <v>1324.0147704999999</v>
      </c>
      <c r="J1245">
        <v>1320.9656981999999</v>
      </c>
      <c r="K1245">
        <v>1650</v>
      </c>
      <c r="L1245">
        <v>0</v>
      </c>
      <c r="M1245">
        <v>0</v>
      </c>
      <c r="N1245">
        <v>1650</v>
      </c>
    </row>
    <row r="1246" spans="1:14" x14ac:dyDescent="0.25">
      <c r="A1246">
        <v>750.574432</v>
      </c>
      <c r="B1246" s="1">
        <f>DATE(2012,5,20) + TIME(13,47,10)</f>
        <v>41049.574421296296</v>
      </c>
      <c r="C1246">
        <v>80</v>
      </c>
      <c r="D1246">
        <v>79.956886291999993</v>
      </c>
      <c r="E1246">
        <v>40</v>
      </c>
      <c r="F1246">
        <v>39.013565063000001</v>
      </c>
      <c r="G1246">
        <v>1341.8576660000001</v>
      </c>
      <c r="H1246">
        <v>1338.6467285000001</v>
      </c>
      <c r="I1246">
        <v>1324.0133057</v>
      </c>
      <c r="J1246">
        <v>1320.9633789</v>
      </c>
      <c r="K1246">
        <v>1650</v>
      </c>
      <c r="L1246">
        <v>0</v>
      </c>
      <c r="M1246">
        <v>0</v>
      </c>
      <c r="N1246">
        <v>1650</v>
      </c>
    </row>
    <row r="1247" spans="1:14" x14ac:dyDescent="0.25">
      <c r="A1247">
        <v>751.04148699999996</v>
      </c>
      <c r="B1247" s="1">
        <f>DATE(2012,5,21) + TIME(0,59,44)</f>
        <v>41050.041481481479</v>
      </c>
      <c r="C1247">
        <v>80</v>
      </c>
      <c r="D1247">
        <v>79.956825256000002</v>
      </c>
      <c r="E1247">
        <v>40</v>
      </c>
      <c r="F1247">
        <v>38.995628357000001</v>
      </c>
      <c r="G1247">
        <v>1341.8479004000001</v>
      </c>
      <c r="H1247">
        <v>1338.6425781</v>
      </c>
      <c r="I1247">
        <v>1324.0118408000001</v>
      </c>
      <c r="J1247">
        <v>1320.9609375</v>
      </c>
      <c r="K1247">
        <v>1650</v>
      </c>
      <c r="L1247">
        <v>0</v>
      </c>
      <c r="M1247">
        <v>0</v>
      </c>
      <c r="N1247">
        <v>1650</v>
      </c>
    </row>
    <row r="1248" spans="1:14" x14ac:dyDescent="0.25">
      <c r="A1248">
        <v>751.52050499999996</v>
      </c>
      <c r="B1248" s="1">
        <f>DATE(2012,5,21) + TIME(12,29,31)</f>
        <v>41050.520497685182</v>
      </c>
      <c r="C1248">
        <v>80</v>
      </c>
      <c r="D1248">
        <v>79.956764221</v>
      </c>
      <c r="E1248">
        <v>40</v>
      </c>
      <c r="F1248">
        <v>38.977413177000003</v>
      </c>
      <c r="G1248">
        <v>1341.8380127</v>
      </c>
      <c r="H1248">
        <v>1338.6383057</v>
      </c>
      <c r="I1248">
        <v>1324.010376</v>
      </c>
      <c r="J1248">
        <v>1320.9584961</v>
      </c>
      <c r="K1248">
        <v>1650</v>
      </c>
      <c r="L1248">
        <v>0</v>
      </c>
      <c r="M1248">
        <v>0</v>
      </c>
      <c r="N1248">
        <v>1650</v>
      </c>
    </row>
    <row r="1249" spans="1:14" x14ac:dyDescent="0.25">
      <c r="A1249">
        <v>752.01312099999996</v>
      </c>
      <c r="B1249" s="1">
        <f>DATE(2012,5,22) + TIME(0,18,53)</f>
        <v>41051.013113425928</v>
      </c>
      <c r="C1249">
        <v>80</v>
      </c>
      <c r="D1249">
        <v>79.956703185999999</v>
      </c>
      <c r="E1249">
        <v>40</v>
      </c>
      <c r="F1249">
        <v>38.958866119</v>
      </c>
      <c r="G1249">
        <v>1341.828125</v>
      </c>
      <c r="H1249">
        <v>1338.6340332</v>
      </c>
      <c r="I1249">
        <v>1324.0087891000001</v>
      </c>
      <c r="J1249">
        <v>1320.9559326000001</v>
      </c>
      <c r="K1249">
        <v>1650</v>
      </c>
      <c r="L1249">
        <v>0</v>
      </c>
      <c r="M1249">
        <v>0</v>
      </c>
      <c r="N1249">
        <v>1650</v>
      </c>
    </row>
    <row r="1250" spans="1:14" x14ac:dyDescent="0.25">
      <c r="A1250">
        <v>752.521118</v>
      </c>
      <c r="B1250" s="1">
        <f>DATE(2012,5,22) + TIME(12,30,24)</f>
        <v>41051.521111111113</v>
      </c>
      <c r="C1250">
        <v>80</v>
      </c>
      <c r="D1250">
        <v>79.956642150999997</v>
      </c>
      <c r="E1250">
        <v>40</v>
      </c>
      <c r="F1250">
        <v>38.939933777</v>
      </c>
      <c r="G1250">
        <v>1341.8182373</v>
      </c>
      <c r="H1250">
        <v>1338.6297606999999</v>
      </c>
      <c r="I1250">
        <v>1324.0072021000001</v>
      </c>
      <c r="J1250">
        <v>1320.9533690999999</v>
      </c>
      <c r="K1250">
        <v>1650</v>
      </c>
      <c r="L1250">
        <v>0</v>
      </c>
      <c r="M1250">
        <v>0</v>
      </c>
      <c r="N1250">
        <v>1650</v>
      </c>
    </row>
    <row r="1251" spans="1:14" x14ac:dyDescent="0.25">
      <c r="A1251">
        <v>753.04653299999995</v>
      </c>
      <c r="B1251" s="1">
        <f>DATE(2012,5,23) + TIME(1,7,0)</f>
        <v>41052.046527777777</v>
      </c>
      <c r="C1251">
        <v>80</v>
      </c>
      <c r="D1251">
        <v>79.956581115999995</v>
      </c>
      <c r="E1251">
        <v>40</v>
      </c>
      <c r="F1251">
        <v>38.920566559000001</v>
      </c>
      <c r="G1251">
        <v>1341.8081055</v>
      </c>
      <c r="H1251">
        <v>1338.6254882999999</v>
      </c>
      <c r="I1251">
        <v>1324.0054932</v>
      </c>
      <c r="J1251">
        <v>1320.9505615</v>
      </c>
      <c r="K1251">
        <v>1650</v>
      </c>
      <c r="L1251">
        <v>0</v>
      </c>
      <c r="M1251">
        <v>0</v>
      </c>
      <c r="N1251">
        <v>1650</v>
      </c>
    </row>
    <row r="1252" spans="1:14" x14ac:dyDescent="0.25">
      <c r="A1252">
        <v>753.57635000000005</v>
      </c>
      <c r="B1252" s="1">
        <f>DATE(2012,5,23) + TIME(13,49,56)</f>
        <v>41052.576342592591</v>
      </c>
      <c r="C1252">
        <v>80</v>
      </c>
      <c r="D1252">
        <v>79.956520080999994</v>
      </c>
      <c r="E1252">
        <v>40</v>
      </c>
      <c r="F1252">
        <v>38.901088715</v>
      </c>
      <c r="G1252">
        <v>1341.7978516000001</v>
      </c>
      <c r="H1252">
        <v>1338.6210937999999</v>
      </c>
      <c r="I1252">
        <v>1324.0037841999999</v>
      </c>
      <c r="J1252">
        <v>1320.9477539</v>
      </c>
      <c r="K1252">
        <v>1650</v>
      </c>
      <c r="L1252">
        <v>0</v>
      </c>
      <c r="M1252">
        <v>0</v>
      </c>
      <c r="N1252">
        <v>1650</v>
      </c>
    </row>
    <row r="1253" spans="1:14" x14ac:dyDescent="0.25">
      <c r="A1253">
        <v>754.110141</v>
      </c>
      <c r="B1253" s="1">
        <f>DATE(2012,5,24) + TIME(2,38,36)</f>
        <v>41053.110138888886</v>
      </c>
      <c r="C1253">
        <v>80</v>
      </c>
      <c r="D1253">
        <v>79.956451415999993</v>
      </c>
      <c r="E1253">
        <v>40</v>
      </c>
      <c r="F1253">
        <v>38.881549835000001</v>
      </c>
      <c r="G1253">
        <v>1341.7877197</v>
      </c>
      <c r="H1253">
        <v>1338.6168213000001</v>
      </c>
      <c r="I1253">
        <v>1324.0019531</v>
      </c>
      <c r="J1253">
        <v>1320.9448242000001</v>
      </c>
      <c r="K1253">
        <v>1650</v>
      </c>
      <c r="L1253">
        <v>0</v>
      </c>
      <c r="M1253">
        <v>0</v>
      </c>
      <c r="N1253">
        <v>1650</v>
      </c>
    </row>
    <row r="1254" spans="1:14" x14ac:dyDescent="0.25">
      <c r="A1254">
        <v>754.64904799999999</v>
      </c>
      <c r="B1254" s="1">
        <f>DATE(2012,5,24) + TIME(15,34,37)</f>
        <v>41053.649039351854</v>
      </c>
      <c r="C1254">
        <v>80</v>
      </c>
      <c r="D1254">
        <v>79.956390381000006</v>
      </c>
      <c r="E1254">
        <v>40</v>
      </c>
      <c r="F1254">
        <v>38.861942290999998</v>
      </c>
      <c r="G1254">
        <v>1341.7777100000001</v>
      </c>
      <c r="H1254">
        <v>1338.6125488</v>
      </c>
      <c r="I1254">
        <v>1324.0001221</v>
      </c>
      <c r="J1254">
        <v>1320.9417725000001</v>
      </c>
      <c r="K1254">
        <v>1650</v>
      </c>
      <c r="L1254">
        <v>0</v>
      </c>
      <c r="M1254">
        <v>0</v>
      </c>
      <c r="N1254">
        <v>1650</v>
      </c>
    </row>
    <row r="1255" spans="1:14" x14ac:dyDescent="0.25">
      <c r="A1255">
        <v>755.19426099999998</v>
      </c>
      <c r="B1255" s="1">
        <f>DATE(2012,5,25) + TIME(4,39,44)</f>
        <v>41054.19425925926</v>
      </c>
      <c r="C1255">
        <v>80</v>
      </c>
      <c r="D1255">
        <v>79.956329346000004</v>
      </c>
      <c r="E1255">
        <v>40</v>
      </c>
      <c r="F1255">
        <v>38.842254638999997</v>
      </c>
      <c r="G1255">
        <v>1341.7678223</v>
      </c>
      <c r="H1255">
        <v>1338.6083983999999</v>
      </c>
      <c r="I1255">
        <v>1323.9982910000001</v>
      </c>
      <c r="J1255">
        <v>1320.9387207</v>
      </c>
      <c r="K1255">
        <v>1650</v>
      </c>
      <c r="L1255">
        <v>0</v>
      </c>
      <c r="M1255">
        <v>0</v>
      </c>
      <c r="N1255">
        <v>1650</v>
      </c>
    </row>
    <row r="1256" spans="1:14" x14ac:dyDescent="0.25">
      <c r="A1256">
        <v>755.74722499999996</v>
      </c>
      <c r="B1256" s="1">
        <f>DATE(2012,5,25) + TIME(17,56,0)</f>
        <v>41054.74722222222</v>
      </c>
      <c r="C1256">
        <v>80</v>
      </c>
      <c r="D1256">
        <v>79.956268311000002</v>
      </c>
      <c r="E1256">
        <v>40</v>
      </c>
      <c r="F1256">
        <v>38.822460175000003</v>
      </c>
      <c r="G1256">
        <v>1341.7579346</v>
      </c>
      <c r="H1256">
        <v>1338.604126</v>
      </c>
      <c r="I1256">
        <v>1323.9963379000001</v>
      </c>
      <c r="J1256">
        <v>1320.9355469</v>
      </c>
      <c r="K1256">
        <v>1650</v>
      </c>
      <c r="L1256">
        <v>0</v>
      </c>
      <c r="M1256">
        <v>0</v>
      </c>
      <c r="N1256">
        <v>1650</v>
      </c>
    </row>
    <row r="1257" spans="1:14" x14ac:dyDescent="0.25">
      <c r="A1257">
        <v>756.30896600000005</v>
      </c>
      <c r="B1257" s="1">
        <f>DATE(2012,5,26) + TIME(7,24,54)</f>
        <v>41055.308958333335</v>
      </c>
      <c r="C1257">
        <v>80</v>
      </c>
      <c r="D1257">
        <v>79.956207274999997</v>
      </c>
      <c r="E1257">
        <v>40</v>
      </c>
      <c r="F1257">
        <v>38.802532196000001</v>
      </c>
      <c r="G1257">
        <v>1341.7481689000001</v>
      </c>
      <c r="H1257">
        <v>1338.5999756000001</v>
      </c>
      <c r="I1257">
        <v>1323.9943848</v>
      </c>
      <c r="J1257">
        <v>1320.9323730000001</v>
      </c>
      <c r="K1257">
        <v>1650</v>
      </c>
      <c r="L1257">
        <v>0</v>
      </c>
      <c r="M1257">
        <v>0</v>
      </c>
      <c r="N1257">
        <v>1650</v>
      </c>
    </row>
    <row r="1258" spans="1:14" x14ac:dyDescent="0.25">
      <c r="A1258">
        <v>756.88079400000004</v>
      </c>
      <c r="B1258" s="1">
        <f>DATE(2012,5,26) + TIME(21,8,20)</f>
        <v>41055.880787037036</v>
      </c>
      <c r="C1258">
        <v>80</v>
      </c>
      <c r="D1258">
        <v>79.956146239999995</v>
      </c>
      <c r="E1258">
        <v>40</v>
      </c>
      <c r="F1258">
        <v>38.782447814999998</v>
      </c>
      <c r="G1258">
        <v>1341.7380370999999</v>
      </c>
      <c r="H1258">
        <v>1338.5957031</v>
      </c>
      <c r="I1258">
        <v>1323.9923096</v>
      </c>
      <c r="J1258">
        <v>1320.9289550999999</v>
      </c>
      <c r="K1258">
        <v>1650</v>
      </c>
      <c r="L1258">
        <v>0</v>
      </c>
      <c r="M1258">
        <v>0</v>
      </c>
      <c r="N1258">
        <v>1650</v>
      </c>
    </row>
    <row r="1259" spans="1:14" x14ac:dyDescent="0.25">
      <c r="A1259">
        <v>757.46142799999996</v>
      </c>
      <c r="B1259" s="1">
        <f>DATE(2012,5,27) + TIME(11,4,27)</f>
        <v>41056.461423611108</v>
      </c>
      <c r="C1259">
        <v>80</v>
      </c>
      <c r="D1259">
        <v>79.956085204999994</v>
      </c>
      <c r="E1259">
        <v>40</v>
      </c>
      <c r="F1259">
        <v>38.762233733999999</v>
      </c>
      <c r="G1259">
        <v>1341.7280272999999</v>
      </c>
      <c r="H1259">
        <v>1338.5914307</v>
      </c>
      <c r="I1259">
        <v>1323.9902344</v>
      </c>
      <c r="J1259">
        <v>1320.9255370999999</v>
      </c>
      <c r="K1259">
        <v>1650</v>
      </c>
      <c r="L1259">
        <v>0</v>
      </c>
      <c r="M1259">
        <v>0</v>
      </c>
      <c r="N1259">
        <v>1650</v>
      </c>
    </row>
    <row r="1260" spans="1:14" x14ac:dyDescent="0.25">
      <c r="A1260">
        <v>758.046291</v>
      </c>
      <c r="B1260" s="1">
        <f>DATE(2012,5,28) + TIME(1,6,39)</f>
        <v>41057.046284722222</v>
      </c>
      <c r="C1260">
        <v>80</v>
      </c>
      <c r="D1260">
        <v>79.956024170000006</v>
      </c>
      <c r="E1260">
        <v>40</v>
      </c>
      <c r="F1260">
        <v>38.742008208999998</v>
      </c>
      <c r="G1260">
        <v>1341.7181396000001</v>
      </c>
      <c r="H1260">
        <v>1338.5871582</v>
      </c>
      <c r="I1260">
        <v>1323.9880370999999</v>
      </c>
      <c r="J1260">
        <v>1320.9219971</v>
      </c>
      <c r="K1260">
        <v>1650</v>
      </c>
      <c r="L1260">
        <v>0</v>
      </c>
      <c r="M1260">
        <v>0</v>
      </c>
      <c r="N1260">
        <v>1650</v>
      </c>
    </row>
    <row r="1261" spans="1:14" x14ac:dyDescent="0.25">
      <c r="A1261">
        <v>758.63703799999996</v>
      </c>
      <c r="B1261" s="1">
        <f>DATE(2012,5,28) + TIME(15,17,20)</f>
        <v>41057.637037037035</v>
      </c>
      <c r="C1261">
        <v>80</v>
      </c>
      <c r="D1261">
        <v>79.955963135000005</v>
      </c>
      <c r="E1261">
        <v>40</v>
      </c>
      <c r="F1261">
        <v>38.721748351999999</v>
      </c>
      <c r="G1261">
        <v>1341.7082519999999</v>
      </c>
      <c r="H1261">
        <v>1338.5828856999999</v>
      </c>
      <c r="I1261">
        <v>1323.9858397999999</v>
      </c>
      <c r="J1261">
        <v>1320.918457</v>
      </c>
      <c r="K1261">
        <v>1650</v>
      </c>
      <c r="L1261">
        <v>0</v>
      </c>
      <c r="M1261">
        <v>0</v>
      </c>
      <c r="N1261">
        <v>1650</v>
      </c>
    </row>
    <row r="1262" spans="1:14" x14ac:dyDescent="0.25">
      <c r="A1262">
        <v>759.23499100000004</v>
      </c>
      <c r="B1262" s="1">
        <f>DATE(2012,5,29) + TIME(5,38,23)</f>
        <v>41058.234988425924</v>
      </c>
      <c r="C1262">
        <v>80</v>
      </c>
      <c r="D1262">
        <v>79.955902100000003</v>
      </c>
      <c r="E1262">
        <v>40</v>
      </c>
      <c r="F1262">
        <v>38.701435089</v>
      </c>
      <c r="G1262">
        <v>1341.6983643000001</v>
      </c>
      <c r="H1262">
        <v>1338.5787353999999</v>
      </c>
      <c r="I1262">
        <v>1323.9836425999999</v>
      </c>
      <c r="J1262">
        <v>1320.9146728999999</v>
      </c>
      <c r="K1262">
        <v>1650</v>
      </c>
      <c r="L1262">
        <v>0</v>
      </c>
      <c r="M1262">
        <v>0</v>
      </c>
      <c r="N1262">
        <v>1650</v>
      </c>
    </row>
    <row r="1263" spans="1:14" x14ac:dyDescent="0.25">
      <c r="A1263">
        <v>759.84159799999998</v>
      </c>
      <c r="B1263" s="1">
        <f>DATE(2012,5,29) + TIME(20,11,54)</f>
        <v>41058.841597222221</v>
      </c>
      <c r="C1263">
        <v>80</v>
      </c>
      <c r="D1263">
        <v>79.955848693999997</v>
      </c>
      <c r="E1263">
        <v>40</v>
      </c>
      <c r="F1263">
        <v>38.681037903000004</v>
      </c>
      <c r="G1263">
        <v>1341.6887207</v>
      </c>
      <c r="H1263">
        <v>1338.5745850000001</v>
      </c>
      <c r="I1263">
        <v>1323.9813231999999</v>
      </c>
      <c r="J1263">
        <v>1320.9108887</v>
      </c>
      <c r="K1263">
        <v>1650</v>
      </c>
      <c r="L1263">
        <v>0</v>
      </c>
      <c r="M1263">
        <v>0</v>
      </c>
      <c r="N1263">
        <v>1650</v>
      </c>
    </row>
    <row r="1264" spans="1:14" x14ac:dyDescent="0.25">
      <c r="A1264">
        <v>760.461367</v>
      </c>
      <c r="B1264" s="1">
        <f>DATE(2012,5,30) + TIME(11,4,22)</f>
        <v>41059.461365740739</v>
      </c>
      <c r="C1264">
        <v>80</v>
      </c>
      <c r="D1264">
        <v>79.955787658999995</v>
      </c>
      <c r="E1264">
        <v>40</v>
      </c>
      <c r="F1264">
        <v>38.660453795999999</v>
      </c>
      <c r="G1264">
        <v>1341.6789550999999</v>
      </c>
      <c r="H1264">
        <v>1338.5704346</v>
      </c>
      <c r="I1264">
        <v>1323.9790039</v>
      </c>
      <c r="J1264">
        <v>1320.9069824000001</v>
      </c>
      <c r="K1264">
        <v>1650</v>
      </c>
      <c r="L1264">
        <v>0</v>
      </c>
      <c r="M1264">
        <v>0</v>
      </c>
      <c r="N1264">
        <v>1650</v>
      </c>
    </row>
    <row r="1265" spans="1:14" x14ac:dyDescent="0.25">
      <c r="A1265">
        <v>761.09709599999996</v>
      </c>
      <c r="B1265" s="1">
        <f>DATE(2012,5,31) + TIME(2,19,49)</f>
        <v>41060.097094907411</v>
      </c>
      <c r="C1265">
        <v>80</v>
      </c>
      <c r="D1265">
        <v>79.955726623999993</v>
      </c>
      <c r="E1265">
        <v>40</v>
      </c>
      <c r="F1265">
        <v>38.639621734999999</v>
      </c>
      <c r="G1265">
        <v>1341.6691894999999</v>
      </c>
      <c r="H1265">
        <v>1338.5662841999999</v>
      </c>
      <c r="I1265">
        <v>1323.9765625</v>
      </c>
      <c r="J1265">
        <v>1320.902832</v>
      </c>
      <c r="K1265">
        <v>1650</v>
      </c>
      <c r="L1265">
        <v>0</v>
      </c>
      <c r="M1265">
        <v>0</v>
      </c>
      <c r="N1265">
        <v>1650</v>
      </c>
    </row>
    <row r="1266" spans="1:14" x14ac:dyDescent="0.25">
      <c r="A1266">
        <v>761.75119199999995</v>
      </c>
      <c r="B1266" s="1">
        <f>DATE(2012,5,31) + TIME(18,1,43)</f>
        <v>41060.751192129632</v>
      </c>
      <c r="C1266">
        <v>80</v>
      </c>
      <c r="D1266">
        <v>79.955665588000002</v>
      </c>
      <c r="E1266">
        <v>40</v>
      </c>
      <c r="F1266">
        <v>38.618473053000002</v>
      </c>
      <c r="G1266">
        <v>1341.6594238</v>
      </c>
      <c r="H1266">
        <v>1338.5620117000001</v>
      </c>
      <c r="I1266">
        <v>1323.973999</v>
      </c>
      <c r="J1266">
        <v>1320.8986815999999</v>
      </c>
      <c r="K1266">
        <v>1650</v>
      </c>
      <c r="L1266">
        <v>0</v>
      </c>
      <c r="M1266">
        <v>0</v>
      </c>
      <c r="N1266">
        <v>1650</v>
      </c>
    </row>
    <row r="1267" spans="1:14" x14ac:dyDescent="0.25">
      <c r="A1267">
        <v>762</v>
      </c>
      <c r="B1267" s="1">
        <f>DATE(2012,6,1) + TIME(0,0,0)</f>
        <v>41061</v>
      </c>
      <c r="C1267">
        <v>80</v>
      </c>
      <c r="D1267">
        <v>79.955635071000003</v>
      </c>
      <c r="E1267">
        <v>40</v>
      </c>
      <c r="F1267">
        <v>38.608333588000001</v>
      </c>
      <c r="G1267">
        <v>1341.6495361</v>
      </c>
      <c r="H1267">
        <v>1338.5577393000001</v>
      </c>
      <c r="I1267">
        <v>1323.9714355000001</v>
      </c>
      <c r="J1267">
        <v>1320.8947754000001</v>
      </c>
      <c r="K1267">
        <v>1650</v>
      </c>
      <c r="L1267">
        <v>0</v>
      </c>
      <c r="M1267">
        <v>0</v>
      </c>
      <c r="N1267">
        <v>1650</v>
      </c>
    </row>
    <row r="1268" spans="1:14" x14ac:dyDescent="0.25">
      <c r="A1268">
        <v>762.67522399999996</v>
      </c>
      <c r="B1268" s="1">
        <f>DATE(2012,6,1) + TIME(16,12,19)</f>
        <v>41061.675219907411</v>
      </c>
      <c r="C1268">
        <v>80</v>
      </c>
      <c r="D1268">
        <v>79.955581664999997</v>
      </c>
      <c r="E1268">
        <v>40</v>
      </c>
      <c r="F1268">
        <v>38.58757782</v>
      </c>
      <c r="G1268">
        <v>1341.645874</v>
      </c>
      <c r="H1268">
        <v>1338.5561522999999</v>
      </c>
      <c r="I1268">
        <v>1323.9703368999999</v>
      </c>
      <c r="J1268">
        <v>1320.8923339999999</v>
      </c>
      <c r="K1268">
        <v>1650</v>
      </c>
      <c r="L1268">
        <v>0</v>
      </c>
      <c r="M1268">
        <v>0</v>
      </c>
      <c r="N1268">
        <v>1650</v>
      </c>
    </row>
    <row r="1269" spans="1:14" x14ac:dyDescent="0.25">
      <c r="A1269">
        <v>763.384501</v>
      </c>
      <c r="B1269" s="1">
        <f>DATE(2012,6,2) + TIME(9,13,40)</f>
        <v>41062.38449074074</v>
      </c>
      <c r="C1269">
        <v>80</v>
      </c>
      <c r="D1269">
        <v>79.955520629999995</v>
      </c>
      <c r="E1269">
        <v>40</v>
      </c>
      <c r="F1269">
        <v>38.565956116000002</v>
      </c>
      <c r="G1269">
        <v>1341.6358643000001</v>
      </c>
      <c r="H1269">
        <v>1338.5518798999999</v>
      </c>
      <c r="I1269">
        <v>1323.9675293</v>
      </c>
      <c r="J1269">
        <v>1320.8878173999999</v>
      </c>
      <c r="K1269">
        <v>1650</v>
      </c>
      <c r="L1269">
        <v>0</v>
      </c>
      <c r="M1269">
        <v>0</v>
      </c>
      <c r="N1269">
        <v>1650</v>
      </c>
    </row>
    <row r="1270" spans="1:14" x14ac:dyDescent="0.25">
      <c r="A1270">
        <v>764.12251000000003</v>
      </c>
      <c r="B1270" s="1">
        <f>DATE(2012,6,3) + TIME(2,56,24)</f>
        <v>41063.122499999998</v>
      </c>
      <c r="C1270">
        <v>80</v>
      </c>
      <c r="D1270">
        <v>79.955467224000003</v>
      </c>
      <c r="E1270">
        <v>40</v>
      </c>
      <c r="F1270">
        <v>38.543598175</v>
      </c>
      <c r="G1270">
        <v>1341.6256103999999</v>
      </c>
      <c r="H1270">
        <v>1338.5474853999999</v>
      </c>
      <c r="I1270">
        <v>1323.9645995999999</v>
      </c>
      <c r="J1270">
        <v>1320.8828125</v>
      </c>
      <c r="K1270">
        <v>1650</v>
      </c>
      <c r="L1270">
        <v>0</v>
      </c>
      <c r="M1270">
        <v>0</v>
      </c>
      <c r="N1270">
        <v>1650</v>
      </c>
    </row>
    <row r="1271" spans="1:14" x14ac:dyDescent="0.25">
      <c r="A1271">
        <v>764.88350600000001</v>
      </c>
      <c r="B1271" s="1">
        <f>DATE(2012,6,3) + TIME(21,12,14)</f>
        <v>41063.88349537037</v>
      </c>
      <c r="C1271">
        <v>80</v>
      </c>
      <c r="D1271">
        <v>79.955406189000001</v>
      </c>
      <c r="E1271">
        <v>40</v>
      </c>
      <c r="F1271">
        <v>38.520668030000003</v>
      </c>
      <c r="G1271">
        <v>1341.6151123</v>
      </c>
      <c r="H1271">
        <v>1338.5429687999999</v>
      </c>
      <c r="I1271">
        <v>1323.9615478999999</v>
      </c>
      <c r="J1271">
        <v>1320.8776855000001</v>
      </c>
      <c r="K1271">
        <v>1650</v>
      </c>
      <c r="L1271">
        <v>0</v>
      </c>
      <c r="M1271">
        <v>0</v>
      </c>
      <c r="N1271">
        <v>1650</v>
      </c>
    </row>
    <row r="1272" spans="1:14" x14ac:dyDescent="0.25">
      <c r="A1272">
        <v>765.64753800000005</v>
      </c>
      <c r="B1272" s="1">
        <f>DATE(2012,6,4) + TIME(15,32,27)</f>
        <v>41064.647534722222</v>
      </c>
      <c r="C1272">
        <v>80</v>
      </c>
      <c r="D1272">
        <v>79.955345154</v>
      </c>
      <c r="E1272">
        <v>40</v>
      </c>
      <c r="F1272">
        <v>38.497611999999997</v>
      </c>
      <c r="G1272">
        <v>1341.6043701000001</v>
      </c>
      <c r="H1272">
        <v>1338.5384521000001</v>
      </c>
      <c r="I1272">
        <v>1323.9582519999999</v>
      </c>
      <c r="J1272">
        <v>1320.8721923999999</v>
      </c>
      <c r="K1272">
        <v>1650</v>
      </c>
      <c r="L1272">
        <v>0</v>
      </c>
      <c r="M1272">
        <v>0</v>
      </c>
      <c r="N1272">
        <v>1650</v>
      </c>
    </row>
    <row r="1273" spans="1:14" x14ac:dyDescent="0.25">
      <c r="A1273">
        <v>766.02993900000001</v>
      </c>
      <c r="B1273" s="1">
        <f>DATE(2012,6,5) + TIME(0,43,6)</f>
        <v>41065.029930555553</v>
      </c>
      <c r="C1273">
        <v>80</v>
      </c>
      <c r="D1273">
        <v>79.955299377000003</v>
      </c>
      <c r="E1273">
        <v>40</v>
      </c>
      <c r="F1273">
        <v>38.483467101999999</v>
      </c>
      <c r="G1273">
        <v>1341.5938721</v>
      </c>
      <c r="H1273">
        <v>1338.5339355000001</v>
      </c>
      <c r="I1273">
        <v>1323.9550781</v>
      </c>
      <c r="J1273">
        <v>1320.8671875</v>
      </c>
      <c r="K1273">
        <v>1650</v>
      </c>
      <c r="L1273">
        <v>0</v>
      </c>
      <c r="M1273">
        <v>0</v>
      </c>
      <c r="N1273">
        <v>1650</v>
      </c>
    </row>
    <row r="1274" spans="1:14" x14ac:dyDescent="0.25">
      <c r="A1274">
        <v>766.41233999999997</v>
      </c>
      <c r="B1274" s="1">
        <f>DATE(2012,6,5) + TIME(9,53,46)</f>
        <v>41065.41233796296</v>
      </c>
      <c r="C1274">
        <v>80</v>
      </c>
      <c r="D1274">
        <v>79.955253600999995</v>
      </c>
      <c r="E1274">
        <v>40</v>
      </c>
      <c r="F1274">
        <v>38.469974518000001</v>
      </c>
      <c r="G1274">
        <v>1341.5887451000001</v>
      </c>
      <c r="H1274">
        <v>1338.5316161999999</v>
      </c>
      <c r="I1274">
        <v>1323.9532471</v>
      </c>
      <c r="J1274">
        <v>1320.8640137</v>
      </c>
      <c r="K1274">
        <v>1650</v>
      </c>
      <c r="L1274">
        <v>0</v>
      </c>
      <c r="M1274">
        <v>0</v>
      </c>
      <c r="N1274">
        <v>1650</v>
      </c>
    </row>
    <row r="1275" spans="1:14" x14ac:dyDescent="0.25">
      <c r="A1275">
        <v>767.177142</v>
      </c>
      <c r="B1275" s="1">
        <f>DATE(2012,6,6) + TIME(4,15,5)</f>
        <v>41066.177141203705</v>
      </c>
      <c r="C1275">
        <v>80</v>
      </c>
      <c r="D1275">
        <v>79.955215453999998</v>
      </c>
      <c r="E1275">
        <v>40</v>
      </c>
      <c r="F1275">
        <v>38.448871613000001</v>
      </c>
      <c r="G1275">
        <v>1341.5837402</v>
      </c>
      <c r="H1275">
        <v>1338.5295410000001</v>
      </c>
      <c r="I1275">
        <v>1323.9514160000001</v>
      </c>
      <c r="J1275">
        <v>1320.8604736</v>
      </c>
      <c r="K1275">
        <v>1650</v>
      </c>
      <c r="L1275">
        <v>0</v>
      </c>
      <c r="M1275">
        <v>0</v>
      </c>
      <c r="N1275">
        <v>1650</v>
      </c>
    </row>
    <row r="1276" spans="1:14" x14ac:dyDescent="0.25">
      <c r="A1276">
        <v>767.94240100000002</v>
      </c>
      <c r="B1276" s="1">
        <f>DATE(2012,6,6) + TIME(22,37,3)</f>
        <v>41066.942395833335</v>
      </c>
      <c r="C1276">
        <v>80</v>
      </c>
      <c r="D1276">
        <v>79.955162048000005</v>
      </c>
      <c r="E1276">
        <v>40</v>
      </c>
      <c r="F1276">
        <v>38.427326202000003</v>
      </c>
      <c r="G1276">
        <v>1341.5736084</v>
      </c>
      <c r="H1276">
        <v>1338.5251464999999</v>
      </c>
      <c r="I1276">
        <v>1323.9481201000001</v>
      </c>
      <c r="J1276">
        <v>1320.8548584</v>
      </c>
      <c r="K1276">
        <v>1650</v>
      </c>
      <c r="L1276">
        <v>0</v>
      </c>
      <c r="M1276">
        <v>0</v>
      </c>
      <c r="N1276">
        <v>1650</v>
      </c>
    </row>
    <row r="1277" spans="1:14" x14ac:dyDescent="0.25">
      <c r="A1277">
        <v>768.71122600000001</v>
      </c>
      <c r="B1277" s="1">
        <f>DATE(2012,6,7) + TIME(17,4,9)</f>
        <v>41067.711215277777</v>
      </c>
      <c r="C1277">
        <v>80</v>
      </c>
      <c r="D1277">
        <v>79.955108643000003</v>
      </c>
      <c r="E1277">
        <v>40</v>
      </c>
      <c r="F1277">
        <v>38.405567169000001</v>
      </c>
      <c r="G1277">
        <v>1341.5637207</v>
      </c>
      <c r="H1277">
        <v>1338.520874</v>
      </c>
      <c r="I1277">
        <v>1323.9445800999999</v>
      </c>
      <c r="J1277">
        <v>1320.848999</v>
      </c>
      <c r="K1277">
        <v>1650</v>
      </c>
      <c r="L1277">
        <v>0</v>
      </c>
      <c r="M1277">
        <v>0</v>
      </c>
      <c r="N1277">
        <v>1650</v>
      </c>
    </row>
    <row r="1278" spans="1:14" x14ac:dyDescent="0.25">
      <c r="A1278">
        <v>769.48577799999998</v>
      </c>
      <c r="B1278" s="1">
        <f>DATE(2012,6,8) + TIME(11,39,31)</f>
        <v>41068.485775462963</v>
      </c>
      <c r="C1278">
        <v>80</v>
      </c>
      <c r="D1278">
        <v>79.955047606999997</v>
      </c>
      <c r="E1278">
        <v>40</v>
      </c>
      <c r="F1278">
        <v>38.383724213000001</v>
      </c>
      <c r="G1278">
        <v>1341.5538329999999</v>
      </c>
      <c r="H1278">
        <v>1338.5167236</v>
      </c>
      <c r="I1278">
        <v>1323.9411620999999</v>
      </c>
      <c r="J1278">
        <v>1320.8430175999999</v>
      </c>
      <c r="K1278">
        <v>1650</v>
      </c>
      <c r="L1278">
        <v>0</v>
      </c>
      <c r="M1278">
        <v>0</v>
      </c>
      <c r="N1278">
        <v>1650</v>
      </c>
    </row>
    <row r="1279" spans="1:14" x14ac:dyDescent="0.25">
      <c r="A1279">
        <v>770.26856599999996</v>
      </c>
      <c r="B1279" s="1">
        <f>DATE(2012,6,9) + TIME(6,26,44)</f>
        <v>41069.268564814818</v>
      </c>
      <c r="C1279">
        <v>80</v>
      </c>
      <c r="D1279">
        <v>79.954994201999995</v>
      </c>
      <c r="E1279">
        <v>40</v>
      </c>
      <c r="F1279">
        <v>38.361858368</v>
      </c>
      <c r="G1279">
        <v>1341.5441894999999</v>
      </c>
      <c r="H1279">
        <v>1338.5124512</v>
      </c>
      <c r="I1279">
        <v>1323.9375</v>
      </c>
      <c r="J1279">
        <v>1320.8369141000001</v>
      </c>
      <c r="K1279">
        <v>1650</v>
      </c>
      <c r="L1279">
        <v>0</v>
      </c>
      <c r="M1279">
        <v>0</v>
      </c>
      <c r="N1279">
        <v>1650</v>
      </c>
    </row>
    <row r="1280" spans="1:14" x14ac:dyDescent="0.25">
      <c r="A1280">
        <v>771.06158600000003</v>
      </c>
      <c r="B1280" s="1">
        <f>DATE(2012,6,10) + TIME(1,28,41)</f>
        <v>41070.061585648145</v>
      </c>
      <c r="C1280">
        <v>80</v>
      </c>
      <c r="D1280">
        <v>79.954940796000002</v>
      </c>
      <c r="E1280">
        <v>40</v>
      </c>
      <c r="F1280">
        <v>38.339992522999999</v>
      </c>
      <c r="G1280">
        <v>1341.5345459</v>
      </c>
      <c r="H1280">
        <v>1338.5083007999999</v>
      </c>
      <c r="I1280">
        <v>1323.9338379000001</v>
      </c>
      <c r="J1280">
        <v>1320.8305664</v>
      </c>
      <c r="K1280">
        <v>1650</v>
      </c>
      <c r="L1280">
        <v>0</v>
      </c>
      <c r="M1280">
        <v>0</v>
      </c>
      <c r="N1280">
        <v>1650</v>
      </c>
    </row>
    <row r="1281" spans="1:14" x14ac:dyDescent="0.25">
      <c r="A1281">
        <v>771.87177299999996</v>
      </c>
      <c r="B1281" s="1">
        <f>DATE(2012,6,10) + TIME(20,55,21)</f>
        <v>41070.871770833335</v>
      </c>
      <c r="C1281">
        <v>80</v>
      </c>
      <c r="D1281">
        <v>79.954887389999996</v>
      </c>
      <c r="E1281">
        <v>40</v>
      </c>
      <c r="F1281">
        <v>38.318054199000002</v>
      </c>
      <c r="G1281">
        <v>1341.5249022999999</v>
      </c>
      <c r="H1281">
        <v>1338.5041504000001</v>
      </c>
      <c r="I1281">
        <v>1323.9300536999999</v>
      </c>
      <c r="J1281">
        <v>1320.8240966999999</v>
      </c>
      <c r="K1281">
        <v>1650</v>
      </c>
      <c r="L1281">
        <v>0</v>
      </c>
      <c r="M1281">
        <v>0</v>
      </c>
      <c r="N1281">
        <v>1650</v>
      </c>
    </row>
    <row r="1282" spans="1:14" x14ac:dyDescent="0.25">
      <c r="A1282">
        <v>772.70362599999999</v>
      </c>
      <c r="B1282" s="1">
        <f>DATE(2012,6,11) + TIME(16,53,13)</f>
        <v>41071.703622685185</v>
      </c>
      <c r="C1282">
        <v>80</v>
      </c>
      <c r="D1282">
        <v>79.954833984000004</v>
      </c>
      <c r="E1282">
        <v>40</v>
      </c>
      <c r="F1282">
        <v>38.295982361</v>
      </c>
      <c r="G1282">
        <v>1341.5152588000001</v>
      </c>
      <c r="H1282">
        <v>1338.5</v>
      </c>
      <c r="I1282">
        <v>1323.9261475000001</v>
      </c>
      <c r="J1282">
        <v>1320.8173827999999</v>
      </c>
      <c r="K1282">
        <v>1650</v>
      </c>
      <c r="L1282">
        <v>0</v>
      </c>
      <c r="M1282">
        <v>0</v>
      </c>
      <c r="N1282">
        <v>1650</v>
      </c>
    </row>
    <row r="1283" spans="1:14" x14ac:dyDescent="0.25">
      <c r="A1283">
        <v>773.55852100000004</v>
      </c>
      <c r="B1283" s="1">
        <f>DATE(2012,6,12) + TIME(13,24,16)</f>
        <v>41072.558518518519</v>
      </c>
      <c r="C1283">
        <v>80</v>
      </c>
      <c r="D1283">
        <v>79.954780579000001</v>
      </c>
      <c r="E1283">
        <v>40</v>
      </c>
      <c r="F1283">
        <v>38.273757934999999</v>
      </c>
      <c r="G1283">
        <v>1341.5056152</v>
      </c>
      <c r="H1283">
        <v>1338.4957274999999</v>
      </c>
      <c r="I1283">
        <v>1323.9221190999999</v>
      </c>
      <c r="J1283">
        <v>1320.8103027</v>
      </c>
      <c r="K1283">
        <v>1650</v>
      </c>
      <c r="L1283">
        <v>0</v>
      </c>
      <c r="M1283">
        <v>0</v>
      </c>
      <c r="N1283">
        <v>1650</v>
      </c>
    </row>
    <row r="1284" spans="1:14" x14ac:dyDescent="0.25">
      <c r="A1284">
        <v>774.42746</v>
      </c>
      <c r="B1284" s="1">
        <f>DATE(2012,6,13) + TIME(10,15,32)</f>
        <v>41073.427453703705</v>
      </c>
      <c r="C1284">
        <v>80</v>
      </c>
      <c r="D1284">
        <v>79.954727172999995</v>
      </c>
      <c r="E1284">
        <v>40</v>
      </c>
      <c r="F1284">
        <v>38.251541138</v>
      </c>
      <c r="G1284">
        <v>1341.4957274999999</v>
      </c>
      <c r="H1284">
        <v>1338.4913329999999</v>
      </c>
      <c r="I1284">
        <v>1323.9178466999999</v>
      </c>
      <c r="J1284">
        <v>1320.8029785000001</v>
      </c>
      <c r="K1284">
        <v>1650</v>
      </c>
      <c r="L1284">
        <v>0</v>
      </c>
      <c r="M1284">
        <v>0</v>
      </c>
      <c r="N1284">
        <v>1650</v>
      </c>
    </row>
    <row r="1285" spans="1:14" x14ac:dyDescent="0.25">
      <c r="A1285">
        <v>775.31949499999996</v>
      </c>
      <c r="B1285" s="1">
        <f>DATE(2012,6,14) + TIME(7,40,4)</f>
        <v>41074.319490740738</v>
      </c>
      <c r="C1285">
        <v>80</v>
      </c>
      <c r="D1285">
        <v>79.954673767000003</v>
      </c>
      <c r="E1285">
        <v>40</v>
      </c>
      <c r="F1285">
        <v>38.229251861999998</v>
      </c>
      <c r="G1285">
        <v>1341.4859618999999</v>
      </c>
      <c r="H1285">
        <v>1338.4870605000001</v>
      </c>
      <c r="I1285">
        <v>1323.9135742000001</v>
      </c>
      <c r="J1285">
        <v>1320.7954102000001</v>
      </c>
      <c r="K1285">
        <v>1650</v>
      </c>
      <c r="L1285">
        <v>0</v>
      </c>
      <c r="M1285">
        <v>0</v>
      </c>
      <c r="N1285">
        <v>1650</v>
      </c>
    </row>
    <row r="1286" spans="1:14" x14ac:dyDescent="0.25">
      <c r="A1286">
        <v>776.23843499999998</v>
      </c>
      <c r="B1286" s="1">
        <f>DATE(2012,6,15) + TIME(5,43,20)</f>
        <v>41075.238425925927</v>
      </c>
      <c r="C1286">
        <v>80</v>
      </c>
      <c r="D1286">
        <v>79.954627990999995</v>
      </c>
      <c r="E1286">
        <v>40</v>
      </c>
      <c r="F1286">
        <v>38.206863403</v>
      </c>
      <c r="G1286">
        <v>1341.4760742000001</v>
      </c>
      <c r="H1286">
        <v>1338.4826660000001</v>
      </c>
      <c r="I1286">
        <v>1323.9090576000001</v>
      </c>
      <c r="J1286">
        <v>1320.7874756000001</v>
      </c>
      <c r="K1286">
        <v>1650</v>
      </c>
      <c r="L1286">
        <v>0</v>
      </c>
      <c r="M1286">
        <v>0</v>
      </c>
      <c r="N1286">
        <v>1650</v>
      </c>
    </row>
    <row r="1287" spans="1:14" x14ac:dyDescent="0.25">
      <c r="A1287">
        <v>777.18855299999996</v>
      </c>
      <c r="B1287" s="1">
        <f>DATE(2012,6,16) + TIME(4,31,30)</f>
        <v>41076.18854166667</v>
      </c>
      <c r="C1287">
        <v>80</v>
      </c>
      <c r="D1287">
        <v>79.954574585000003</v>
      </c>
      <c r="E1287">
        <v>40</v>
      </c>
      <c r="F1287">
        <v>38.184341431</v>
      </c>
      <c r="G1287">
        <v>1341.4660644999999</v>
      </c>
      <c r="H1287">
        <v>1338.4782714999999</v>
      </c>
      <c r="I1287">
        <v>1323.9042969</v>
      </c>
      <c r="J1287">
        <v>1320.7792969</v>
      </c>
      <c r="K1287">
        <v>1650</v>
      </c>
      <c r="L1287">
        <v>0</v>
      </c>
      <c r="M1287">
        <v>0</v>
      </c>
      <c r="N1287">
        <v>1650</v>
      </c>
    </row>
    <row r="1288" spans="1:14" x14ac:dyDescent="0.25">
      <c r="A1288">
        <v>778.17470100000003</v>
      </c>
      <c r="B1288" s="1">
        <f>DATE(2012,6,17) + TIME(4,11,34)</f>
        <v>41077.174699074072</v>
      </c>
      <c r="C1288">
        <v>80</v>
      </c>
      <c r="D1288">
        <v>79.954521178999997</v>
      </c>
      <c r="E1288">
        <v>40</v>
      </c>
      <c r="F1288">
        <v>38.161659241000002</v>
      </c>
      <c r="G1288">
        <v>1341.4558105000001</v>
      </c>
      <c r="H1288">
        <v>1338.4737548999999</v>
      </c>
      <c r="I1288">
        <v>1323.8994141000001</v>
      </c>
      <c r="J1288">
        <v>1320.7706298999999</v>
      </c>
      <c r="K1288">
        <v>1650</v>
      </c>
      <c r="L1288">
        <v>0</v>
      </c>
      <c r="M1288">
        <v>0</v>
      </c>
      <c r="N1288">
        <v>1650</v>
      </c>
    </row>
    <row r="1289" spans="1:14" x14ac:dyDescent="0.25">
      <c r="A1289">
        <v>778.67684399999996</v>
      </c>
      <c r="B1289" s="1">
        <f>DATE(2012,6,17) + TIME(16,14,39)</f>
        <v>41077.676840277774</v>
      </c>
      <c r="C1289">
        <v>80</v>
      </c>
      <c r="D1289">
        <v>79.954475403000004</v>
      </c>
      <c r="E1289">
        <v>40</v>
      </c>
      <c r="F1289">
        <v>38.147174835000001</v>
      </c>
      <c r="G1289">
        <v>1341.4454346</v>
      </c>
      <c r="H1289">
        <v>1338.4691161999999</v>
      </c>
      <c r="I1289">
        <v>1323.8945312000001</v>
      </c>
      <c r="J1289">
        <v>1320.7624512</v>
      </c>
      <c r="K1289">
        <v>1650</v>
      </c>
      <c r="L1289">
        <v>0</v>
      </c>
      <c r="M1289">
        <v>0</v>
      </c>
      <c r="N1289">
        <v>1650</v>
      </c>
    </row>
    <row r="1290" spans="1:14" x14ac:dyDescent="0.25">
      <c r="A1290">
        <v>779.178988</v>
      </c>
      <c r="B1290" s="1">
        <f>DATE(2012,6,18) + TIME(4,17,44)</f>
        <v>41078.178981481484</v>
      </c>
      <c r="C1290">
        <v>80</v>
      </c>
      <c r="D1290">
        <v>79.954437256000006</v>
      </c>
      <c r="E1290">
        <v>40</v>
      </c>
      <c r="F1290">
        <v>38.133728026999997</v>
      </c>
      <c r="G1290">
        <v>1341.4401855000001</v>
      </c>
      <c r="H1290">
        <v>1338.4666748</v>
      </c>
      <c r="I1290">
        <v>1323.8917236</v>
      </c>
      <c r="J1290">
        <v>1320.7572021000001</v>
      </c>
      <c r="K1290">
        <v>1650</v>
      </c>
      <c r="L1290">
        <v>0</v>
      </c>
      <c r="M1290">
        <v>0</v>
      </c>
      <c r="N1290">
        <v>1650</v>
      </c>
    </row>
    <row r="1291" spans="1:14" x14ac:dyDescent="0.25">
      <c r="A1291">
        <v>779.68113200000005</v>
      </c>
      <c r="B1291" s="1">
        <f>DATE(2012,6,18) + TIME(16,20,49)</f>
        <v>41078.681122685186</v>
      </c>
      <c r="C1291">
        <v>80</v>
      </c>
      <c r="D1291">
        <v>79.954406738000003</v>
      </c>
      <c r="E1291">
        <v>40</v>
      </c>
      <c r="F1291">
        <v>38.121082305999998</v>
      </c>
      <c r="G1291">
        <v>1341.4350586</v>
      </c>
      <c r="H1291">
        <v>1338.4643555</v>
      </c>
      <c r="I1291">
        <v>1323.8887939000001</v>
      </c>
      <c r="J1291">
        <v>1320.7520752</v>
      </c>
      <c r="K1291">
        <v>1650</v>
      </c>
      <c r="L1291">
        <v>0</v>
      </c>
      <c r="M1291">
        <v>0</v>
      </c>
      <c r="N1291">
        <v>1650</v>
      </c>
    </row>
    <row r="1292" spans="1:14" x14ac:dyDescent="0.25">
      <c r="A1292">
        <v>780.18327499999998</v>
      </c>
      <c r="B1292" s="1">
        <f>DATE(2012,6,19) + TIME(4,23,54)</f>
        <v>41079.183263888888</v>
      </c>
      <c r="C1292">
        <v>80</v>
      </c>
      <c r="D1292">
        <v>79.954376221000004</v>
      </c>
      <c r="E1292">
        <v>40</v>
      </c>
      <c r="F1292">
        <v>38.109062195</v>
      </c>
      <c r="G1292">
        <v>1341.4299315999999</v>
      </c>
      <c r="H1292">
        <v>1338.4621582</v>
      </c>
      <c r="I1292">
        <v>1323.8859863</v>
      </c>
      <c r="J1292">
        <v>1320.7470702999999</v>
      </c>
      <c r="K1292">
        <v>1650</v>
      </c>
      <c r="L1292">
        <v>0</v>
      </c>
      <c r="M1292">
        <v>0</v>
      </c>
      <c r="N1292">
        <v>1650</v>
      </c>
    </row>
    <row r="1293" spans="1:14" x14ac:dyDescent="0.25">
      <c r="A1293">
        <v>781.18756199999996</v>
      </c>
      <c r="B1293" s="1">
        <f>DATE(2012,6,20) + TIME(4,30,5)</f>
        <v>41080.187557870369</v>
      </c>
      <c r="C1293">
        <v>80</v>
      </c>
      <c r="D1293">
        <v>79.954345703000001</v>
      </c>
      <c r="E1293">
        <v>40</v>
      </c>
      <c r="F1293">
        <v>38.091121674</v>
      </c>
      <c r="G1293">
        <v>1341.4249268000001</v>
      </c>
      <c r="H1293">
        <v>1338.4598389</v>
      </c>
      <c r="I1293">
        <v>1323.8829346</v>
      </c>
      <c r="J1293">
        <v>1320.7412108999999</v>
      </c>
      <c r="K1293">
        <v>1650</v>
      </c>
      <c r="L1293">
        <v>0</v>
      </c>
      <c r="M1293">
        <v>0</v>
      </c>
      <c r="N1293">
        <v>1650</v>
      </c>
    </row>
    <row r="1294" spans="1:14" x14ac:dyDescent="0.25">
      <c r="A1294">
        <v>782.19275300000004</v>
      </c>
      <c r="B1294" s="1">
        <f>DATE(2012,6,21) + TIME(4,37,33)</f>
        <v>41081.192743055559</v>
      </c>
      <c r="C1294">
        <v>80</v>
      </c>
      <c r="D1294">
        <v>79.954307556000003</v>
      </c>
      <c r="E1294">
        <v>40</v>
      </c>
      <c r="F1294">
        <v>38.072269439999999</v>
      </c>
      <c r="G1294">
        <v>1341.4149170000001</v>
      </c>
      <c r="H1294">
        <v>1338.4553223</v>
      </c>
      <c r="I1294">
        <v>1323.8778076000001</v>
      </c>
      <c r="J1294">
        <v>1320.7321777</v>
      </c>
      <c r="K1294">
        <v>1650</v>
      </c>
      <c r="L1294">
        <v>0</v>
      </c>
      <c r="M1294">
        <v>0</v>
      </c>
      <c r="N1294">
        <v>1650</v>
      </c>
    </row>
    <row r="1295" spans="1:14" x14ac:dyDescent="0.25">
      <c r="A1295">
        <v>783.20602399999996</v>
      </c>
      <c r="B1295" s="1">
        <f>DATE(2012,6,22) + TIME(4,56,40)</f>
        <v>41082.206018518518</v>
      </c>
      <c r="C1295">
        <v>80</v>
      </c>
      <c r="D1295">
        <v>79.954261779999996</v>
      </c>
      <c r="E1295">
        <v>40</v>
      </c>
      <c r="F1295">
        <v>38.053199767999999</v>
      </c>
      <c r="G1295">
        <v>1341.4050293</v>
      </c>
      <c r="H1295">
        <v>1338.4508057</v>
      </c>
      <c r="I1295">
        <v>1323.8724365</v>
      </c>
      <c r="J1295">
        <v>1320.7225341999999</v>
      </c>
      <c r="K1295">
        <v>1650</v>
      </c>
      <c r="L1295">
        <v>0</v>
      </c>
      <c r="M1295">
        <v>0</v>
      </c>
      <c r="N1295">
        <v>1650</v>
      </c>
    </row>
    <row r="1296" spans="1:14" x14ac:dyDescent="0.25">
      <c r="A1296">
        <v>784.23129100000006</v>
      </c>
      <c r="B1296" s="1">
        <f>DATE(2012,6,23) + TIME(5,33,3)</f>
        <v>41083.23128472222</v>
      </c>
      <c r="C1296">
        <v>80</v>
      </c>
      <c r="D1296">
        <v>79.954216002999999</v>
      </c>
      <c r="E1296">
        <v>40</v>
      </c>
      <c r="F1296">
        <v>38.034301757999998</v>
      </c>
      <c r="G1296">
        <v>1341.3951416</v>
      </c>
      <c r="H1296">
        <v>1338.4464111</v>
      </c>
      <c r="I1296">
        <v>1323.8669434000001</v>
      </c>
      <c r="J1296">
        <v>1320.7126464999999</v>
      </c>
      <c r="K1296">
        <v>1650</v>
      </c>
      <c r="L1296">
        <v>0</v>
      </c>
      <c r="M1296">
        <v>0</v>
      </c>
      <c r="N1296">
        <v>1650</v>
      </c>
    </row>
    <row r="1297" spans="1:14" x14ac:dyDescent="0.25">
      <c r="A1297">
        <v>785.26827900000001</v>
      </c>
      <c r="B1297" s="1">
        <f>DATE(2012,6,24) + TIME(6,26,19)</f>
        <v>41084.268275462964</v>
      </c>
      <c r="C1297">
        <v>80</v>
      </c>
      <c r="D1297">
        <v>79.954170227000006</v>
      </c>
      <c r="E1297">
        <v>40</v>
      </c>
      <c r="F1297">
        <v>38.015827178999999</v>
      </c>
      <c r="G1297">
        <v>1341.385376</v>
      </c>
      <c r="H1297">
        <v>1338.4418945</v>
      </c>
      <c r="I1297">
        <v>1323.8613281</v>
      </c>
      <c r="J1297">
        <v>1320.7023925999999</v>
      </c>
      <c r="K1297">
        <v>1650</v>
      </c>
      <c r="L1297">
        <v>0</v>
      </c>
      <c r="M1297">
        <v>0</v>
      </c>
      <c r="N1297">
        <v>1650</v>
      </c>
    </row>
    <row r="1298" spans="1:14" x14ac:dyDescent="0.25">
      <c r="A1298">
        <v>786.31709499999999</v>
      </c>
      <c r="B1298" s="1">
        <f>DATE(2012,6,25) + TIME(7,36,37)</f>
        <v>41085.317094907405</v>
      </c>
      <c r="C1298">
        <v>80</v>
      </c>
      <c r="D1298">
        <v>79.954124450999998</v>
      </c>
      <c r="E1298">
        <v>40</v>
      </c>
      <c r="F1298">
        <v>37.997962952000002</v>
      </c>
      <c r="G1298">
        <v>1341.3757324000001</v>
      </c>
      <c r="H1298">
        <v>1338.4373779</v>
      </c>
      <c r="I1298">
        <v>1323.8555908000001</v>
      </c>
      <c r="J1298">
        <v>1320.6918945</v>
      </c>
      <c r="K1298">
        <v>1650</v>
      </c>
      <c r="L1298">
        <v>0</v>
      </c>
      <c r="M1298">
        <v>0</v>
      </c>
      <c r="N1298">
        <v>1650</v>
      </c>
    </row>
    <row r="1299" spans="1:14" x14ac:dyDescent="0.25">
      <c r="A1299">
        <v>787.38151100000005</v>
      </c>
      <c r="B1299" s="1">
        <f>DATE(2012,6,26) + TIME(9,9,22)</f>
        <v>41086.381504629629</v>
      </c>
      <c r="C1299">
        <v>80</v>
      </c>
      <c r="D1299">
        <v>79.954086304</v>
      </c>
      <c r="E1299">
        <v>40</v>
      </c>
      <c r="F1299">
        <v>37.980804442999997</v>
      </c>
      <c r="G1299">
        <v>1341.3660889</v>
      </c>
      <c r="H1299">
        <v>1338.4329834</v>
      </c>
      <c r="I1299">
        <v>1323.8496094</v>
      </c>
      <c r="J1299">
        <v>1320.6811522999999</v>
      </c>
      <c r="K1299">
        <v>1650</v>
      </c>
      <c r="L1299">
        <v>0</v>
      </c>
      <c r="M1299">
        <v>0</v>
      </c>
      <c r="N1299">
        <v>1650</v>
      </c>
    </row>
    <row r="1300" spans="1:14" x14ac:dyDescent="0.25">
      <c r="A1300">
        <v>788.46823400000005</v>
      </c>
      <c r="B1300" s="1">
        <f>DATE(2012,6,27) + TIME(11,14,15)</f>
        <v>41087.468229166669</v>
      </c>
      <c r="C1300">
        <v>80</v>
      </c>
      <c r="D1300">
        <v>79.954040527000004</v>
      </c>
      <c r="E1300">
        <v>40</v>
      </c>
      <c r="F1300">
        <v>37.964424133000001</v>
      </c>
      <c r="G1300">
        <v>1341.3564452999999</v>
      </c>
      <c r="H1300">
        <v>1338.4284668</v>
      </c>
      <c r="I1300">
        <v>1323.8436279</v>
      </c>
      <c r="J1300">
        <v>1320.6701660000001</v>
      </c>
      <c r="K1300">
        <v>1650</v>
      </c>
      <c r="L1300">
        <v>0</v>
      </c>
      <c r="M1300">
        <v>0</v>
      </c>
      <c r="N1300">
        <v>1650</v>
      </c>
    </row>
    <row r="1301" spans="1:14" x14ac:dyDescent="0.25">
      <c r="A1301">
        <v>789.58879999999999</v>
      </c>
      <c r="B1301" s="1">
        <f>DATE(2012,6,28) + TIME(14,7,52)</f>
        <v>41088.588796296295</v>
      </c>
      <c r="C1301">
        <v>80</v>
      </c>
      <c r="D1301">
        <v>79.953994750999996</v>
      </c>
      <c r="E1301">
        <v>40</v>
      </c>
      <c r="F1301">
        <v>37.948837279999999</v>
      </c>
      <c r="G1301">
        <v>1341.3466797000001</v>
      </c>
      <c r="H1301">
        <v>1338.4239502</v>
      </c>
      <c r="I1301">
        <v>1323.8374022999999</v>
      </c>
      <c r="J1301">
        <v>1320.6586914</v>
      </c>
      <c r="K1301">
        <v>1650</v>
      </c>
      <c r="L1301">
        <v>0</v>
      </c>
      <c r="M1301">
        <v>0</v>
      </c>
      <c r="N1301">
        <v>1650</v>
      </c>
    </row>
    <row r="1302" spans="1:14" x14ac:dyDescent="0.25">
      <c r="A1302">
        <v>790.74883499999999</v>
      </c>
      <c r="B1302" s="1">
        <f>DATE(2012,6,29) + TIME(17,58,19)</f>
        <v>41089.748831018522</v>
      </c>
      <c r="C1302">
        <v>80</v>
      </c>
      <c r="D1302">
        <v>79.953956603999998</v>
      </c>
      <c r="E1302">
        <v>40</v>
      </c>
      <c r="F1302">
        <v>37.934131622000002</v>
      </c>
      <c r="G1302">
        <v>1341.3369141000001</v>
      </c>
      <c r="H1302">
        <v>1338.4193115</v>
      </c>
      <c r="I1302">
        <v>1323.8310547000001</v>
      </c>
      <c r="J1302">
        <v>1320.6468506000001</v>
      </c>
      <c r="K1302">
        <v>1650</v>
      </c>
      <c r="L1302">
        <v>0</v>
      </c>
      <c r="M1302">
        <v>0</v>
      </c>
      <c r="N1302">
        <v>1650</v>
      </c>
    </row>
    <row r="1303" spans="1:14" x14ac:dyDescent="0.25">
      <c r="A1303">
        <v>792</v>
      </c>
      <c r="B1303" s="1">
        <f>DATE(2012,7,1) + TIME(0,0,0)</f>
        <v>41091</v>
      </c>
      <c r="C1303">
        <v>80</v>
      </c>
      <c r="D1303">
        <v>79.953910828000005</v>
      </c>
      <c r="E1303">
        <v>40</v>
      </c>
      <c r="F1303">
        <v>37.920166016000003</v>
      </c>
      <c r="G1303">
        <v>1341.3269043</v>
      </c>
      <c r="H1303">
        <v>1338.4145507999999</v>
      </c>
      <c r="I1303">
        <v>1323.8243408000001</v>
      </c>
      <c r="J1303">
        <v>1320.6342772999999</v>
      </c>
      <c r="K1303">
        <v>1650</v>
      </c>
      <c r="L1303">
        <v>0</v>
      </c>
      <c r="M1303">
        <v>0</v>
      </c>
      <c r="N1303">
        <v>1650</v>
      </c>
    </row>
    <row r="1304" spans="1:14" x14ac:dyDescent="0.25">
      <c r="A1304">
        <v>793.206187</v>
      </c>
      <c r="B1304" s="1">
        <f>DATE(2012,7,2) + TIME(4,56,54)</f>
        <v>41092.206180555557</v>
      </c>
      <c r="C1304">
        <v>80</v>
      </c>
      <c r="D1304">
        <v>79.953872681000007</v>
      </c>
      <c r="E1304">
        <v>40</v>
      </c>
      <c r="F1304">
        <v>37.907825469999999</v>
      </c>
      <c r="G1304">
        <v>1341.3161620999999</v>
      </c>
      <c r="H1304">
        <v>1338.4095459</v>
      </c>
      <c r="I1304">
        <v>1323.8173827999999</v>
      </c>
      <c r="J1304">
        <v>1320.6210937999999</v>
      </c>
      <c r="K1304">
        <v>1650</v>
      </c>
      <c r="L1304">
        <v>0</v>
      </c>
      <c r="M1304">
        <v>0</v>
      </c>
      <c r="N1304">
        <v>1650</v>
      </c>
    </row>
    <row r="1305" spans="1:14" x14ac:dyDescent="0.25">
      <c r="A1305">
        <v>794.48333500000001</v>
      </c>
      <c r="B1305" s="1">
        <f>DATE(2012,7,3) + TIME(11,36,0)</f>
        <v>41093.48333333333</v>
      </c>
      <c r="C1305">
        <v>80</v>
      </c>
      <c r="D1305">
        <v>79.953826903999996</v>
      </c>
      <c r="E1305">
        <v>40</v>
      </c>
      <c r="F1305">
        <v>37.896919250000003</v>
      </c>
      <c r="G1305">
        <v>1341.3061522999999</v>
      </c>
      <c r="H1305">
        <v>1338.4047852000001</v>
      </c>
      <c r="I1305">
        <v>1323.8103027</v>
      </c>
      <c r="J1305">
        <v>1320.6077881000001</v>
      </c>
      <c r="K1305">
        <v>1650</v>
      </c>
      <c r="L1305">
        <v>0</v>
      </c>
      <c r="M1305">
        <v>0</v>
      </c>
      <c r="N1305">
        <v>1650</v>
      </c>
    </row>
    <row r="1306" spans="1:14" x14ac:dyDescent="0.25">
      <c r="A1306">
        <v>795.12388399999998</v>
      </c>
      <c r="B1306" s="1">
        <f>DATE(2012,7,4) + TIME(2,58,23)</f>
        <v>41094.123877314814</v>
      </c>
      <c r="C1306">
        <v>80</v>
      </c>
      <c r="D1306">
        <v>79.953788756999998</v>
      </c>
      <c r="E1306">
        <v>40</v>
      </c>
      <c r="F1306">
        <v>37.890884399000001</v>
      </c>
      <c r="G1306">
        <v>1341.2956543</v>
      </c>
      <c r="H1306">
        <v>1338.3996582</v>
      </c>
      <c r="I1306">
        <v>1323.8037108999999</v>
      </c>
      <c r="J1306">
        <v>1320.5953368999999</v>
      </c>
      <c r="K1306">
        <v>1650</v>
      </c>
      <c r="L1306">
        <v>0</v>
      </c>
      <c r="M1306">
        <v>0</v>
      </c>
      <c r="N1306">
        <v>1650</v>
      </c>
    </row>
    <row r="1307" spans="1:14" x14ac:dyDescent="0.25">
      <c r="A1307">
        <v>795.76443400000005</v>
      </c>
      <c r="B1307" s="1">
        <f>DATE(2012,7,4) + TIME(18,20,47)</f>
        <v>41094.764432870368</v>
      </c>
      <c r="C1307">
        <v>80</v>
      </c>
      <c r="D1307">
        <v>79.953758239999999</v>
      </c>
      <c r="E1307">
        <v>40</v>
      </c>
      <c r="F1307">
        <v>37.886085510000001</v>
      </c>
      <c r="G1307">
        <v>1341.2904053</v>
      </c>
      <c r="H1307">
        <v>1338.3972168</v>
      </c>
      <c r="I1307">
        <v>1323.7995605000001</v>
      </c>
      <c r="J1307">
        <v>1320.5872803</v>
      </c>
      <c r="K1307">
        <v>1650</v>
      </c>
      <c r="L1307">
        <v>0</v>
      </c>
      <c r="M1307">
        <v>0</v>
      </c>
      <c r="N1307">
        <v>1650</v>
      </c>
    </row>
    <row r="1308" spans="1:14" x14ac:dyDescent="0.25">
      <c r="A1308">
        <v>796.40498300000002</v>
      </c>
      <c r="B1308" s="1">
        <f>DATE(2012,7,5) + TIME(9,43,10)</f>
        <v>41095.404976851853</v>
      </c>
      <c r="C1308">
        <v>80</v>
      </c>
      <c r="D1308">
        <v>79.953727721999996</v>
      </c>
      <c r="E1308">
        <v>40</v>
      </c>
      <c r="F1308">
        <v>37.882324218999997</v>
      </c>
      <c r="G1308">
        <v>1341.2852783000001</v>
      </c>
      <c r="H1308">
        <v>1338.3946533000001</v>
      </c>
      <c r="I1308">
        <v>1323.7954102000001</v>
      </c>
      <c r="J1308">
        <v>1320.5795897999999</v>
      </c>
      <c r="K1308">
        <v>1650</v>
      </c>
      <c r="L1308">
        <v>0</v>
      </c>
      <c r="M1308">
        <v>0</v>
      </c>
      <c r="N1308">
        <v>1650</v>
      </c>
    </row>
    <row r="1309" spans="1:14" x14ac:dyDescent="0.25">
      <c r="A1309">
        <v>797.04553199999998</v>
      </c>
      <c r="B1309" s="1">
        <f>DATE(2012,7,6) + TIME(1,5,33)</f>
        <v>41096.045520833337</v>
      </c>
      <c r="C1309">
        <v>80</v>
      </c>
      <c r="D1309">
        <v>79.953704834000007</v>
      </c>
      <c r="E1309">
        <v>40</v>
      </c>
      <c r="F1309">
        <v>37.879470824999999</v>
      </c>
      <c r="G1309">
        <v>1341.2802733999999</v>
      </c>
      <c r="H1309">
        <v>1338.3922118999999</v>
      </c>
      <c r="I1309">
        <v>1323.7915039</v>
      </c>
      <c r="J1309">
        <v>1320.5720214999999</v>
      </c>
      <c r="K1309">
        <v>1650</v>
      </c>
      <c r="L1309">
        <v>0</v>
      </c>
      <c r="M1309">
        <v>0</v>
      </c>
      <c r="N1309">
        <v>1650</v>
      </c>
    </row>
    <row r="1310" spans="1:14" x14ac:dyDescent="0.25">
      <c r="A1310">
        <v>797.68608099999994</v>
      </c>
      <c r="B1310" s="1">
        <f>DATE(2012,7,6) + TIME(16,27,57)</f>
        <v>41096.686076388891</v>
      </c>
      <c r="C1310">
        <v>80</v>
      </c>
      <c r="D1310">
        <v>79.953689574999999</v>
      </c>
      <c r="E1310">
        <v>40</v>
      </c>
      <c r="F1310">
        <v>37.877449036000002</v>
      </c>
      <c r="G1310">
        <v>1341.2751464999999</v>
      </c>
      <c r="H1310">
        <v>1338.3897704999999</v>
      </c>
      <c r="I1310">
        <v>1323.7877197</v>
      </c>
      <c r="J1310">
        <v>1320.5645752</v>
      </c>
      <c r="K1310">
        <v>1650</v>
      </c>
      <c r="L1310">
        <v>0</v>
      </c>
      <c r="M1310">
        <v>0</v>
      </c>
      <c r="N1310">
        <v>1650</v>
      </c>
    </row>
    <row r="1311" spans="1:14" x14ac:dyDescent="0.25">
      <c r="A1311">
        <v>798.96717999999998</v>
      </c>
      <c r="B1311" s="1">
        <f>DATE(2012,7,7) + TIME(23,12,44)</f>
        <v>41097.967175925929</v>
      </c>
      <c r="C1311">
        <v>80</v>
      </c>
      <c r="D1311">
        <v>79.953674316000004</v>
      </c>
      <c r="E1311">
        <v>40</v>
      </c>
      <c r="F1311">
        <v>37.875614165999998</v>
      </c>
      <c r="G1311">
        <v>1341.2701416</v>
      </c>
      <c r="H1311">
        <v>1338.3873291</v>
      </c>
      <c r="I1311">
        <v>1323.7832031</v>
      </c>
      <c r="J1311">
        <v>1320.5560303</v>
      </c>
      <c r="K1311">
        <v>1650</v>
      </c>
      <c r="L1311">
        <v>0</v>
      </c>
      <c r="M1311">
        <v>0</v>
      </c>
      <c r="N1311">
        <v>1650</v>
      </c>
    </row>
    <row r="1312" spans="1:14" x14ac:dyDescent="0.25">
      <c r="A1312">
        <v>800.24996299999998</v>
      </c>
      <c r="B1312" s="1">
        <f>DATE(2012,7,9) + TIME(5,59,56)</f>
        <v>41099.2499537037</v>
      </c>
      <c r="C1312">
        <v>80</v>
      </c>
      <c r="D1312">
        <v>79.953651428000001</v>
      </c>
      <c r="E1312">
        <v>40</v>
      </c>
      <c r="F1312">
        <v>37.875774384000003</v>
      </c>
      <c r="G1312">
        <v>1341.2602539</v>
      </c>
      <c r="H1312">
        <v>1338.3824463000001</v>
      </c>
      <c r="I1312">
        <v>1323.7766113</v>
      </c>
      <c r="J1312">
        <v>1320.5428466999999</v>
      </c>
      <c r="K1312">
        <v>1650</v>
      </c>
      <c r="L1312">
        <v>0</v>
      </c>
      <c r="M1312">
        <v>0</v>
      </c>
      <c r="N1312">
        <v>1650</v>
      </c>
    </row>
    <row r="1313" spans="1:14" x14ac:dyDescent="0.25">
      <c r="A1313">
        <v>801.54638899999998</v>
      </c>
      <c r="B1313" s="1">
        <f>DATE(2012,7,10) + TIME(13,6,47)</f>
        <v>41100.546377314815</v>
      </c>
      <c r="C1313">
        <v>80</v>
      </c>
      <c r="D1313">
        <v>79.953620911000002</v>
      </c>
      <c r="E1313">
        <v>40</v>
      </c>
      <c r="F1313">
        <v>37.878459929999998</v>
      </c>
      <c r="G1313">
        <v>1341.2504882999999</v>
      </c>
      <c r="H1313">
        <v>1338.3775635</v>
      </c>
      <c r="I1313">
        <v>1323.7696533000001</v>
      </c>
      <c r="J1313">
        <v>1320.5289307</v>
      </c>
      <c r="K1313">
        <v>1650</v>
      </c>
      <c r="L1313">
        <v>0</v>
      </c>
      <c r="M1313">
        <v>0</v>
      </c>
      <c r="N1313">
        <v>1650</v>
      </c>
    </row>
    <row r="1314" spans="1:14" x14ac:dyDescent="0.25">
      <c r="A1314">
        <v>802.86181399999998</v>
      </c>
      <c r="B1314" s="1">
        <f>DATE(2012,7,11) + TIME(20,41,0)</f>
        <v>41101.861805555556</v>
      </c>
      <c r="C1314">
        <v>80</v>
      </c>
      <c r="D1314">
        <v>79.953582764000004</v>
      </c>
      <c r="E1314">
        <v>40</v>
      </c>
      <c r="F1314">
        <v>37.884109496999997</v>
      </c>
      <c r="G1314">
        <v>1341.2407227000001</v>
      </c>
      <c r="H1314">
        <v>1338.3726807</v>
      </c>
      <c r="I1314">
        <v>1323.7624512</v>
      </c>
      <c r="J1314">
        <v>1320.5146483999999</v>
      </c>
      <c r="K1314">
        <v>1650</v>
      </c>
      <c r="L1314">
        <v>0</v>
      </c>
      <c r="M1314">
        <v>0</v>
      </c>
      <c r="N1314">
        <v>1650</v>
      </c>
    </row>
    <row r="1315" spans="1:14" x14ac:dyDescent="0.25">
      <c r="A1315">
        <v>804.20177699999999</v>
      </c>
      <c r="B1315" s="1">
        <f>DATE(2012,7,13) + TIME(4,50,33)</f>
        <v>41103.201770833337</v>
      </c>
      <c r="C1315">
        <v>80</v>
      </c>
      <c r="D1315">
        <v>79.953552246000001</v>
      </c>
      <c r="E1315">
        <v>40</v>
      </c>
      <c r="F1315">
        <v>37.893154144</v>
      </c>
      <c r="G1315">
        <v>1341.230957</v>
      </c>
      <c r="H1315">
        <v>1338.3677978999999</v>
      </c>
      <c r="I1315">
        <v>1323.7551269999999</v>
      </c>
      <c r="J1315">
        <v>1320.5</v>
      </c>
      <c r="K1315">
        <v>1650</v>
      </c>
      <c r="L1315">
        <v>0</v>
      </c>
      <c r="M1315">
        <v>0</v>
      </c>
      <c r="N1315">
        <v>1650</v>
      </c>
    </row>
    <row r="1316" spans="1:14" x14ac:dyDescent="0.25">
      <c r="A1316">
        <v>805.58342700000003</v>
      </c>
      <c r="B1316" s="1">
        <f>DATE(2012,7,14) + TIME(14,0,8)</f>
        <v>41104.583425925928</v>
      </c>
      <c r="C1316">
        <v>80</v>
      </c>
      <c r="D1316">
        <v>79.953521729000002</v>
      </c>
      <c r="E1316">
        <v>40</v>
      </c>
      <c r="F1316">
        <v>37.906120299999998</v>
      </c>
      <c r="G1316">
        <v>1341.2210693</v>
      </c>
      <c r="H1316">
        <v>1338.3629149999999</v>
      </c>
      <c r="I1316">
        <v>1323.7476807</v>
      </c>
      <c r="J1316">
        <v>1320.4849853999999</v>
      </c>
      <c r="K1316">
        <v>1650</v>
      </c>
      <c r="L1316">
        <v>0</v>
      </c>
      <c r="M1316">
        <v>0</v>
      </c>
      <c r="N1316">
        <v>1650</v>
      </c>
    </row>
    <row r="1317" spans="1:14" x14ac:dyDescent="0.25">
      <c r="A1317">
        <v>807.01787100000001</v>
      </c>
      <c r="B1317" s="1">
        <f>DATE(2012,7,16) + TIME(0,25,44)</f>
        <v>41106.017870370371</v>
      </c>
      <c r="C1317">
        <v>80</v>
      </c>
      <c r="D1317">
        <v>79.953491210999999</v>
      </c>
      <c r="E1317">
        <v>40</v>
      </c>
      <c r="F1317">
        <v>37.923690796000002</v>
      </c>
      <c r="G1317">
        <v>1341.2111815999999</v>
      </c>
      <c r="H1317">
        <v>1338.3579102000001</v>
      </c>
      <c r="I1317">
        <v>1323.7402344</v>
      </c>
      <c r="J1317">
        <v>1320.4694824000001</v>
      </c>
      <c r="K1317">
        <v>1650</v>
      </c>
      <c r="L1317">
        <v>0</v>
      </c>
      <c r="M1317">
        <v>0</v>
      </c>
      <c r="N1317">
        <v>1650</v>
      </c>
    </row>
    <row r="1318" spans="1:14" x14ac:dyDescent="0.25">
      <c r="A1318">
        <v>808.49101199999996</v>
      </c>
      <c r="B1318" s="1">
        <f>DATE(2012,7,17) + TIME(11,47,3)</f>
        <v>41107.491006944445</v>
      </c>
      <c r="C1318">
        <v>80</v>
      </c>
      <c r="D1318">
        <v>79.953460692999997</v>
      </c>
      <c r="E1318">
        <v>40</v>
      </c>
      <c r="F1318">
        <v>37.946563720999997</v>
      </c>
      <c r="G1318">
        <v>1341.2010498</v>
      </c>
      <c r="H1318">
        <v>1338.3526611</v>
      </c>
      <c r="I1318">
        <v>1323.7325439000001</v>
      </c>
      <c r="J1318">
        <v>1320.4534911999999</v>
      </c>
      <c r="K1318">
        <v>1650</v>
      </c>
      <c r="L1318">
        <v>0</v>
      </c>
      <c r="M1318">
        <v>0</v>
      </c>
      <c r="N1318">
        <v>1650</v>
      </c>
    </row>
    <row r="1319" spans="1:14" x14ac:dyDescent="0.25">
      <c r="A1319">
        <v>809.98830999999996</v>
      </c>
      <c r="B1319" s="1">
        <f>DATE(2012,7,18) + TIME(23,43,10)</f>
        <v>41108.988310185188</v>
      </c>
      <c r="C1319">
        <v>80</v>
      </c>
      <c r="D1319">
        <v>79.953430175999998</v>
      </c>
      <c r="E1319">
        <v>40</v>
      </c>
      <c r="F1319">
        <v>37.975360870000003</v>
      </c>
      <c r="G1319">
        <v>1341.1906738</v>
      </c>
      <c r="H1319">
        <v>1338.3474120999999</v>
      </c>
      <c r="I1319">
        <v>1323.7247314000001</v>
      </c>
      <c r="J1319">
        <v>1320.4371338000001</v>
      </c>
      <c r="K1319">
        <v>1650</v>
      </c>
      <c r="L1319">
        <v>0</v>
      </c>
      <c r="M1319">
        <v>0</v>
      </c>
      <c r="N1319">
        <v>1650</v>
      </c>
    </row>
    <row r="1320" spans="1:14" x14ac:dyDescent="0.25">
      <c r="A1320">
        <v>811.51689499999998</v>
      </c>
      <c r="B1320" s="1">
        <f>DATE(2012,7,20) + TIME(12,24,19)</f>
        <v>41110.516886574071</v>
      </c>
      <c r="C1320">
        <v>80</v>
      </c>
      <c r="D1320">
        <v>79.953407287999994</v>
      </c>
      <c r="E1320">
        <v>40</v>
      </c>
      <c r="F1320">
        <v>38.010803223000003</v>
      </c>
      <c r="G1320">
        <v>1341.1804199000001</v>
      </c>
      <c r="H1320">
        <v>1338.3420410000001</v>
      </c>
      <c r="I1320">
        <v>1323.7170410000001</v>
      </c>
      <c r="J1320">
        <v>1320.4206543</v>
      </c>
      <c r="K1320">
        <v>1650</v>
      </c>
      <c r="L1320">
        <v>0</v>
      </c>
      <c r="M1320">
        <v>0</v>
      </c>
      <c r="N1320">
        <v>1650</v>
      </c>
    </row>
    <row r="1321" spans="1:14" x14ac:dyDescent="0.25">
      <c r="A1321">
        <v>813.08062500000005</v>
      </c>
      <c r="B1321" s="1">
        <f>DATE(2012,7,22) + TIME(1,56,5)</f>
        <v>41112.080613425926</v>
      </c>
      <c r="C1321">
        <v>80</v>
      </c>
      <c r="D1321">
        <v>79.953376770000006</v>
      </c>
      <c r="E1321">
        <v>40</v>
      </c>
      <c r="F1321">
        <v>38.053806305000002</v>
      </c>
      <c r="G1321">
        <v>1341.1700439000001</v>
      </c>
      <c r="H1321">
        <v>1338.3366699000001</v>
      </c>
      <c r="I1321">
        <v>1323.7092285000001</v>
      </c>
      <c r="J1321">
        <v>1320.4039307</v>
      </c>
      <c r="K1321">
        <v>1650</v>
      </c>
      <c r="L1321">
        <v>0</v>
      </c>
      <c r="M1321">
        <v>0</v>
      </c>
      <c r="N1321">
        <v>1650</v>
      </c>
    </row>
    <row r="1322" spans="1:14" x14ac:dyDescent="0.25">
      <c r="A1322">
        <v>814.662194</v>
      </c>
      <c r="B1322" s="1">
        <f>DATE(2012,7,23) + TIME(15,53,33)</f>
        <v>41113.662187499998</v>
      </c>
      <c r="C1322">
        <v>80</v>
      </c>
      <c r="D1322">
        <v>79.953353882000002</v>
      </c>
      <c r="E1322">
        <v>40</v>
      </c>
      <c r="F1322">
        <v>38.105163574000002</v>
      </c>
      <c r="G1322">
        <v>1341.159668</v>
      </c>
      <c r="H1322">
        <v>1338.3311768000001</v>
      </c>
      <c r="I1322">
        <v>1323.7016602000001</v>
      </c>
      <c r="J1322">
        <v>1320.3870850000001</v>
      </c>
      <c r="K1322">
        <v>1650</v>
      </c>
      <c r="L1322">
        <v>0</v>
      </c>
      <c r="M1322">
        <v>0</v>
      </c>
      <c r="N1322">
        <v>1650</v>
      </c>
    </row>
    <row r="1323" spans="1:14" x14ac:dyDescent="0.25">
      <c r="A1323">
        <v>816.26870399999996</v>
      </c>
      <c r="B1323" s="1">
        <f>DATE(2012,7,25) + TIME(6,26,56)</f>
        <v>41115.268703703703</v>
      </c>
      <c r="C1323">
        <v>80</v>
      </c>
      <c r="D1323">
        <v>79.953323363999999</v>
      </c>
      <c r="E1323">
        <v>40</v>
      </c>
      <c r="F1323">
        <v>38.165809631000002</v>
      </c>
      <c r="G1323">
        <v>1341.1491699000001</v>
      </c>
      <c r="H1323">
        <v>1338.3256836</v>
      </c>
      <c r="I1323">
        <v>1323.6940918</v>
      </c>
      <c r="J1323">
        <v>1320.3702393000001</v>
      </c>
      <c r="K1323">
        <v>1650</v>
      </c>
      <c r="L1323">
        <v>0</v>
      </c>
      <c r="M1323">
        <v>0</v>
      </c>
      <c r="N1323">
        <v>1650</v>
      </c>
    </row>
    <row r="1324" spans="1:14" x14ac:dyDescent="0.25">
      <c r="A1324">
        <v>817.88406999999995</v>
      </c>
      <c r="B1324" s="1">
        <f>DATE(2012,7,26) + TIME(21,13,3)</f>
        <v>41116.884062500001</v>
      </c>
      <c r="C1324">
        <v>80</v>
      </c>
      <c r="D1324">
        <v>79.953300475999995</v>
      </c>
      <c r="E1324">
        <v>40</v>
      </c>
      <c r="F1324">
        <v>38.236560822000001</v>
      </c>
      <c r="G1324">
        <v>1341.1387939000001</v>
      </c>
      <c r="H1324">
        <v>1338.3200684000001</v>
      </c>
      <c r="I1324">
        <v>1323.6867675999999</v>
      </c>
      <c r="J1324">
        <v>1320.3535156</v>
      </c>
      <c r="K1324">
        <v>1650</v>
      </c>
      <c r="L1324">
        <v>0</v>
      </c>
      <c r="M1324">
        <v>0</v>
      </c>
      <c r="N1324">
        <v>1650</v>
      </c>
    </row>
    <row r="1325" spans="1:14" x14ac:dyDescent="0.25">
      <c r="A1325">
        <v>819.51628400000004</v>
      </c>
      <c r="B1325" s="1">
        <f>DATE(2012,7,28) + TIME(12,23,26)</f>
        <v>41118.516273148147</v>
      </c>
      <c r="C1325">
        <v>80</v>
      </c>
      <c r="D1325">
        <v>79.953277588000006</v>
      </c>
      <c r="E1325">
        <v>40</v>
      </c>
      <c r="F1325">
        <v>38.318393706999998</v>
      </c>
      <c r="G1325">
        <v>1341.1285399999999</v>
      </c>
      <c r="H1325">
        <v>1338.3145752</v>
      </c>
      <c r="I1325">
        <v>1323.6795654</v>
      </c>
      <c r="J1325">
        <v>1320.3369141000001</v>
      </c>
      <c r="K1325">
        <v>1650</v>
      </c>
      <c r="L1325">
        <v>0</v>
      </c>
      <c r="M1325">
        <v>0</v>
      </c>
      <c r="N1325">
        <v>1650</v>
      </c>
    </row>
    <row r="1326" spans="1:14" x14ac:dyDescent="0.25">
      <c r="A1326">
        <v>821.17308100000002</v>
      </c>
      <c r="B1326" s="1">
        <f>DATE(2012,7,30) + TIME(4,9,14)</f>
        <v>41120.173078703701</v>
      </c>
      <c r="C1326">
        <v>80</v>
      </c>
      <c r="D1326">
        <v>79.953254700000002</v>
      </c>
      <c r="E1326">
        <v>40</v>
      </c>
      <c r="F1326">
        <v>38.412715912000003</v>
      </c>
      <c r="G1326">
        <v>1341.1182861</v>
      </c>
      <c r="H1326">
        <v>1338.309082</v>
      </c>
      <c r="I1326">
        <v>1323.6726074000001</v>
      </c>
      <c r="J1326">
        <v>1320.3205565999999</v>
      </c>
      <c r="K1326">
        <v>1650</v>
      </c>
      <c r="L1326">
        <v>0</v>
      </c>
      <c r="M1326">
        <v>0</v>
      </c>
      <c r="N1326">
        <v>1650</v>
      </c>
    </row>
    <row r="1327" spans="1:14" x14ac:dyDescent="0.25">
      <c r="A1327">
        <v>822.862393</v>
      </c>
      <c r="B1327" s="1">
        <f>DATE(2012,7,31) + TIME(20,41,50)</f>
        <v>41121.862384259257</v>
      </c>
      <c r="C1327">
        <v>80</v>
      </c>
      <c r="D1327">
        <v>79.953239440999994</v>
      </c>
      <c r="E1327">
        <v>40</v>
      </c>
      <c r="F1327">
        <v>38.521289824999997</v>
      </c>
      <c r="G1327">
        <v>1341.1080322</v>
      </c>
      <c r="H1327">
        <v>1338.3034668</v>
      </c>
      <c r="I1327">
        <v>1323.6660156</v>
      </c>
      <c r="J1327">
        <v>1320.3044434000001</v>
      </c>
      <c r="K1327">
        <v>1650</v>
      </c>
      <c r="L1327">
        <v>0</v>
      </c>
      <c r="M1327">
        <v>0</v>
      </c>
      <c r="N1327">
        <v>1650</v>
      </c>
    </row>
    <row r="1328" spans="1:14" x14ac:dyDescent="0.25">
      <c r="A1328">
        <v>823</v>
      </c>
      <c r="B1328" s="1">
        <f>DATE(2012,8,1) + TIME(0,0,0)</f>
        <v>41122</v>
      </c>
      <c r="C1328">
        <v>80</v>
      </c>
      <c r="D1328">
        <v>79.953224182</v>
      </c>
      <c r="E1328">
        <v>40</v>
      </c>
      <c r="F1328">
        <v>38.543327331999997</v>
      </c>
      <c r="G1328">
        <v>1341.0979004000001</v>
      </c>
      <c r="H1328">
        <v>1338.2979736</v>
      </c>
      <c r="I1328">
        <v>1323.6658935999999</v>
      </c>
      <c r="J1328">
        <v>1320.2935791</v>
      </c>
      <c r="K1328">
        <v>1650</v>
      </c>
      <c r="L1328">
        <v>0</v>
      </c>
      <c r="M1328">
        <v>0</v>
      </c>
      <c r="N1328">
        <v>1650</v>
      </c>
    </row>
    <row r="1329" spans="1:14" x14ac:dyDescent="0.25">
      <c r="A1329">
        <v>824.7364</v>
      </c>
      <c r="B1329" s="1">
        <f>DATE(2012,8,2) + TIME(17,40,24)</f>
        <v>41123.736388888887</v>
      </c>
      <c r="C1329">
        <v>80</v>
      </c>
      <c r="D1329">
        <v>79.953216553000004</v>
      </c>
      <c r="E1329">
        <v>40</v>
      </c>
      <c r="F1329">
        <v>38.662662505999997</v>
      </c>
      <c r="G1329">
        <v>1341.0969238</v>
      </c>
      <c r="H1329">
        <v>1338.2973632999999</v>
      </c>
      <c r="I1329">
        <v>1323.6586914</v>
      </c>
      <c r="J1329">
        <v>1320.2868652</v>
      </c>
      <c r="K1329">
        <v>1650</v>
      </c>
      <c r="L1329">
        <v>0</v>
      </c>
      <c r="M1329">
        <v>0</v>
      </c>
      <c r="N1329">
        <v>1650</v>
      </c>
    </row>
    <row r="1330" spans="1:14" x14ac:dyDescent="0.25">
      <c r="A1330">
        <v>826.49659999999994</v>
      </c>
      <c r="B1330" s="1">
        <f>DATE(2012,8,4) + TIME(11,55,6)</f>
        <v>41125.49659722222</v>
      </c>
      <c r="C1330">
        <v>80</v>
      </c>
      <c r="D1330">
        <v>79.953201293999996</v>
      </c>
      <c r="E1330">
        <v>40</v>
      </c>
      <c r="F1330">
        <v>38.804843902999998</v>
      </c>
      <c r="G1330">
        <v>1341.0865478999999</v>
      </c>
      <c r="H1330">
        <v>1338.2915039</v>
      </c>
      <c r="I1330">
        <v>1323.652832</v>
      </c>
      <c r="J1330">
        <v>1320.2716064000001</v>
      </c>
      <c r="K1330">
        <v>1650</v>
      </c>
      <c r="L1330">
        <v>0</v>
      </c>
      <c r="M1330">
        <v>0</v>
      </c>
      <c r="N1330">
        <v>1650</v>
      </c>
    </row>
    <row r="1331" spans="1:14" x14ac:dyDescent="0.25">
      <c r="A1331">
        <v>828.28760299999999</v>
      </c>
      <c r="B1331" s="1">
        <f>DATE(2012,8,6) + TIME(6,54,8)</f>
        <v>41127.287592592591</v>
      </c>
      <c r="C1331">
        <v>80</v>
      </c>
      <c r="D1331">
        <v>79.953186035000002</v>
      </c>
      <c r="E1331">
        <v>40</v>
      </c>
      <c r="F1331">
        <v>38.969207763999997</v>
      </c>
      <c r="G1331">
        <v>1341.0760498</v>
      </c>
      <c r="H1331">
        <v>1338.2857666</v>
      </c>
      <c r="I1331">
        <v>1323.6472168</v>
      </c>
      <c r="J1331">
        <v>1320.2567139</v>
      </c>
      <c r="K1331">
        <v>1650</v>
      </c>
      <c r="L1331">
        <v>0</v>
      </c>
      <c r="M1331">
        <v>0</v>
      </c>
      <c r="N1331">
        <v>1650</v>
      </c>
    </row>
    <row r="1332" spans="1:14" x14ac:dyDescent="0.25">
      <c r="A1332">
        <v>830.11826499999995</v>
      </c>
      <c r="B1332" s="1">
        <f>DATE(2012,8,8) + TIME(2,50,18)</f>
        <v>41129.118263888886</v>
      </c>
      <c r="C1332">
        <v>80</v>
      </c>
      <c r="D1332">
        <v>79.953170775999993</v>
      </c>
      <c r="E1332">
        <v>40</v>
      </c>
      <c r="F1332">
        <v>39.157375336000001</v>
      </c>
      <c r="G1332">
        <v>1341.0656738</v>
      </c>
      <c r="H1332">
        <v>1338.2797852000001</v>
      </c>
      <c r="I1332">
        <v>1323.6419678</v>
      </c>
      <c r="J1332">
        <v>1320.2423096</v>
      </c>
      <c r="K1332">
        <v>1650</v>
      </c>
      <c r="L1332">
        <v>0</v>
      </c>
      <c r="M1332">
        <v>0</v>
      </c>
      <c r="N1332">
        <v>1650</v>
      </c>
    </row>
    <row r="1333" spans="1:14" x14ac:dyDescent="0.25">
      <c r="A1333">
        <v>832.00465599999995</v>
      </c>
      <c r="B1333" s="1">
        <f>DATE(2012,8,10) + TIME(0,6,42)</f>
        <v>41131.004652777781</v>
      </c>
      <c r="C1333">
        <v>80</v>
      </c>
      <c r="D1333">
        <v>79.953155518000003</v>
      </c>
      <c r="E1333">
        <v>40</v>
      </c>
      <c r="F1333">
        <v>39.372528076000002</v>
      </c>
      <c r="G1333">
        <v>1341.0550536999999</v>
      </c>
      <c r="H1333">
        <v>1338.2739257999999</v>
      </c>
      <c r="I1333">
        <v>1323.6369629000001</v>
      </c>
      <c r="J1333">
        <v>1320.2285156</v>
      </c>
      <c r="K1333">
        <v>1650</v>
      </c>
      <c r="L1333">
        <v>0</v>
      </c>
      <c r="M1333">
        <v>0</v>
      </c>
      <c r="N1333">
        <v>1650</v>
      </c>
    </row>
    <row r="1334" spans="1:14" x14ac:dyDescent="0.25">
      <c r="A1334">
        <v>832.96751900000004</v>
      </c>
      <c r="B1334" s="1">
        <f>DATE(2012,8,10) + TIME(23,13,13)</f>
        <v>41131.967511574076</v>
      </c>
      <c r="C1334">
        <v>80</v>
      </c>
      <c r="D1334">
        <v>79.953132628999995</v>
      </c>
      <c r="E1334">
        <v>40</v>
      </c>
      <c r="F1334">
        <v>39.551483154000003</v>
      </c>
      <c r="G1334">
        <v>1341.0444336</v>
      </c>
      <c r="H1334">
        <v>1338.2678223</v>
      </c>
      <c r="I1334">
        <v>1323.6358643000001</v>
      </c>
      <c r="J1334">
        <v>1320.2170410000001</v>
      </c>
      <c r="K1334">
        <v>1650</v>
      </c>
      <c r="L1334">
        <v>0</v>
      </c>
      <c r="M1334">
        <v>0</v>
      </c>
      <c r="N1334">
        <v>1650</v>
      </c>
    </row>
    <row r="1335" spans="1:14" x14ac:dyDescent="0.25">
      <c r="A1335">
        <v>834.80071399999997</v>
      </c>
      <c r="B1335" s="1">
        <f>DATE(2012,8,12) + TIME(19,13,1)</f>
        <v>41133.800706018519</v>
      </c>
      <c r="C1335">
        <v>80</v>
      </c>
      <c r="D1335">
        <v>79.953132628999995</v>
      </c>
      <c r="E1335">
        <v>40</v>
      </c>
      <c r="F1335">
        <v>39.772239685000002</v>
      </c>
      <c r="G1335">
        <v>1341.0390625</v>
      </c>
      <c r="H1335">
        <v>1338.2646483999999</v>
      </c>
      <c r="I1335">
        <v>1323.6295166</v>
      </c>
      <c r="J1335">
        <v>1320.2084961</v>
      </c>
      <c r="K1335">
        <v>1650</v>
      </c>
      <c r="L1335">
        <v>0</v>
      </c>
      <c r="M1335">
        <v>0</v>
      </c>
      <c r="N1335">
        <v>1650</v>
      </c>
    </row>
    <row r="1336" spans="1:14" x14ac:dyDescent="0.25">
      <c r="A1336">
        <v>836.68302300000005</v>
      </c>
      <c r="B1336" s="1">
        <f>DATE(2012,8,14) + TIME(16,23,33)</f>
        <v>41135.683020833334</v>
      </c>
      <c r="C1336">
        <v>80</v>
      </c>
      <c r="D1336">
        <v>79.953125</v>
      </c>
      <c r="E1336">
        <v>40</v>
      </c>
      <c r="F1336">
        <v>40.040554047000001</v>
      </c>
      <c r="G1336">
        <v>1341.0289307</v>
      </c>
      <c r="H1336">
        <v>1338.2587891000001</v>
      </c>
      <c r="I1336">
        <v>1323.6265868999999</v>
      </c>
      <c r="J1336">
        <v>1320.1977539</v>
      </c>
      <c r="K1336">
        <v>1650</v>
      </c>
      <c r="L1336">
        <v>0</v>
      </c>
      <c r="M1336">
        <v>0</v>
      </c>
      <c r="N1336">
        <v>1650</v>
      </c>
    </row>
    <row r="1337" spans="1:14" x14ac:dyDescent="0.25">
      <c r="A1337">
        <v>838.57742499999995</v>
      </c>
      <c r="B1337" s="1">
        <f>DATE(2012,8,16) + TIME(13,51,29)</f>
        <v>41137.577418981484</v>
      </c>
      <c r="C1337">
        <v>80</v>
      </c>
      <c r="D1337">
        <v>79.953117371000005</v>
      </c>
      <c r="E1337">
        <v>40</v>
      </c>
      <c r="F1337">
        <v>40.349594115999999</v>
      </c>
      <c r="G1337">
        <v>1341.0186768000001</v>
      </c>
      <c r="H1337">
        <v>1338.2528076000001</v>
      </c>
      <c r="I1337">
        <v>1323.6237793</v>
      </c>
      <c r="J1337">
        <v>1320.1879882999999</v>
      </c>
      <c r="K1337">
        <v>1650</v>
      </c>
      <c r="L1337">
        <v>0</v>
      </c>
      <c r="M1337">
        <v>0</v>
      </c>
      <c r="N1337">
        <v>1650</v>
      </c>
    </row>
    <row r="1338" spans="1:14" x14ac:dyDescent="0.25">
      <c r="A1338">
        <v>840.495947</v>
      </c>
      <c r="B1338" s="1">
        <f>DATE(2012,8,18) + TIME(11,54,9)</f>
        <v>41139.495937500003</v>
      </c>
      <c r="C1338">
        <v>80</v>
      </c>
      <c r="D1338">
        <v>79.953109741000006</v>
      </c>
      <c r="E1338">
        <v>40</v>
      </c>
      <c r="F1338">
        <v>40.692481995000001</v>
      </c>
      <c r="G1338">
        <v>1341.0084228999999</v>
      </c>
      <c r="H1338">
        <v>1338.2468262</v>
      </c>
      <c r="I1338">
        <v>1323.6213379000001</v>
      </c>
      <c r="J1338">
        <v>1320.1791992000001</v>
      </c>
      <c r="K1338">
        <v>1650</v>
      </c>
      <c r="L1338">
        <v>0</v>
      </c>
      <c r="M1338">
        <v>0</v>
      </c>
      <c r="N1338">
        <v>1650</v>
      </c>
    </row>
    <row r="1339" spans="1:14" x14ac:dyDescent="0.25">
      <c r="A1339">
        <v>841.47256500000003</v>
      </c>
      <c r="B1339" s="1">
        <f>DATE(2012,8,19) + TIME(11,20,29)</f>
        <v>41140.472557870373</v>
      </c>
      <c r="C1339">
        <v>80</v>
      </c>
      <c r="D1339">
        <v>79.953086853000002</v>
      </c>
      <c r="E1339">
        <v>40</v>
      </c>
      <c r="F1339">
        <v>40.969635009999998</v>
      </c>
      <c r="G1339">
        <v>1340.9982910000001</v>
      </c>
      <c r="H1339">
        <v>1338.2408447</v>
      </c>
      <c r="I1339">
        <v>1323.6236572</v>
      </c>
      <c r="J1339">
        <v>1320.1730957</v>
      </c>
      <c r="K1339">
        <v>1650</v>
      </c>
      <c r="L1339">
        <v>0</v>
      </c>
      <c r="M1339">
        <v>0</v>
      </c>
      <c r="N1339">
        <v>1650</v>
      </c>
    </row>
    <row r="1340" spans="1:14" x14ac:dyDescent="0.25">
      <c r="A1340">
        <v>843.25360699999999</v>
      </c>
      <c r="B1340" s="1">
        <f>DATE(2012,8,21) + TIME(6,5,11)</f>
        <v>41142.253599537034</v>
      </c>
      <c r="C1340">
        <v>80</v>
      </c>
      <c r="D1340">
        <v>79.953094481999997</v>
      </c>
      <c r="E1340">
        <v>40</v>
      </c>
      <c r="F1340">
        <v>41.293952941999997</v>
      </c>
      <c r="G1340">
        <v>1340.9931641000001</v>
      </c>
      <c r="H1340">
        <v>1338.237793</v>
      </c>
      <c r="I1340">
        <v>1323.6180420000001</v>
      </c>
      <c r="J1340">
        <v>1320.1687012</v>
      </c>
      <c r="K1340">
        <v>1650</v>
      </c>
      <c r="L1340">
        <v>0</v>
      </c>
      <c r="M1340">
        <v>0</v>
      </c>
      <c r="N1340">
        <v>1650</v>
      </c>
    </row>
    <row r="1341" spans="1:14" x14ac:dyDescent="0.25">
      <c r="A1341">
        <v>845.14046099999996</v>
      </c>
      <c r="B1341" s="1">
        <f>DATE(2012,8,23) + TIME(3,22,15)</f>
        <v>41144.140451388892</v>
      </c>
      <c r="C1341">
        <v>80</v>
      </c>
      <c r="D1341">
        <v>79.953094481999997</v>
      </c>
      <c r="E1341">
        <v>40</v>
      </c>
      <c r="F1341">
        <v>41.683456421000002</v>
      </c>
      <c r="G1341">
        <v>1340.9838867000001</v>
      </c>
      <c r="H1341">
        <v>1338.2322998</v>
      </c>
      <c r="I1341">
        <v>1323.6171875</v>
      </c>
      <c r="J1341">
        <v>1320.1636963000001</v>
      </c>
      <c r="K1341">
        <v>1650</v>
      </c>
      <c r="L1341">
        <v>0</v>
      </c>
      <c r="M1341">
        <v>0</v>
      </c>
      <c r="N1341">
        <v>1650</v>
      </c>
    </row>
    <row r="1342" spans="1:14" x14ac:dyDescent="0.25">
      <c r="A1342">
        <v>847.06085199999995</v>
      </c>
      <c r="B1342" s="1">
        <f>DATE(2012,8,25) + TIME(1,27,37)</f>
        <v>41146.060844907406</v>
      </c>
      <c r="C1342">
        <v>80</v>
      </c>
      <c r="D1342">
        <v>79.953094481999997</v>
      </c>
      <c r="E1342">
        <v>40</v>
      </c>
      <c r="F1342">
        <v>42.109279633</v>
      </c>
      <c r="G1342">
        <v>1340.9742432</v>
      </c>
      <c r="H1342">
        <v>1338.2264404</v>
      </c>
      <c r="I1342">
        <v>1323.6168213000001</v>
      </c>
      <c r="J1342">
        <v>1320.1599120999999</v>
      </c>
      <c r="K1342">
        <v>1650</v>
      </c>
      <c r="L1342">
        <v>0</v>
      </c>
      <c r="M1342">
        <v>0</v>
      </c>
      <c r="N1342">
        <v>1650</v>
      </c>
    </row>
    <row r="1343" spans="1:14" x14ac:dyDescent="0.25">
      <c r="A1343">
        <v>849.02734099999998</v>
      </c>
      <c r="B1343" s="1">
        <f>DATE(2012,8,27) + TIME(0,39,22)</f>
        <v>41148.027337962965</v>
      </c>
      <c r="C1343">
        <v>80</v>
      </c>
      <c r="D1343">
        <v>79.953094481999997</v>
      </c>
      <c r="E1343">
        <v>40</v>
      </c>
      <c r="F1343">
        <v>42.569812775000003</v>
      </c>
      <c r="G1343">
        <v>1340.9645995999999</v>
      </c>
      <c r="H1343">
        <v>1338.2207031</v>
      </c>
      <c r="I1343">
        <v>1323.6168213000001</v>
      </c>
      <c r="J1343">
        <v>1320.1572266000001</v>
      </c>
      <c r="K1343">
        <v>1650</v>
      </c>
      <c r="L1343">
        <v>0</v>
      </c>
      <c r="M1343">
        <v>0</v>
      </c>
      <c r="N1343">
        <v>1650</v>
      </c>
    </row>
    <row r="1344" spans="1:14" x14ac:dyDescent="0.25">
      <c r="A1344">
        <v>851.03655200000003</v>
      </c>
      <c r="B1344" s="1">
        <f>DATE(2012,8,29) + TIME(0,52,38)</f>
        <v>41150.036550925928</v>
      </c>
      <c r="C1344">
        <v>80</v>
      </c>
      <c r="D1344">
        <v>79.953094481999997</v>
      </c>
      <c r="E1344">
        <v>40</v>
      </c>
      <c r="F1344">
        <v>43.066963196000003</v>
      </c>
      <c r="G1344">
        <v>1340.9548339999999</v>
      </c>
      <c r="H1344">
        <v>1338.2147216999999</v>
      </c>
      <c r="I1344">
        <v>1323.6174315999999</v>
      </c>
      <c r="J1344">
        <v>1320.1560059000001</v>
      </c>
      <c r="K1344">
        <v>1650</v>
      </c>
      <c r="L1344">
        <v>0</v>
      </c>
      <c r="M1344">
        <v>0</v>
      </c>
      <c r="N1344">
        <v>1650</v>
      </c>
    </row>
    <row r="1345" spans="1:14" x14ac:dyDescent="0.25">
      <c r="A1345">
        <v>853.06323799999996</v>
      </c>
      <c r="B1345" s="1">
        <f>DATE(2012,8,31) + TIME(1,31,3)</f>
        <v>41152.06322916667</v>
      </c>
      <c r="C1345">
        <v>80</v>
      </c>
      <c r="D1345">
        <v>79.953102111999996</v>
      </c>
      <c r="E1345">
        <v>40</v>
      </c>
      <c r="F1345">
        <v>43.596801757999998</v>
      </c>
      <c r="G1345">
        <v>1340.9449463000001</v>
      </c>
      <c r="H1345">
        <v>1338.2087402</v>
      </c>
      <c r="I1345">
        <v>1323.6186522999999</v>
      </c>
      <c r="J1345">
        <v>1320.15625</v>
      </c>
      <c r="K1345">
        <v>1650</v>
      </c>
      <c r="L1345">
        <v>0</v>
      </c>
      <c r="M1345">
        <v>0</v>
      </c>
      <c r="N1345">
        <v>1650</v>
      </c>
    </row>
    <row r="1346" spans="1:14" x14ac:dyDescent="0.25">
      <c r="A1346">
        <v>854</v>
      </c>
      <c r="B1346" s="1">
        <f>DATE(2012,9,1) + TIME(0,0,0)</f>
        <v>41153</v>
      </c>
      <c r="C1346">
        <v>80</v>
      </c>
      <c r="D1346">
        <v>79.953079224000007</v>
      </c>
      <c r="E1346">
        <v>40</v>
      </c>
      <c r="F1346">
        <v>43.994636536000002</v>
      </c>
      <c r="G1346">
        <v>1340.9353027</v>
      </c>
      <c r="H1346">
        <v>1338.2028809000001</v>
      </c>
      <c r="I1346">
        <v>1323.6257324000001</v>
      </c>
      <c r="J1346">
        <v>1320.1586914</v>
      </c>
      <c r="K1346">
        <v>1650</v>
      </c>
      <c r="L1346">
        <v>0</v>
      </c>
      <c r="M1346">
        <v>0</v>
      </c>
      <c r="N1346">
        <v>1650</v>
      </c>
    </row>
    <row r="1347" spans="1:14" x14ac:dyDescent="0.25">
      <c r="A1347">
        <v>856.07940199999996</v>
      </c>
      <c r="B1347" s="1">
        <f>DATE(2012,9,3) + TIME(1,54,20)</f>
        <v>41155.079398148147</v>
      </c>
      <c r="C1347">
        <v>80</v>
      </c>
      <c r="D1347">
        <v>79.953102111999996</v>
      </c>
      <c r="E1347">
        <v>40</v>
      </c>
      <c r="F1347">
        <v>44.464275360000002</v>
      </c>
      <c r="G1347">
        <v>1340.9307861</v>
      </c>
      <c r="H1347">
        <v>1338.2000731999999</v>
      </c>
      <c r="I1347">
        <v>1323.6202393000001</v>
      </c>
      <c r="J1347">
        <v>1320.1607666</v>
      </c>
      <c r="K1347">
        <v>1650</v>
      </c>
      <c r="L1347">
        <v>0</v>
      </c>
      <c r="M1347">
        <v>0</v>
      </c>
      <c r="N1347">
        <v>1650</v>
      </c>
    </row>
    <row r="1348" spans="1:14" x14ac:dyDescent="0.25">
      <c r="A1348">
        <v>858.27616599999999</v>
      </c>
      <c r="B1348" s="1">
        <f>DATE(2012,9,5) + TIME(6,37,40)</f>
        <v>41157.27615740741</v>
      </c>
      <c r="C1348">
        <v>80</v>
      </c>
      <c r="D1348">
        <v>79.953109741000006</v>
      </c>
      <c r="E1348">
        <v>40</v>
      </c>
      <c r="F1348">
        <v>45.025543212999999</v>
      </c>
      <c r="G1348">
        <v>1340.9210204999999</v>
      </c>
      <c r="H1348">
        <v>1338.1940918</v>
      </c>
      <c r="I1348">
        <v>1323.6231689000001</v>
      </c>
      <c r="J1348">
        <v>1320.1635742000001</v>
      </c>
      <c r="K1348">
        <v>1650</v>
      </c>
      <c r="L1348">
        <v>0</v>
      </c>
      <c r="M1348">
        <v>0</v>
      </c>
      <c r="N1348">
        <v>1650</v>
      </c>
    </row>
    <row r="1349" spans="1:14" x14ac:dyDescent="0.25">
      <c r="A1349">
        <v>860.51891999999998</v>
      </c>
      <c r="B1349" s="1">
        <f>DATE(2012,9,7) + TIME(12,27,14)</f>
        <v>41159.518912037034</v>
      </c>
      <c r="C1349">
        <v>80</v>
      </c>
      <c r="D1349">
        <v>79.953117371000005</v>
      </c>
      <c r="E1349">
        <v>40</v>
      </c>
      <c r="F1349">
        <v>45.636196136000002</v>
      </c>
      <c r="G1349">
        <v>1340.9108887</v>
      </c>
      <c r="H1349">
        <v>1338.1877440999999</v>
      </c>
      <c r="I1349">
        <v>1323.6267089999999</v>
      </c>
      <c r="J1349">
        <v>1320.1685791</v>
      </c>
      <c r="K1349">
        <v>1650</v>
      </c>
      <c r="L1349">
        <v>0</v>
      </c>
      <c r="M1349">
        <v>0</v>
      </c>
      <c r="N1349">
        <v>1650</v>
      </c>
    </row>
    <row r="1350" spans="1:14" x14ac:dyDescent="0.25">
      <c r="A1350">
        <v>862.76977699999998</v>
      </c>
      <c r="B1350" s="1">
        <f>DATE(2012,9,9) + TIME(18,28,28)</f>
        <v>41161.769768518519</v>
      </c>
      <c r="C1350">
        <v>80</v>
      </c>
      <c r="D1350">
        <v>79.953125</v>
      </c>
      <c r="E1350">
        <v>40</v>
      </c>
      <c r="F1350">
        <v>46.267570495999998</v>
      </c>
      <c r="G1350">
        <v>1340.9007568</v>
      </c>
      <c r="H1350">
        <v>1338.1815185999999</v>
      </c>
      <c r="I1350">
        <v>1323.6308594</v>
      </c>
      <c r="J1350">
        <v>1320.1754149999999</v>
      </c>
      <c r="K1350">
        <v>1650</v>
      </c>
      <c r="L1350">
        <v>0</v>
      </c>
      <c r="M1350">
        <v>0</v>
      </c>
      <c r="N1350">
        <v>1650</v>
      </c>
    </row>
    <row r="1351" spans="1:14" x14ac:dyDescent="0.25">
      <c r="A1351">
        <v>865.07666300000005</v>
      </c>
      <c r="B1351" s="1">
        <f>DATE(2012,9,12) + TIME(1,50,23)</f>
        <v>41164.076655092591</v>
      </c>
      <c r="C1351">
        <v>80</v>
      </c>
      <c r="D1351">
        <v>79.953132628999995</v>
      </c>
      <c r="E1351">
        <v>40</v>
      </c>
      <c r="F1351">
        <v>46.907569885000001</v>
      </c>
      <c r="G1351">
        <v>1340.8907471</v>
      </c>
      <c r="H1351">
        <v>1338.175293</v>
      </c>
      <c r="I1351">
        <v>1323.6354980000001</v>
      </c>
      <c r="J1351">
        <v>1320.1835937999999</v>
      </c>
      <c r="K1351">
        <v>1650</v>
      </c>
      <c r="L1351">
        <v>0</v>
      </c>
      <c r="M1351">
        <v>0</v>
      </c>
      <c r="N1351">
        <v>1650</v>
      </c>
    </row>
    <row r="1352" spans="1:14" x14ac:dyDescent="0.25">
      <c r="A1352">
        <v>867.46092899999996</v>
      </c>
      <c r="B1352" s="1">
        <f>DATE(2012,9,14) + TIME(11,3,44)</f>
        <v>41166.460925925923</v>
      </c>
      <c r="C1352">
        <v>80</v>
      </c>
      <c r="D1352">
        <v>79.953147888000004</v>
      </c>
      <c r="E1352">
        <v>40</v>
      </c>
      <c r="F1352">
        <v>47.556919098000002</v>
      </c>
      <c r="G1352">
        <v>1340.8806152</v>
      </c>
      <c r="H1352">
        <v>1338.1689452999999</v>
      </c>
      <c r="I1352">
        <v>1323.6407471</v>
      </c>
      <c r="J1352">
        <v>1320.1929932</v>
      </c>
      <c r="K1352">
        <v>1650</v>
      </c>
      <c r="L1352">
        <v>0</v>
      </c>
      <c r="M1352">
        <v>0</v>
      </c>
      <c r="N1352">
        <v>1650</v>
      </c>
    </row>
    <row r="1353" spans="1:14" x14ac:dyDescent="0.25">
      <c r="A1353">
        <v>869.93273999999997</v>
      </c>
      <c r="B1353" s="1">
        <f>DATE(2012,9,16) + TIME(22,23,8)</f>
        <v>41168.93273148148</v>
      </c>
      <c r="C1353">
        <v>80</v>
      </c>
      <c r="D1353">
        <v>79.953163146999998</v>
      </c>
      <c r="E1353">
        <v>40</v>
      </c>
      <c r="F1353">
        <v>48.216171265</v>
      </c>
      <c r="G1353">
        <v>1340.8704834</v>
      </c>
      <c r="H1353">
        <v>1338.1625977000001</v>
      </c>
      <c r="I1353">
        <v>1323.6468506000001</v>
      </c>
      <c r="J1353">
        <v>1320.2037353999999</v>
      </c>
      <c r="K1353">
        <v>1650</v>
      </c>
      <c r="L1353">
        <v>0</v>
      </c>
      <c r="M1353">
        <v>0</v>
      </c>
      <c r="N1353">
        <v>1650</v>
      </c>
    </row>
    <row r="1354" spans="1:14" x14ac:dyDescent="0.25">
      <c r="A1354">
        <v>872.47066199999995</v>
      </c>
      <c r="B1354" s="1">
        <f>DATE(2012,9,19) + TIME(11,17,45)</f>
        <v>41171.470659722225</v>
      </c>
      <c r="C1354">
        <v>80</v>
      </c>
      <c r="D1354">
        <v>79.953178406000006</v>
      </c>
      <c r="E1354">
        <v>40</v>
      </c>
      <c r="F1354">
        <v>48.881408690999997</v>
      </c>
      <c r="G1354">
        <v>1340.8601074000001</v>
      </c>
      <c r="H1354">
        <v>1338.1561279</v>
      </c>
      <c r="I1354">
        <v>1323.6538086</v>
      </c>
      <c r="J1354">
        <v>1320.2156981999999</v>
      </c>
      <c r="K1354">
        <v>1650</v>
      </c>
      <c r="L1354">
        <v>0</v>
      </c>
      <c r="M1354">
        <v>0</v>
      </c>
      <c r="N1354">
        <v>1650</v>
      </c>
    </row>
    <row r="1355" spans="1:14" x14ac:dyDescent="0.25">
      <c r="A1355">
        <v>875.10079499999995</v>
      </c>
      <c r="B1355" s="1">
        <f>DATE(2012,9,22) + TIME(2,25,8)</f>
        <v>41174.100787037038</v>
      </c>
      <c r="C1355">
        <v>80</v>
      </c>
      <c r="D1355">
        <v>79.953193665000001</v>
      </c>
      <c r="E1355">
        <v>40</v>
      </c>
      <c r="F1355">
        <v>49.547378539999997</v>
      </c>
      <c r="G1355">
        <v>1340.8497314000001</v>
      </c>
      <c r="H1355">
        <v>1338.1496582</v>
      </c>
      <c r="I1355">
        <v>1323.661499</v>
      </c>
      <c r="J1355">
        <v>1320.2288818</v>
      </c>
      <c r="K1355">
        <v>1650</v>
      </c>
      <c r="L1355">
        <v>0</v>
      </c>
      <c r="M1355">
        <v>0</v>
      </c>
      <c r="N1355">
        <v>1650</v>
      </c>
    </row>
    <row r="1356" spans="1:14" x14ac:dyDescent="0.25">
      <c r="A1356">
        <v>877.85069799999997</v>
      </c>
      <c r="B1356" s="1">
        <f>DATE(2012,9,24) + TIME(20,25,0)</f>
        <v>41176.850694444445</v>
      </c>
      <c r="C1356">
        <v>80</v>
      </c>
      <c r="D1356">
        <v>79.953216553000004</v>
      </c>
      <c r="E1356">
        <v>40</v>
      </c>
      <c r="F1356">
        <v>50.216033936000002</v>
      </c>
      <c r="G1356">
        <v>1340.8392334</v>
      </c>
      <c r="H1356">
        <v>1338.1429443</v>
      </c>
      <c r="I1356">
        <v>1323.6699219</v>
      </c>
      <c r="J1356">
        <v>1320.2432861</v>
      </c>
      <c r="K1356">
        <v>1650</v>
      </c>
      <c r="L1356">
        <v>0</v>
      </c>
      <c r="M1356">
        <v>0</v>
      </c>
      <c r="N1356">
        <v>1650</v>
      </c>
    </row>
    <row r="1357" spans="1:14" x14ac:dyDescent="0.25">
      <c r="A1357">
        <v>880.69261700000004</v>
      </c>
      <c r="B1357" s="1">
        <f>DATE(2012,9,27) + TIME(16,37,22)</f>
        <v>41179.692615740743</v>
      </c>
      <c r="C1357">
        <v>80</v>
      </c>
      <c r="D1357">
        <v>79.953231811999999</v>
      </c>
      <c r="E1357">
        <v>40</v>
      </c>
      <c r="F1357">
        <v>50.887538910000004</v>
      </c>
      <c r="G1357">
        <v>1340.8284911999999</v>
      </c>
      <c r="H1357">
        <v>1338.1362305</v>
      </c>
      <c r="I1357">
        <v>1323.6793213000001</v>
      </c>
      <c r="J1357">
        <v>1320.2587891000001</v>
      </c>
      <c r="K1357">
        <v>1650</v>
      </c>
      <c r="L1357">
        <v>0</v>
      </c>
      <c r="M1357">
        <v>0</v>
      </c>
      <c r="N1357">
        <v>1650</v>
      </c>
    </row>
    <row r="1358" spans="1:14" x14ac:dyDescent="0.25">
      <c r="A1358">
        <v>883.63422200000002</v>
      </c>
      <c r="B1358" s="1">
        <f>DATE(2012,9,30) + TIME(15,13,16)</f>
        <v>41182.634212962963</v>
      </c>
      <c r="C1358">
        <v>80</v>
      </c>
      <c r="D1358">
        <v>79.953262328999998</v>
      </c>
      <c r="E1358">
        <v>40</v>
      </c>
      <c r="F1358">
        <v>51.557018280000001</v>
      </c>
      <c r="G1358">
        <v>1340.8176269999999</v>
      </c>
      <c r="H1358">
        <v>1338.1293945</v>
      </c>
      <c r="I1358">
        <v>1323.6894531</v>
      </c>
      <c r="J1358">
        <v>1320.2753906</v>
      </c>
      <c r="K1358">
        <v>1650</v>
      </c>
      <c r="L1358">
        <v>0</v>
      </c>
      <c r="M1358">
        <v>0</v>
      </c>
      <c r="N1358">
        <v>1650</v>
      </c>
    </row>
    <row r="1359" spans="1:14" x14ac:dyDescent="0.25">
      <c r="A1359">
        <v>884</v>
      </c>
      <c r="B1359" s="1">
        <f>DATE(2012,10,1) + TIME(0,0,0)</f>
        <v>41183</v>
      </c>
      <c r="C1359">
        <v>80</v>
      </c>
      <c r="D1359">
        <v>79.953239440999994</v>
      </c>
      <c r="E1359">
        <v>40</v>
      </c>
      <c r="F1359">
        <v>51.806175232000001</v>
      </c>
      <c r="G1359">
        <v>1340.8068848</v>
      </c>
      <c r="H1359">
        <v>1338.1226807</v>
      </c>
      <c r="I1359">
        <v>1323.7131348</v>
      </c>
      <c r="J1359">
        <v>1320.2926024999999</v>
      </c>
      <c r="K1359">
        <v>1650</v>
      </c>
      <c r="L1359">
        <v>0</v>
      </c>
      <c r="M1359">
        <v>0</v>
      </c>
      <c r="N1359">
        <v>1650</v>
      </c>
    </row>
    <row r="1360" spans="1:14" x14ac:dyDescent="0.25">
      <c r="A1360">
        <v>886.97833900000001</v>
      </c>
      <c r="B1360" s="1">
        <f>DATE(2012,10,3) + TIME(23,28,48)</f>
        <v>41185.978333333333</v>
      </c>
      <c r="C1360">
        <v>80</v>
      </c>
      <c r="D1360">
        <v>79.953285217000001</v>
      </c>
      <c r="E1360">
        <v>40</v>
      </c>
      <c r="F1360">
        <v>52.337211609000001</v>
      </c>
      <c r="G1360">
        <v>1340.8052978999999</v>
      </c>
      <c r="H1360">
        <v>1338.121582</v>
      </c>
      <c r="I1360">
        <v>1323.7025146000001</v>
      </c>
      <c r="J1360">
        <v>1320.2989502</v>
      </c>
      <c r="K1360">
        <v>1650</v>
      </c>
      <c r="L1360">
        <v>0</v>
      </c>
      <c r="M1360">
        <v>0</v>
      </c>
      <c r="N1360">
        <v>1650</v>
      </c>
    </row>
    <row r="1361" spans="1:14" x14ac:dyDescent="0.25">
      <c r="A1361">
        <v>890.02662199999997</v>
      </c>
      <c r="B1361" s="1">
        <f>DATE(2012,10,7) + TIME(0,38,20)</f>
        <v>41189.026620370372</v>
      </c>
      <c r="C1361">
        <v>80</v>
      </c>
      <c r="D1361">
        <v>79.953308105000005</v>
      </c>
      <c r="E1361">
        <v>40</v>
      </c>
      <c r="F1361">
        <v>52.948333740000002</v>
      </c>
      <c r="G1361">
        <v>1340.7945557</v>
      </c>
      <c r="H1361">
        <v>1338.1147461</v>
      </c>
      <c r="I1361">
        <v>1323.713501</v>
      </c>
      <c r="J1361">
        <v>1320.3142089999999</v>
      </c>
      <c r="K1361">
        <v>1650</v>
      </c>
      <c r="L1361">
        <v>0</v>
      </c>
      <c r="M1361">
        <v>0</v>
      </c>
      <c r="N1361">
        <v>1650</v>
      </c>
    </row>
    <row r="1362" spans="1:14" x14ac:dyDescent="0.25">
      <c r="A1362">
        <v>893.15585699999997</v>
      </c>
      <c r="B1362" s="1">
        <f>DATE(2012,10,10) + TIME(3,44,26)</f>
        <v>41192.155856481484</v>
      </c>
      <c r="C1362">
        <v>80</v>
      </c>
      <c r="D1362">
        <v>79.953338622999993</v>
      </c>
      <c r="E1362">
        <v>40</v>
      </c>
      <c r="F1362">
        <v>53.566444396999998</v>
      </c>
      <c r="G1362">
        <v>1340.7839355000001</v>
      </c>
      <c r="H1362">
        <v>1338.1080322</v>
      </c>
      <c r="I1362">
        <v>1323.7252197</v>
      </c>
      <c r="J1362">
        <v>1320.3321533000001</v>
      </c>
      <c r="K1362">
        <v>1650</v>
      </c>
      <c r="L1362">
        <v>0</v>
      </c>
      <c r="M1362">
        <v>0</v>
      </c>
      <c r="N1362">
        <v>1650</v>
      </c>
    </row>
    <row r="1363" spans="1:14" x14ac:dyDescent="0.25">
      <c r="A1363">
        <v>896.36762699999997</v>
      </c>
      <c r="B1363" s="1">
        <f>DATE(2012,10,13) + TIME(8,49,22)</f>
        <v>41195.367615740739</v>
      </c>
      <c r="C1363">
        <v>80</v>
      </c>
      <c r="D1363">
        <v>79.953369140999996</v>
      </c>
      <c r="E1363">
        <v>40</v>
      </c>
      <c r="F1363">
        <v>54.174129485999998</v>
      </c>
      <c r="G1363">
        <v>1340.7731934000001</v>
      </c>
      <c r="H1363">
        <v>1338.1011963000001</v>
      </c>
      <c r="I1363">
        <v>1323.7376709</v>
      </c>
      <c r="J1363">
        <v>1320.3510742000001</v>
      </c>
      <c r="K1363">
        <v>1650</v>
      </c>
      <c r="L1363">
        <v>0</v>
      </c>
      <c r="M1363">
        <v>0</v>
      </c>
      <c r="N1363">
        <v>1650</v>
      </c>
    </row>
    <row r="1364" spans="1:14" x14ac:dyDescent="0.25">
      <c r="A1364">
        <v>899.62769500000002</v>
      </c>
      <c r="B1364" s="1">
        <f>DATE(2012,10,16) + TIME(15,3,52)</f>
        <v>41198.627685185187</v>
      </c>
      <c r="C1364">
        <v>80</v>
      </c>
      <c r="D1364">
        <v>79.953407287999994</v>
      </c>
      <c r="E1364">
        <v>40</v>
      </c>
      <c r="F1364">
        <v>54.765510558999999</v>
      </c>
      <c r="G1364">
        <v>1340.7624512</v>
      </c>
      <c r="H1364">
        <v>1338.0944824000001</v>
      </c>
      <c r="I1364">
        <v>1323.7506103999999</v>
      </c>
      <c r="J1364">
        <v>1320.3706055</v>
      </c>
      <c r="K1364">
        <v>1650</v>
      </c>
      <c r="L1364">
        <v>0</v>
      </c>
      <c r="M1364">
        <v>0</v>
      </c>
      <c r="N1364">
        <v>1650</v>
      </c>
    </row>
    <row r="1365" spans="1:14" x14ac:dyDescent="0.25">
      <c r="A1365">
        <v>902.968887</v>
      </c>
      <c r="B1365" s="1">
        <f>DATE(2012,10,19) + TIME(23,15,11)</f>
        <v>41201.968877314815</v>
      </c>
      <c r="C1365">
        <v>80</v>
      </c>
      <c r="D1365">
        <v>79.953437804999993</v>
      </c>
      <c r="E1365">
        <v>40</v>
      </c>
      <c r="F1365">
        <v>55.336231232000003</v>
      </c>
      <c r="G1365">
        <v>1340.7519531</v>
      </c>
      <c r="H1365">
        <v>1338.0877685999999</v>
      </c>
      <c r="I1365">
        <v>1323.7639160000001</v>
      </c>
      <c r="J1365">
        <v>1320.3903809000001</v>
      </c>
      <c r="K1365">
        <v>1650</v>
      </c>
      <c r="L1365">
        <v>0</v>
      </c>
      <c r="M1365">
        <v>0</v>
      </c>
      <c r="N1365">
        <v>1650</v>
      </c>
    </row>
    <row r="1366" spans="1:14" x14ac:dyDescent="0.25">
      <c r="A1366">
        <v>906.36498099999994</v>
      </c>
      <c r="B1366" s="1">
        <f>DATE(2012,10,23) + TIME(8,45,34)</f>
        <v>41205.364976851852</v>
      </c>
      <c r="C1366">
        <v>80</v>
      </c>
      <c r="D1366">
        <v>79.953475952000005</v>
      </c>
      <c r="E1366">
        <v>40</v>
      </c>
      <c r="F1366">
        <v>55.887470245000003</v>
      </c>
      <c r="G1366">
        <v>1340.7414550999999</v>
      </c>
      <c r="H1366">
        <v>1338.0811768000001</v>
      </c>
      <c r="I1366">
        <v>1323.7774658000001</v>
      </c>
      <c r="J1366">
        <v>1320.4102783000001</v>
      </c>
      <c r="K1366">
        <v>1650</v>
      </c>
      <c r="L1366">
        <v>0</v>
      </c>
      <c r="M1366">
        <v>0</v>
      </c>
      <c r="N1366">
        <v>1650</v>
      </c>
    </row>
    <row r="1367" spans="1:14" x14ac:dyDescent="0.25">
      <c r="A1367">
        <v>909.80067299999996</v>
      </c>
      <c r="B1367" s="1">
        <f>DATE(2012,10,26) + TIME(19,12,58)</f>
        <v>41208.800671296296</v>
      </c>
      <c r="C1367">
        <v>80</v>
      </c>
      <c r="D1367">
        <v>79.953514099000003</v>
      </c>
      <c r="E1367">
        <v>40</v>
      </c>
      <c r="F1367">
        <v>56.416980743000003</v>
      </c>
      <c r="G1367">
        <v>1340.7310791</v>
      </c>
      <c r="H1367">
        <v>1338.0745850000001</v>
      </c>
      <c r="I1367">
        <v>1323.7912598</v>
      </c>
      <c r="J1367">
        <v>1320.4302978999999</v>
      </c>
      <c r="K1367">
        <v>1650</v>
      </c>
      <c r="L1367">
        <v>0</v>
      </c>
      <c r="M1367">
        <v>0</v>
      </c>
      <c r="N1367">
        <v>1650</v>
      </c>
    </row>
    <row r="1368" spans="1:14" x14ac:dyDescent="0.25">
      <c r="A1368">
        <v>913.31177100000002</v>
      </c>
      <c r="B1368" s="1">
        <f>DATE(2012,10,30) + TIME(7,28,57)</f>
        <v>41212.31177083333</v>
      </c>
      <c r="C1368">
        <v>80</v>
      </c>
      <c r="D1368">
        <v>79.953552246000001</v>
      </c>
      <c r="E1368">
        <v>40</v>
      </c>
      <c r="F1368">
        <v>56.924263000000003</v>
      </c>
      <c r="G1368">
        <v>1340.7209473</v>
      </c>
      <c r="H1368">
        <v>1338.0681152</v>
      </c>
      <c r="I1368">
        <v>1323.8051757999999</v>
      </c>
      <c r="J1368">
        <v>1320.4501952999999</v>
      </c>
      <c r="K1368">
        <v>1650</v>
      </c>
      <c r="L1368">
        <v>0</v>
      </c>
      <c r="M1368">
        <v>0</v>
      </c>
      <c r="N1368">
        <v>1650</v>
      </c>
    </row>
    <row r="1369" spans="1:14" x14ac:dyDescent="0.25">
      <c r="A1369">
        <v>915</v>
      </c>
      <c r="B1369" s="1">
        <f>DATE(2012,11,1) + TIME(0,0,0)</f>
        <v>41214</v>
      </c>
      <c r="C1369">
        <v>80</v>
      </c>
      <c r="D1369">
        <v>79.953544617000006</v>
      </c>
      <c r="E1369">
        <v>40</v>
      </c>
      <c r="F1369">
        <v>57.327045441000003</v>
      </c>
      <c r="G1369">
        <v>1340.7109375</v>
      </c>
      <c r="H1369">
        <v>1338.0618896000001</v>
      </c>
      <c r="I1369">
        <v>1323.8220214999999</v>
      </c>
      <c r="J1369">
        <v>1320.4702147999999</v>
      </c>
      <c r="K1369">
        <v>1650</v>
      </c>
      <c r="L1369">
        <v>0</v>
      </c>
      <c r="M1369">
        <v>0</v>
      </c>
      <c r="N1369">
        <v>1650</v>
      </c>
    </row>
    <row r="1370" spans="1:14" x14ac:dyDescent="0.25">
      <c r="A1370">
        <v>915.000001</v>
      </c>
      <c r="B1370" s="1">
        <f>DATE(2012,11,1) + TIME(0,0,0)</f>
        <v>41214</v>
      </c>
      <c r="C1370">
        <v>80</v>
      </c>
      <c r="D1370">
        <v>79.953475952000005</v>
      </c>
      <c r="E1370">
        <v>40</v>
      </c>
      <c r="F1370">
        <v>57.327121734999999</v>
      </c>
      <c r="G1370">
        <v>1337.5671387</v>
      </c>
      <c r="H1370">
        <v>1336.6867675999999</v>
      </c>
      <c r="I1370">
        <v>1327.8649902</v>
      </c>
      <c r="J1370">
        <v>1324.5534668</v>
      </c>
      <c r="K1370">
        <v>0</v>
      </c>
      <c r="L1370">
        <v>1650</v>
      </c>
      <c r="M1370">
        <v>1650</v>
      </c>
      <c r="N1370">
        <v>0</v>
      </c>
    </row>
    <row r="1371" spans="1:14" x14ac:dyDescent="0.25">
      <c r="A1371">
        <v>915.00000399999999</v>
      </c>
      <c r="B1371" s="1">
        <f>DATE(2012,11,1) + TIME(0,0,0)</f>
        <v>41214</v>
      </c>
      <c r="C1371">
        <v>80</v>
      </c>
      <c r="D1371">
        <v>79.953353882000002</v>
      </c>
      <c r="E1371">
        <v>40</v>
      </c>
      <c r="F1371">
        <v>57.327243805000002</v>
      </c>
      <c r="G1371">
        <v>1336.7174072</v>
      </c>
      <c r="H1371">
        <v>1335.8240966999999</v>
      </c>
      <c r="I1371">
        <v>1329.0203856999999</v>
      </c>
      <c r="J1371">
        <v>1325.8984375</v>
      </c>
      <c r="K1371">
        <v>0</v>
      </c>
      <c r="L1371">
        <v>1650</v>
      </c>
      <c r="M1371">
        <v>1650</v>
      </c>
      <c r="N1371">
        <v>0</v>
      </c>
    </row>
    <row r="1372" spans="1:14" x14ac:dyDescent="0.25">
      <c r="A1372">
        <v>915.00001299999997</v>
      </c>
      <c r="B1372" s="1">
        <f>DATE(2012,11,1) + TIME(0,0,1)</f>
        <v>41214.000011574077</v>
      </c>
      <c r="C1372">
        <v>80</v>
      </c>
      <c r="D1372">
        <v>79.953208923000005</v>
      </c>
      <c r="E1372">
        <v>40</v>
      </c>
      <c r="F1372">
        <v>57.327304839999996</v>
      </c>
      <c r="G1372">
        <v>1335.6604004000001</v>
      </c>
      <c r="H1372">
        <v>1334.7336425999999</v>
      </c>
      <c r="I1372">
        <v>1330.7593993999999</v>
      </c>
      <c r="J1372">
        <v>1327.6844481999999</v>
      </c>
      <c r="K1372">
        <v>0</v>
      </c>
      <c r="L1372">
        <v>1650</v>
      </c>
      <c r="M1372">
        <v>1650</v>
      </c>
      <c r="N1372">
        <v>0</v>
      </c>
    </row>
    <row r="1373" spans="1:14" x14ac:dyDescent="0.25">
      <c r="A1373">
        <v>915.00004000000001</v>
      </c>
      <c r="B1373" s="1">
        <f>DATE(2012,11,1) + TIME(0,0,3)</f>
        <v>41214.000034722223</v>
      </c>
      <c r="C1373">
        <v>80</v>
      </c>
      <c r="D1373">
        <v>79.953048706000004</v>
      </c>
      <c r="E1373">
        <v>40</v>
      </c>
      <c r="F1373">
        <v>57.327045441000003</v>
      </c>
      <c r="G1373">
        <v>1334.5631103999999</v>
      </c>
      <c r="H1373">
        <v>1333.5897216999999</v>
      </c>
      <c r="I1373">
        <v>1332.7498779</v>
      </c>
      <c r="J1373">
        <v>1329.6333007999999</v>
      </c>
      <c r="K1373">
        <v>0</v>
      </c>
      <c r="L1373">
        <v>1650</v>
      </c>
      <c r="M1373">
        <v>1650</v>
      </c>
      <c r="N1373">
        <v>0</v>
      </c>
    </row>
    <row r="1374" spans="1:14" x14ac:dyDescent="0.25">
      <c r="A1374">
        <v>915.00012100000004</v>
      </c>
      <c r="B1374" s="1">
        <f>DATE(2012,11,1) + TIME(0,0,10)</f>
        <v>41214.000115740739</v>
      </c>
      <c r="C1374">
        <v>80</v>
      </c>
      <c r="D1374">
        <v>79.952873229999994</v>
      </c>
      <c r="E1374">
        <v>40</v>
      </c>
      <c r="F1374">
        <v>57.325733184999997</v>
      </c>
      <c r="G1374">
        <v>1333.4335937999999</v>
      </c>
      <c r="H1374">
        <v>1332.3937988</v>
      </c>
      <c r="I1374">
        <v>1334.7713623</v>
      </c>
      <c r="J1374">
        <v>1331.6110839999999</v>
      </c>
      <c r="K1374">
        <v>0</v>
      </c>
      <c r="L1374">
        <v>1650</v>
      </c>
      <c r="M1374">
        <v>1650</v>
      </c>
      <c r="N1374">
        <v>0</v>
      </c>
    </row>
    <row r="1375" spans="1:14" x14ac:dyDescent="0.25">
      <c r="A1375">
        <v>915.00036399999999</v>
      </c>
      <c r="B1375" s="1">
        <f>DATE(2012,11,1) + TIME(0,0,31)</f>
        <v>41214.000358796293</v>
      </c>
      <c r="C1375">
        <v>80</v>
      </c>
      <c r="D1375">
        <v>79.952674865999995</v>
      </c>
      <c r="E1375">
        <v>40</v>
      </c>
      <c r="F1375">
        <v>57.321205139</v>
      </c>
      <c r="G1375">
        <v>1332.2296143000001</v>
      </c>
      <c r="H1375">
        <v>1331.0977783000001</v>
      </c>
      <c r="I1375">
        <v>1336.7910156</v>
      </c>
      <c r="J1375">
        <v>1333.5761719</v>
      </c>
      <c r="K1375">
        <v>0</v>
      </c>
      <c r="L1375">
        <v>1650</v>
      </c>
      <c r="M1375">
        <v>1650</v>
      </c>
      <c r="N1375">
        <v>0</v>
      </c>
    </row>
    <row r="1376" spans="1:14" x14ac:dyDescent="0.25">
      <c r="A1376">
        <v>915.00109299999997</v>
      </c>
      <c r="B1376" s="1">
        <f>DATE(2012,11,1) + TIME(0,1,34)</f>
        <v>41214.001087962963</v>
      </c>
      <c r="C1376">
        <v>80</v>
      </c>
      <c r="D1376">
        <v>79.952400208</v>
      </c>
      <c r="E1376">
        <v>40</v>
      </c>
      <c r="F1376">
        <v>57.306762695000003</v>
      </c>
      <c r="G1376">
        <v>1331.0164795000001</v>
      </c>
      <c r="H1376">
        <v>1329.7873535000001</v>
      </c>
      <c r="I1376">
        <v>1338.6921387</v>
      </c>
      <c r="J1376">
        <v>1335.3995361</v>
      </c>
      <c r="K1376">
        <v>0</v>
      </c>
      <c r="L1376">
        <v>1650</v>
      </c>
      <c r="M1376">
        <v>1650</v>
      </c>
      <c r="N1376">
        <v>0</v>
      </c>
    </row>
    <row r="1377" spans="1:14" x14ac:dyDescent="0.25">
      <c r="A1377">
        <v>915.00328000000002</v>
      </c>
      <c r="B1377" s="1">
        <f>DATE(2012,11,1) + TIME(0,4,43)</f>
        <v>41214.003275462965</v>
      </c>
      <c r="C1377">
        <v>80</v>
      </c>
      <c r="D1377">
        <v>79.951942443999997</v>
      </c>
      <c r="E1377">
        <v>40</v>
      </c>
      <c r="F1377">
        <v>57.262050629000001</v>
      </c>
      <c r="G1377">
        <v>1330.0241699000001</v>
      </c>
      <c r="H1377">
        <v>1328.7326660000001</v>
      </c>
      <c r="I1377">
        <v>1340.1640625</v>
      </c>
      <c r="J1377">
        <v>1336.7962646000001</v>
      </c>
      <c r="K1377">
        <v>0</v>
      </c>
      <c r="L1377">
        <v>1650</v>
      </c>
      <c r="M1377">
        <v>1650</v>
      </c>
      <c r="N1377">
        <v>0</v>
      </c>
    </row>
    <row r="1378" spans="1:14" x14ac:dyDescent="0.25">
      <c r="A1378">
        <v>915.00984100000005</v>
      </c>
      <c r="B1378" s="1">
        <f>DATE(2012,11,1) + TIME(0,14,10)</f>
        <v>41214.009837962964</v>
      </c>
      <c r="C1378">
        <v>80</v>
      </c>
      <c r="D1378">
        <v>79.950912475999999</v>
      </c>
      <c r="E1378">
        <v>40</v>
      </c>
      <c r="F1378">
        <v>57.127075195000003</v>
      </c>
      <c r="G1378">
        <v>1329.4357910000001</v>
      </c>
      <c r="H1378">
        <v>1328.1219481999999</v>
      </c>
      <c r="I1378">
        <v>1340.9627685999999</v>
      </c>
      <c r="J1378">
        <v>1337.5511475000001</v>
      </c>
      <c r="K1378">
        <v>0</v>
      </c>
      <c r="L1378">
        <v>1650</v>
      </c>
      <c r="M1378">
        <v>1650</v>
      </c>
      <c r="N1378">
        <v>0</v>
      </c>
    </row>
    <row r="1379" spans="1:14" x14ac:dyDescent="0.25">
      <c r="A1379">
        <v>915.02952400000004</v>
      </c>
      <c r="B1379" s="1">
        <f>DATE(2012,11,1) + TIME(0,42,30)</f>
        <v>41214.029513888891</v>
      </c>
      <c r="C1379">
        <v>80</v>
      </c>
      <c r="D1379">
        <v>79.948043823000006</v>
      </c>
      <c r="E1379">
        <v>40</v>
      </c>
      <c r="F1379">
        <v>56.731582641999999</v>
      </c>
      <c r="G1379">
        <v>1329.2232666</v>
      </c>
      <c r="H1379">
        <v>1327.9042969</v>
      </c>
      <c r="I1379">
        <v>1341.1899414</v>
      </c>
      <c r="J1379">
        <v>1337.7601318</v>
      </c>
      <c r="K1379">
        <v>0</v>
      </c>
      <c r="L1379">
        <v>1650</v>
      </c>
      <c r="M1379">
        <v>1650</v>
      </c>
      <c r="N1379">
        <v>0</v>
      </c>
    </row>
    <row r="1380" spans="1:14" x14ac:dyDescent="0.25">
      <c r="A1380">
        <v>915.06875400000001</v>
      </c>
      <c r="B1380" s="1">
        <f>DATE(2012,11,1) + TIME(1,39,0)</f>
        <v>41214.068749999999</v>
      </c>
      <c r="C1380">
        <v>80</v>
      </c>
      <c r="D1380">
        <v>79.942474364999995</v>
      </c>
      <c r="E1380">
        <v>40</v>
      </c>
      <c r="F1380">
        <v>55.984893798999998</v>
      </c>
      <c r="G1380">
        <v>1329.1846923999999</v>
      </c>
      <c r="H1380">
        <v>1327.8638916</v>
      </c>
      <c r="I1380">
        <v>1341.2032471</v>
      </c>
      <c r="J1380">
        <v>1337.7624512</v>
      </c>
      <c r="K1380">
        <v>0</v>
      </c>
      <c r="L1380">
        <v>1650</v>
      </c>
      <c r="M1380">
        <v>1650</v>
      </c>
      <c r="N1380">
        <v>0</v>
      </c>
    </row>
    <row r="1381" spans="1:14" x14ac:dyDescent="0.25">
      <c r="A1381">
        <v>915.10953099999995</v>
      </c>
      <c r="B1381" s="1">
        <f>DATE(2012,11,1) + TIME(2,37,43)</f>
        <v>41214.109525462962</v>
      </c>
      <c r="C1381">
        <v>80</v>
      </c>
      <c r="D1381">
        <v>79.936737061000002</v>
      </c>
      <c r="E1381">
        <v>40</v>
      </c>
      <c r="F1381">
        <v>55.251770020000002</v>
      </c>
      <c r="G1381">
        <v>1329.177124</v>
      </c>
      <c r="H1381">
        <v>1327.8544922000001</v>
      </c>
      <c r="I1381">
        <v>1341.1877440999999</v>
      </c>
      <c r="J1381">
        <v>1337.7404785000001</v>
      </c>
      <c r="K1381">
        <v>0</v>
      </c>
      <c r="L1381">
        <v>1650</v>
      </c>
      <c r="M1381">
        <v>1650</v>
      </c>
      <c r="N1381">
        <v>0</v>
      </c>
    </row>
    <row r="1382" spans="1:14" x14ac:dyDescent="0.25">
      <c r="A1382">
        <v>915.15184999999997</v>
      </c>
      <c r="B1382" s="1">
        <f>DATE(2012,11,1) + TIME(3,38,39)</f>
        <v>41214.15184027778</v>
      </c>
      <c r="C1382">
        <v>80</v>
      </c>
      <c r="D1382">
        <v>79.930824279999996</v>
      </c>
      <c r="E1382">
        <v>40</v>
      </c>
      <c r="F1382">
        <v>54.533946991000001</v>
      </c>
      <c r="G1382">
        <v>1329.1727295000001</v>
      </c>
      <c r="H1382">
        <v>1327.8482666</v>
      </c>
      <c r="I1382">
        <v>1341.1717529</v>
      </c>
      <c r="J1382">
        <v>1337.7183838000001</v>
      </c>
      <c r="K1382">
        <v>0</v>
      </c>
      <c r="L1382">
        <v>1650</v>
      </c>
      <c r="M1382">
        <v>1650</v>
      </c>
      <c r="N1382">
        <v>0</v>
      </c>
    </row>
    <row r="1383" spans="1:14" x14ac:dyDescent="0.25">
      <c r="A1383">
        <v>915.19580099999996</v>
      </c>
      <c r="B1383" s="1">
        <f>DATE(2012,11,1) + TIME(4,41,57)</f>
        <v>41214.195798611108</v>
      </c>
      <c r="C1383">
        <v>80</v>
      </c>
      <c r="D1383">
        <v>79.924720764</v>
      </c>
      <c r="E1383">
        <v>40</v>
      </c>
      <c r="F1383">
        <v>53.831485747999999</v>
      </c>
      <c r="G1383">
        <v>1329.1685791</v>
      </c>
      <c r="H1383">
        <v>1327.8424072</v>
      </c>
      <c r="I1383">
        <v>1341.1560059000001</v>
      </c>
      <c r="J1383">
        <v>1337.6967772999999</v>
      </c>
      <c r="K1383">
        <v>0</v>
      </c>
      <c r="L1383">
        <v>1650</v>
      </c>
      <c r="M1383">
        <v>1650</v>
      </c>
      <c r="N1383">
        <v>0</v>
      </c>
    </row>
    <row r="1384" spans="1:14" x14ac:dyDescent="0.25">
      <c r="A1384">
        <v>915.24149</v>
      </c>
      <c r="B1384" s="1">
        <f>DATE(2012,11,1) + TIME(5,47,44)</f>
        <v>41214.241481481484</v>
      </c>
      <c r="C1384">
        <v>80</v>
      </c>
      <c r="D1384">
        <v>79.918434142999999</v>
      </c>
      <c r="E1384">
        <v>40</v>
      </c>
      <c r="F1384">
        <v>53.144317627</v>
      </c>
      <c r="G1384">
        <v>1329.1645507999999</v>
      </c>
      <c r="H1384">
        <v>1327.8364257999999</v>
      </c>
      <c r="I1384">
        <v>1341.1403809000001</v>
      </c>
      <c r="J1384">
        <v>1337.6754149999999</v>
      </c>
      <c r="K1384">
        <v>0</v>
      </c>
      <c r="L1384">
        <v>1650</v>
      </c>
      <c r="M1384">
        <v>1650</v>
      </c>
      <c r="N1384">
        <v>0</v>
      </c>
    </row>
    <row r="1385" spans="1:14" x14ac:dyDescent="0.25">
      <c r="A1385">
        <v>915.28902000000005</v>
      </c>
      <c r="B1385" s="1">
        <f>DATE(2012,11,1) + TIME(6,56,11)</f>
        <v>41214.2890162037</v>
      </c>
      <c r="C1385">
        <v>80</v>
      </c>
      <c r="D1385">
        <v>79.911941528</v>
      </c>
      <c r="E1385">
        <v>40</v>
      </c>
      <c r="F1385">
        <v>52.472537994</v>
      </c>
      <c r="G1385">
        <v>1329.1602783000001</v>
      </c>
      <c r="H1385">
        <v>1327.8303223</v>
      </c>
      <c r="I1385">
        <v>1341.125</v>
      </c>
      <c r="J1385">
        <v>1337.6545410000001</v>
      </c>
      <c r="K1385">
        <v>0</v>
      </c>
      <c r="L1385">
        <v>1650</v>
      </c>
      <c r="M1385">
        <v>1650</v>
      </c>
      <c r="N1385">
        <v>0</v>
      </c>
    </row>
    <row r="1386" spans="1:14" x14ac:dyDescent="0.25">
      <c r="A1386">
        <v>915.33850600000005</v>
      </c>
      <c r="B1386" s="1">
        <f>DATE(2012,11,1) + TIME(8,7,26)</f>
        <v>41214.338495370372</v>
      </c>
      <c r="C1386">
        <v>80</v>
      </c>
      <c r="D1386">
        <v>79.905242920000006</v>
      </c>
      <c r="E1386">
        <v>40</v>
      </c>
      <c r="F1386">
        <v>51.816261292</v>
      </c>
      <c r="G1386">
        <v>1329.1560059000001</v>
      </c>
      <c r="H1386">
        <v>1327.8239745999999</v>
      </c>
      <c r="I1386">
        <v>1341.1098632999999</v>
      </c>
      <c r="J1386">
        <v>1337.6339111</v>
      </c>
      <c r="K1386">
        <v>0</v>
      </c>
      <c r="L1386">
        <v>1650</v>
      </c>
      <c r="M1386">
        <v>1650</v>
      </c>
      <c r="N1386">
        <v>0</v>
      </c>
    </row>
    <row r="1387" spans="1:14" x14ac:dyDescent="0.25">
      <c r="A1387">
        <v>915.39007400000003</v>
      </c>
      <c r="B1387" s="1">
        <f>DATE(2012,11,1) + TIME(9,21,42)</f>
        <v>41214.390069444446</v>
      </c>
      <c r="C1387">
        <v>80</v>
      </c>
      <c r="D1387">
        <v>79.898315429999997</v>
      </c>
      <c r="E1387">
        <v>40</v>
      </c>
      <c r="F1387">
        <v>51.175563812</v>
      </c>
      <c r="G1387">
        <v>1329.1514893000001</v>
      </c>
      <c r="H1387">
        <v>1327.8175048999999</v>
      </c>
      <c r="I1387">
        <v>1341.0947266000001</v>
      </c>
      <c r="J1387">
        <v>1337.6137695</v>
      </c>
      <c r="K1387">
        <v>0</v>
      </c>
      <c r="L1387">
        <v>1650</v>
      </c>
      <c r="M1387">
        <v>1650</v>
      </c>
      <c r="N1387">
        <v>0</v>
      </c>
    </row>
    <row r="1388" spans="1:14" x14ac:dyDescent="0.25">
      <c r="A1388">
        <v>915.44386199999997</v>
      </c>
      <c r="B1388" s="1">
        <f>DATE(2012,11,1) + TIME(10,39,9)</f>
        <v>41214.443854166668</v>
      </c>
      <c r="C1388">
        <v>80</v>
      </c>
      <c r="D1388">
        <v>79.891151428000001</v>
      </c>
      <c r="E1388">
        <v>40</v>
      </c>
      <c r="F1388">
        <v>50.550548552999999</v>
      </c>
      <c r="G1388">
        <v>1329.1469727000001</v>
      </c>
      <c r="H1388">
        <v>1327.8109131000001</v>
      </c>
      <c r="I1388">
        <v>1341.0798339999999</v>
      </c>
      <c r="J1388">
        <v>1337.5938721</v>
      </c>
      <c r="K1388">
        <v>0</v>
      </c>
      <c r="L1388">
        <v>1650</v>
      </c>
      <c r="M1388">
        <v>1650</v>
      </c>
      <c r="N1388">
        <v>0</v>
      </c>
    </row>
    <row r="1389" spans="1:14" x14ac:dyDescent="0.25">
      <c r="A1389">
        <v>915.50000199999999</v>
      </c>
      <c r="B1389" s="1">
        <f>DATE(2012,11,1) + TIME(12,0,0)</f>
        <v>41214.5</v>
      </c>
      <c r="C1389">
        <v>80</v>
      </c>
      <c r="D1389">
        <v>79.883743285999998</v>
      </c>
      <c r="E1389">
        <v>40</v>
      </c>
      <c r="F1389">
        <v>49.941486359000002</v>
      </c>
      <c r="G1389">
        <v>1329.1423339999999</v>
      </c>
      <c r="H1389">
        <v>1327.8040771000001</v>
      </c>
      <c r="I1389">
        <v>1341.0651855000001</v>
      </c>
      <c r="J1389">
        <v>1337.5744629000001</v>
      </c>
      <c r="K1389">
        <v>0</v>
      </c>
      <c r="L1389">
        <v>1650</v>
      </c>
      <c r="M1389">
        <v>1650</v>
      </c>
      <c r="N1389">
        <v>0</v>
      </c>
    </row>
    <row r="1390" spans="1:14" x14ac:dyDescent="0.25">
      <c r="A1390">
        <v>915.55865300000005</v>
      </c>
      <c r="B1390" s="1">
        <f>DATE(2012,11,1) + TIME(13,24,27)</f>
        <v>41214.558645833335</v>
      </c>
      <c r="C1390">
        <v>80</v>
      </c>
      <c r="D1390">
        <v>79.876068114999995</v>
      </c>
      <c r="E1390">
        <v>40</v>
      </c>
      <c r="F1390">
        <v>49.348312378000003</v>
      </c>
      <c r="G1390">
        <v>1329.1374512</v>
      </c>
      <c r="H1390">
        <v>1327.7971190999999</v>
      </c>
      <c r="I1390">
        <v>1341.0506591999999</v>
      </c>
      <c r="J1390">
        <v>1337.5554199000001</v>
      </c>
      <c r="K1390">
        <v>0</v>
      </c>
      <c r="L1390">
        <v>1650</v>
      </c>
      <c r="M1390">
        <v>1650</v>
      </c>
      <c r="N1390">
        <v>0</v>
      </c>
    </row>
    <row r="1391" spans="1:14" x14ac:dyDescent="0.25">
      <c r="A1391">
        <v>915.62001599999996</v>
      </c>
      <c r="B1391" s="1">
        <f>DATE(2012,11,1) + TIME(14,52,49)</f>
        <v>41214.620011574072</v>
      </c>
      <c r="C1391">
        <v>80</v>
      </c>
      <c r="D1391">
        <v>79.868118285999998</v>
      </c>
      <c r="E1391">
        <v>40</v>
      </c>
      <c r="F1391">
        <v>48.77117157</v>
      </c>
      <c r="G1391">
        <v>1329.1325684000001</v>
      </c>
      <c r="H1391">
        <v>1327.7899170000001</v>
      </c>
      <c r="I1391">
        <v>1341.0363769999999</v>
      </c>
      <c r="J1391">
        <v>1337.5367432</v>
      </c>
      <c r="K1391">
        <v>0</v>
      </c>
      <c r="L1391">
        <v>1650</v>
      </c>
      <c r="M1391">
        <v>1650</v>
      </c>
      <c r="N1391">
        <v>0</v>
      </c>
    </row>
    <row r="1392" spans="1:14" x14ac:dyDescent="0.25">
      <c r="A1392">
        <v>915.68433500000003</v>
      </c>
      <c r="B1392" s="1">
        <f>DATE(2012,11,1) + TIME(16,25,26)</f>
        <v>41214.684328703705</v>
      </c>
      <c r="C1392">
        <v>80</v>
      </c>
      <c r="D1392">
        <v>79.859863281000003</v>
      </c>
      <c r="E1392">
        <v>40</v>
      </c>
      <c r="F1392">
        <v>48.209892273000001</v>
      </c>
      <c r="G1392">
        <v>1329.1274414</v>
      </c>
      <c r="H1392">
        <v>1327.7824707</v>
      </c>
      <c r="I1392">
        <v>1341.0222168</v>
      </c>
      <c r="J1392">
        <v>1337.5185547000001</v>
      </c>
      <c r="K1392">
        <v>0</v>
      </c>
      <c r="L1392">
        <v>1650</v>
      </c>
      <c r="M1392">
        <v>1650</v>
      </c>
      <c r="N1392">
        <v>0</v>
      </c>
    </row>
    <row r="1393" spans="1:14" x14ac:dyDescent="0.25">
      <c r="A1393">
        <v>915.75183900000002</v>
      </c>
      <c r="B1393" s="1">
        <f>DATE(2012,11,1) + TIME(18,2,38)</f>
        <v>41214.751828703702</v>
      </c>
      <c r="C1393">
        <v>80</v>
      </c>
      <c r="D1393">
        <v>79.851280212000006</v>
      </c>
      <c r="E1393">
        <v>40</v>
      </c>
      <c r="F1393">
        <v>47.664653778000002</v>
      </c>
      <c r="G1393">
        <v>1329.1221923999999</v>
      </c>
      <c r="H1393">
        <v>1327.7747803</v>
      </c>
      <c r="I1393">
        <v>1341.0083007999999</v>
      </c>
      <c r="J1393">
        <v>1337.5007324000001</v>
      </c>
      <c r="K1393">
        <v>0</v>
      </c>
      <c r="L1393">
        <v>1650</v>
      </c>
      <c r="M1393">
        <v>1650</v>
      </c>
      <c r="N1393">
        <v>0</v>
      </c>
    </row>
    <row r="1394" spans="1:14" x14ac:dyDescent="0.25">
      <c r="A1394">
        <v>915.82278099999996</v>
      </c>
      <c r="B1394" s="1">
        <f>DATE(2012,11,1) + TIME(19,44,48)</f>
        <v>41214.822777777779</v>
      </c>
      <c r="C1394">
        <v>80</v>
      </c>
      <c r="D1394">
        <v>79.842353821000003</v>
      </c>
      <c r="E1394">
        <v>40</v>
      </c>
      <c r="F1394">
        <v>47.135688782000003</v>
      </c>
      <c r="G1394">
        <v>1329.1168213000001</v>
      </c>
      <c r="H1394">
        <v>1327.7668457</v>
      </c>
      <c r="I1394">
        <v>1340.9946289</v>
      </c>
      <c r="J1394">
        <v>1337.4833983999999</v>
      </c>
      <c r="K1394">
        <v>0</v>
      </c>
      <c r="L1394">
        <v>1650</v>
      </c>
      <c r="M1394">
        <v>1650</v>
      </c>
      <c r="N1394">
        <v>0</v>
      </c>
    </row>
    <row r="1395" spans="1:14" x14ac:dyDescent="0.25">
      <c r="A1395">
        <v>915.89744099999996</v>
      </c>
      <c r="B1395" s="1">
        <f>DATE(2012,11,1) + TIME(21,32,18)</f>
        <v>41214.897430555553</v>
      </c>
      <c r="C1395">
        <v>80</v>
      </c>
      <c r="D1395">
        <v>79.833061217999997</v>
      </c>
      <c r="E1395">
        <v>40</v>
      </c>
      <c r="F1395">
        <v>46.623233794999997</v>
      </c>
      <c r="G1395">
        <v>1329.1110839999999</v>
      </c>
      <c r="H1395">
        <v>1327.7586670000001</v>
      </c>
      <c r="I1395">
        <v>1340.9812012</v>
      </c>
      <c r="J1395">
        <v>1337.4664307</v>
      </c>
      <c r="K1395">
        <v>0</v>
      </c>
      <c r="L1395">
        <v>1650</v>
      </c>
      <c r="M1395">
        <v>1650</v>
      </c>
      <c r="N1395">
        <v>0</v>
      </c>
    </row>
    <row r="1396" spans="1:14" x14ac:dyDescent="0.25">
      <c r="A1396">
        <v>915.97613200000001</v>
      </c>
      <c r="B1396" s="1">
        <f>DATE(2012,11,1) + TIME(23,25,37)</f>
        <v>41214.976122685184</v>
      </c>
      <c r="C1396">
        <v>80</v>
      </c>
      <c r="D1396">
        <v>79.823364257999998</v>
      </c>
      <c r="E1396">
        <v>40</v>
      </c>
      <c r="F1396">
        <v>46.127567290999998</v>
      </c>
      <c r="G1396">
        <v>1329.1053466999999</v>
      </c>
      <c r="H1396">
        <v>1327.7502440999999</v>
      </c>
      <c r="I1396">
        <v>1340.9678954999999</v>
      </c>
      <c r="J1396">
        <v>1337.4498291</v>
      </c>
      <c r="K1396">
        <v>0</v>
      </c>
      <c r="L1396">
        <v>1650</v>
      </c>
      <c r="M1396">
        <v>1650</v>
      </c>
      <c r="N1396">
        <v>0</v>
      </c>
    </row>
    <row r="1397" spans="1:14" x14ac:dyDescent="0.25">
      <c r="A1397">
        <v>916.05920100000003</v>
      </c>
      <c r="B1397" s="1">
        <f>DATE(2012,11,2) + TIME(1,25,15)</f>
        <v>41215.059201388889</v>
      </c>
      <c r="C1397">
        <v>80</v>
      </c>
      <c r="D1397">
        <v>79.813247681000007</v>
      </c>
      <c r="E1397">
        <v>40</v>
      </c>
      <c r="F1397">
        <v>45.648983002000001</v>
      </c>
      <c r="G1397">
        <v>1329.0992432</v>
      </c>
      <c r="H1397">
        <v>1327.7414550999999</v>
      </c>
      <c r="I1397">
        <v>1340.9548339999999</v>
      </c>
      <c r="J1397">
        <v>1337.4338379000001</v>
      </c>
      <c r="K1397">
        <v>0</v>
      </c>
      <c r="L1397">
        <v>1650</v>
      </c>
      <c r="M1397">
        <v>1650</v>
      </c>
      <c r="N1397">
        <v>0</v>
      </c>
    </row>
    <row r="1398" spans="1:14" x14ac:dyDescent="0.25">
      <c r="A1398">
        <v>916.14703899999995</v>
      </c>
      <c r="B1398" s="1">
        <f>DATE(2012,11,2) + TIME(3,31,44)</f>
        <v>41215.147037037037</v>
      </c>
      <c r="C1398">
        <v>80</v>
      </c>
      <c r="D1398">
        <v>79.802665709999999</v>
      </c>
      <c r="E1398">
        <v>40</v>
      </c>
      <c r="F1398">
        <v>45.18781662</v>
      </c>
      <c r="G1398">
        <v>1329.0930175999999</v>
      </c>
      <c r="H1398">
        <v>1327.7324219</v>
      </c>
      <c r="I1398">
        <v>1340.9420166</v>
      </c>
      <c r="J1398">
        <v>1337.4183350000001</v>
      </c>
      <c r="K1398">
        <v>0</v>
      </c>
      <c r="L1398">
        <v>1650</v>
      </c>
      <c r="M1398">
        <v>1650</v>
      </c>
      <c r="N1398">
        <v>0</v>
      </c>
    </row>
    <row r="1399" spans="1:14" x14ac:dyDescent="0.25">
      <c r="A1399">
        <v>916.24008100000003</v>
      </c>
      <c r="B1399" s="1">
        <f>DATE(2012,11,2) + TIME(5,45,43)</f>
        <v>41215.240081018521</v>
      </c>
      <c r="C1399">
        <v>80</v>
      </c>
      <c r="D1399">
        <v>79.791595459000007</v>
      </c>
      <c r="E1399">
        <v>40</v>
      </c>
      <c r="F1399">
        <v>44.744411468999999</v>
      </c>
      <c r="G1399">
        <v>1329.0865478999999</v>
      </c>
      <c r="H1399">
        <v>1327.7229004000001</v>
      </c>
      <c r="I1399">
        <v>1340.9294434000001</v>
      </c>
      <c r="J1399">
        <v>1337.4031981999999</v>
      </c>
      <c r="K1399">
        <v>0</v>
      </c>
      <c r="L1399">
        <v>1650</v>
      </c>
      <c r="M1399">
        <v>1650</v>
      </c>
      <c r="N1399">
        <v>0</v>
      </c>
    </row>
    <row r="1400" spans="1:14" x14ac:dyDescent="0.25">
      <c r="A1400">
        <v>916.33877299999995</v>
      </c>
      <c r="B1400" s="1">
        <f>DATE(2012,11,2) + TIME(8,7,50)</f>
        <v>41215.338773148149</v>
      </c>
      <c r="C1400">
        <v>80</v>
      </c>
      <c r="D1400">
        <v>79.779983521000005</v>
      </c>
      <c r="E1400">
        <v>40</v>
      </c>
      <c r="F1400">
        <v>44.319328308000003</v>
      </c>
      <c r="G1400">
        <v>1329.0797118999999</v>
      </c>
      <c r="H1400">
        <v>1327.7130127</v>
      </c>
      <c r="I1400">
        <v>1340.9172363</v>
      </c>
      <c r="J1400">
        <v>1337.3886719</v>
      </c>
      <c r="K1400">
        <v>0</v>
      </c>
      <c r="L1400">
        <v>1650</v>
      </c>
      <c r="M1400">
        <v>1650</v>
      </c>
      <c r="N1400">
        <v>0</v>
      </c>
    </row>
    <row r="1401" spans="1:14" x14ac:dyDescent="0.25">
      <c r="A1401">
        <v>916.44370100000003</v>
      </c>
      <c r="B1401" s="1">
        <f>DATE(2012,11,2) + TIME(10,38,55)</f>
        <v>41215.443692129629</v>
      </c>
      <c r="C1401">
        <v>80</v>
      </c>
      <c r="D1401">
        <v>79.767799377000003</v>
      </c>
      <c r="E1401">
        <v>40</v>
      </c>
      <c r="F1401">
        <v>43.912784576</v>
      </c>
      <c r="G1401">
        <v>1329.0726318</v>
      </c>
      <c r="H1401">
        <v>1327.7027588000001</v>
      </c>
      <c r="I1401">
        <v>1340.9051514</v>
      </c>
      <c r="J1401">
        <v>1337.3746338000001</v>
      </c>
      <c r="K1401">
        <v>0</v>
      </c>
      <c r="L1401">
        <v>1650</v>
      </c>
      <c r="M1401">
        <v>1650</v>
      </c>
      <c r="N1401">
        <v>0</v>
      </c>
    </row>
    <row r="1402" spans="1:14" x14ac:dyDescent="0.25">
      <c r="A1402">
        <v>916.55549099999996</v>
      </c>
      <c r="B1402" s="1">
        <f>DATE(2012,11,2) + TIME(13,19,54)</f>
        <v>41215.555486111109</v>
      </c>
      <c r="C1402">
        <v>80</v>
      </c>
      <c r="D1402">
        <v>79.754981994999994</v>
      </c>
      <c r="E1402">
        <v>40</v>
      </c>
      <c r="F1402">
        <v>43.525192261000001</v>
      </c>
      <c r="G1402">
        <v>1329.0653076000001</v>
      </c>
      <c r="H1402">
        <v>1327.6920166</v>
      </c>
      <c r="I1402">
        <v>1340.8934326000001</v>
      </c>
      <c r="J1402">
        <v>1337.3612060999999</v>
      </c>
      <c r="K1402">
        <v>0</v>
      </c>
      <c r="L1402">
        <v>1650</v>
      </c>
      <c r="M1402">
        <v>1650</v>
      </c>
      <c r="N1402">
        <v>0</v>
      </c>
    </row>
    <row r="1403" spans="1:14" x14ac:dyDescent="0.25">
      <c r="A1403">
        <v>916.67485299999998</v>
      </c>
      <c r="B1403" s="1">
        <f>DATE(2012,11,2) + TIME(16,11,47)</f>
        <v>41215.674849537034</v>
      </c>
      <c r="C1403">
        <v>80</v>
      </c>
      <c r="D1403">
        <v>79.741470336999996</v>
      </c>
      <c r="E1403">
        <v>40</v>
      </c>
      <c r="F1403">
        <v>43.156974792</v>
      </c>
      <c r="G1403">
        <v>1329.0574951000001</v>
      </c>
      <c r="H1403">
        <v>1327.6807861</v>
      </c>
      <c r="I1403">
        <v>1340.8819579999999</v>
      </c>
      <c r="J1403">
        <v>1337.3482666</v>
      </c>
      <c r="K1403">
        <v>0</v>
      </c>
      <c r="L1403">
        <v>1650</v>
      </c>
      <c r="M1403">
        <v>1650</v>
      </c>
      <c r="N1403">
        <v>0</v>
      </c>
    </row>
    <row r="1404" spans="1:14" x14ac:dyDescent="0.25">
      <c r="A1404">
        <v>916.802593</v>
      </c>
      <c r="B1404" s="1">
        <f>DATE(2012,11,2) + TIME(19,15,43)</f>
        <v>41215.802581018521</v>
      </c>
      <c r="C1404">
        <v>80</v>
      </c>
      <c r="D1404">
        <v>79.727210998999993</v>
      </c>
      <c r="E1404">
        <v>40</v>
      </c>
      <c r="F1404">
        <v>42.808567046999997</v>
      </c>
      <c r="G1404">
        <v>1329.0494385</v>
      </c>
      <c r="H1404">
        <v>1327.6690673999999</v>
      </c>
      <c r="I1404">
        <v>1340.8707274999999</v>
      </c>
      <c r="J1404">
        <v>1337.3359375</v>
      </c>
      <c r="K1404">
        <v>0</v>
      </c>
      <c r="L1404">
        <v>1650</v>
      </c>
      <c r="M1404">
        <v>1650</v>
      </c>
      <c r="N1404">
        <v>0</v>
      </c>
    </row>
    <row r="1405" spans="1:14" x14ac:dyDescent="0.25">
      <c r="A1405">
        <v>916.93962999999997</v>
      </c>
      <c r="B1405" s="1">
        <f>DATE(2012,11,2) + TIME(22,33,4)</f>
        <v>41215.939629629633</v>
      </c>
      <c r="C1405">
        <v>80</v>
      </c>
      <c r="D1405">
        <v>79.712127686000002</v>
      </c>
      <c r="E1405">
        <v>40</v>
      </c>
      <c r="F1405">
        <v>42.480403899999999</v>
      </c>
      <c r="G1405">
        <v>1329.0408935999999</v>
      </c>
      <c r="H1405">
        <v>1327.6566161999999</v>
      </c>
      <c r="I1405">
        <v>1340.8598632999999</v>
      </c>
      <c r="J1405">
        <v>1337.3243408000001</v>
      </c>
      <c r="K1405">
        <v>0</v>
      </c>
      <c r="L1405">
        <v>1650</v>
      </c>
      <c r="M1405">
        <v>1650</v>
      </c>
      <c r="N1405">
        <v>0</v>
      </c>
    </row>
    <row r="1406" spans="1:14" x14ac:dyDescent="0.25">
      <c r="A1406">
        <v>917.08702100000005</v>
      </c>
      <c r="B1406" s="1">
        <f>DATE(2012,11,3) + TIME(2,5,18)</f>
        <v>41216.087013888886</v>
      </c>
      <c r="C1406">
        <v>80</v>
      </c>
      <c r="D1406">
        <v>79.696128845000004</v>
      </c>
      <c r="E1406">
        <v>40</v>
      </c>
      <c r="F1406">
        <v>42.172901154000002</v>
      </c>
      <c r="G1406">
        <v>1329.0318603999999</v>
      </c>
      <c r="H1406">
        <v>1327.6436768000001</v>
      </c>
      <c r="I1406">
        <v>1340.8492432</v>
      </c>
      <c r="J1406">
        <v>1337.3132324000001</v>
      </c>
      <c r="K1406">
        <v>0</v>
      </c>
      <c r="L1406">
        <v>1650</v>
      </c>
      <c r="M1406">
        <v>1650</v>
      </c>
      <c r="N1406">
        <v>0</v>
      </c>
    </row>
    <row r="1407" spans="1:14" x14ac:dyDescent="0.25">
      <c r="A1407">
        <v>917.24597800000004</v>
      </c>
      <c r="B1407" s="1">
        <f>DATE(2012,11,3) + TIME(5,54,12)</f>
        <v>41216.245972222219</v>
      </c>
      <c r="C1407">
        <v>80</v>
      </c>
      <c r="D1407">
        <v>79.679138183999996</v>
      </c>
      <c r="E1407">
        <v>40</v>
      </c>
      <c r="F1407">
        <v>41.886455536</v>
      </c>
      <c r="G1407">
        <v>1329.0223389</v>
      </c>
      <c r="H1407">
        <v>1327.6298827999999</v>
      </c>
      <c r="I1407">
        <v>1340.8388672000001</v>
      </c>
      <c r="J1407">
        <v>1337.3027344</v>
      </c>
      <c r="K1407">
        <v>0</v>
      </c>
      <c r="L1407">
        <v>1650</v>
      </c>
      <c r="M1407">
        <v>1650</v>
      </c>
      <c r="N1407">
        <v>0</v>
      </c>
    </row>
    <row r="1408" spans="1:14" x14ac:dyDescent="0.25">
      <c r="A1408">
        <v>917.41790000000003</v>
      </c>
      <c r="B1408" s="1">
        <f>DATE(2012,11,3) + TIME(10,1,46)</f>
        <v>41216.417893518519</v>
      </c>
      <c r="C1408">
        <v>80</v>
      </c>
      <c r="D1408">
        <v>79.661041260000005</v>
      </c>
      <c r="E1408">
        <v>40</v>
      </c>
      <c r="F1408">
        <v>41.62141037</v>
      </c>
      <c r="G1408">
        <v>1329.0123291</v>
      </c>
      <c r="H1408">
        <v>1327.6153564000001</v>
      </c>
      <c r="I1408">
        <v>1340.8288574000001</v>
      </c>
      <c r="J1408">
        <v>1337.2929687999999</v>
      </c>
      <c r="K1408">
        <v>0</v>
      </c>
      <c r="L1408">
        <v>1650</v>
      </c>
      <c r="M1408">
        <v>1650</v>
      </c>
      <c r="N1408">
        <v>0</v>
      </c>
    </row>
    <row r="1409" spans="1:14" x14ac:dyDescent="0.25">
      <c r="A1409">
        <v>917.59902399999999</v>
      </c>
      <c r="B1409" s="1">
        <f>DATE(2012,11,3) + TIME(14,22,35)</f>
        <v>41216.599016203705</v>
      </c>
      <c r="C1409">
        <v>80</v>
      </c>
      <c r="D1409">
        <v>79.642204285000005</v>
      </c>
      <c r="E1409">
        <v>40</v>
      </c>
      <c r="F1409">
        <v>41.384021758999999</v>
      </c>
      <c r="G1409">
        <v>1329.0017089999999</v>
      </c>
      <c r="H1409">
        <v>1327.6000977000001</v>
      </c>
      <c r="I1409">
        <v>1340.8194579999999</v>
      </c>
      <c r="J1409">
        <v>1337.2841797000001</v>
      </c>
      <c r="K1409">
        <v>0</v>
      </c>
      <c r="L1409">
        <v>1650</v>
      </c>
      <c r="M1409">
        <v>1650</v>
      </c>
      <c r="N1409">
        <v>0</v>
      </c>
    </row>
    <row r="1410" spans="1:14" x14ac:dyDescent="0.25">
      <c r="A1410">
        <v>917.78718400000002</v>
      </c>
      <c r="B1410" s="1">
        <f>DATE(2012,11,3) + TIME(18,53,32)</f>
        <v>41216.787175925929</v>
      </c>
      <c r="C1410">
        <v>80</v>
      </c>
      <c r="D1410">
        <v>79.622848511000001</v>
      </c>
      <c r="E1410">
        <v>40</v>
      </c>
      <c r="F1410">
        <v>41.175296783</v>
      </c>
      <c r="G1410">
        <v>1328.9908447</v>
      </c>
      <c r="H1410">
        <v>1327.5843506000001</v>
      </c>
      <c r="I1410">
        <v>1340.8107910000001</v>
      </c>
      <c r="J1410">
        <v>1337.2762451000001</v>
      </c>
      <c r="K1410">
        <v>0</v>
      </c>
      <c r="L1410">
        <v>1650</v>
      </c>
      <c r="M1410">
        <v>1650</v>
      </c>
      <c r="N1410">
        <v>0</v>
      </c>
    </row>
    <row r="1411" spans="1:14" x14ac:dyDescent="0.25">
      <c r="A1411">
        <v>917.98295700000006</v>
      </c>
      <c r="B1411" s="1">
        <f>DATE(2012,11,3) + TIME(23,35,27)</f>
        <v>41216.982951388891</v>
      </c>
      <c r="C1411">
        <v>80</v>
      </c>
      <c r="D1411">
        <v>79.602928161999998</v>
      </c>
      <c r="E1411">
        <v>40</v>
      </c>
      <c r="F1411">
        <v>40.992389678999999</v>
      </c>
      <c r="G1411">
        <v>1328.9796143000001</v>
      </c>
      <c r="H1411">
        <v>1327.5682373</v>
      </c>
      <c r="I1411">
        <v>1340.8026123</v>
      </c>
      <c r="J1411">
        <v>1337.2692870999999</v>
      </c>
      <c r="K1411">
        <v>0</v>
      </c>
      <c r="L1411">
        <v>1650</v>
      </c>
      <c r="M1411">
        <v>1650</v>
      </c>
      <c r="N1411">
        <v>0</v>
      </c>
    </row>
    <row r="1412" spans="1:14" x14ac:dyDescent="0.25">
      <c r="A1412">
        <v>918.18686200000002</v>
      </c>
      <c r="B1412" s="1">
        <f>DATE(2012,11,4) + TIME(4,29,4)</f>
        <v>41217.186851851853</v>
      </c>
      <c r="C1412">
        <v>80</v>
      </c>
      <c r="D1412">
        <v>79.582397460999999</v>
      </c>
      <c r="E1412">
        <v>40</v>
      </c>
      <c r="F1412">
        <v>40.832794188999998</v>
      </c>
      <c r="G1412">
        <v>1328.9681396000001</v>
      </c>
      <c r="H1412">
        <v>1327.5517577999999</v>
      </c>
      <c r="I1412">
        <v>1340.7949219</v>
      </c>
      <c r="J1412">
        <v>1337.2630615</v>
      </c>
      <c r="K1412">
        <v>0</v>
      </c>
      <c r="L1412">
        <v>1650</v>
      </c>
      <c r="M1412">
        <v>1650</v>
      </c>
      <c r="N1412">
        <v>0</v>
      </c>
    </row>
    <row r="1413" spans="1:14" x14ac:dyDescent="0.25">
      <c r="A1413">
        <v>918.39946899999995</v>
      </c>
      <c r="B1413" s="1">
        <f>DATE(2012,11,4) + TIME(9,35,14)</f>
        <v>41217.399467592593</v>
      </c>
      <c r="C1413">
        <v>80</v>
      </c>
      <c r="D1413">
        <v>79.561210631999998</v>
      </c>
      <c r="E1413">
        <v>40</v>
      </c>
      <c r="F1413">
        <v>40.694183350000003</v>
      </c>
      <c r="G1413">
        <v>1328.9564209</v>
      </c>
      <c r="H1413">
        <v>1327.5347899999999</v>
      </c>
      <c r="I1413">
        <v>1340.7878418</v>
      </c>
      <c r="J1413">
        <v>1337.2575684000001</v>
      </c>
      <c r="K1413">
        <v>0</v>
      </c>
      <c r="L1413">
        <v>1650</v>
      </c>
      <c r="M1413">
        <v>1650</v>
      </c>
      <c r="N1413">
        <v>0</v>
      </c>
    </row>
    <row r="1414" spans="1:14" x14ac:dyDescent="0.25">
      <c r="A1414">
        <v>918.62132299999996</v>
      </c>
      <c r="B1414" s="1">
        <f>DATE(2012,11,4) + TIME(14,54,42)</f>
        <v>41217.621319444443</v>
      </c>
      <c r="C1414">
        <v>80</v>
      </c>
      <c r="D1414">
        <v>79.539329529</v>
      </c>
      <c r="E1414">
        <v>40</v>
      </c>
      <c r="F1414">
        <v>40.574443817000002</v>
      </c>
      <c r="G1414">
        <v>1328.9442139</v>
      </c>
      <c r="H1414">
        <v>1327.5173339999999</v>
      </c>
      <c r="I1414">
        <v>1340.7811279</v>
      </c>
      <c r="J1414">
        <v>1337.2526855000001</v>
      </c>
      <c r="K1414">
        <v>0</v>
      </c>
      <c r="L1414">
        <v>1650</v>
      </c>
      <c r="M1414">
        <v>1650</v>
      </c>
      <c r="N1414">
        <v>0</v>
      </c>
    </row>
    <row r="1415" spans="1:14" x14ac:dyDescent="0.25">
      <c r="A1415">
        <v>918.853163</v>
      </c>
      <c r="B1415" s="1">
        <f>DATE(2012,11,4) + TIME(20,28,33)</f>
        <v>41217.853159722225</v>
      </c>
      <c r="C1415">
        <v>80</v>
      </c>
      <c r="D1415">
        <v>79.516700744999994</v>
      </c>
      <c r="E1415">
        <v>40</v>
      </c>
      <c r="F1415">
        <v>40.471534728999998</v>
      </c>
      <c r="G1415">
        <v>1328.9317627</v>
      </c>
      <c r="H1415">
        <v>1327.4995117000001</v>
      </c>
      <c r="I1415">
        <v>1340.7747803</v>
      </c>
      <c r="J1415">
        <v>1337.2484131000001</v>
      </c>
      <c r="K1415">
        <v>0</v>
      </c>
      <c r="L1415">
        <v>1650</v>
      </c>
      <c r="M1415">
        <v>1650</v>
      </c>
      <c r="N1415">
        <v>0</v>
      </c>
    </row>
    <row r="1416" spans="1:14" x14ac:dyDescent="0.25">
      <c r="A1416">
        <v>919.09575800000005</v>
      </c>
      <c r="B1416" s="1">
        <f>DATE(2012,11,5) + TIME(2,17,53)</f>
        <v>41218.095752314817</v>
      </c>
      <c r="C1416">
        <v>80</v>
      </c>
      <c r="D1416">
        <v>79.493263244999994</v>
      </c>
      <c r="E1416">
        <v>40</v>
      </c>
      <c r="F1416">
        <v>40.383609772</v>
      </c>
      <c r="G1416">
        <v>1328.9189452999999</v>
      </c>
      <c r="H1416">
        <v>1327.480957</v>
      </c>
      <c r="I1416">
        <v>1340.7687988</v>
      </c>
      <c r="J1416">
        <v>1337.2446289</v>
      </c>
      <c r="K1416">
        <v>0</v>
      </c>
      <c r="L1416">
        <v>1650</v>
      </c>
      <c r="M1416">
        <v>1650</v>
      </c>
      <c r="N1416">
        <v>0</v>
      </c>
    </row>
    <row r="1417" spans="1:14" x14ac:dyDescent="0.25">
      <c r="A1417">
        <v>919.34993999999995</v>
      </c>
      <c r="B1417" s="1">
        <f>DATE(2012,11,5) + TIME(8,23,54)</f>
        <v>41218.349930555552</v>
      </c>
      <c r="C1417">
        <v>80</v>
      </c>
      <c r="D1417">
        <v>79.468955993999998</v>
      </c>
      <c r="E1417">
        <v>40</v>
      </c>
      <c r="F1417">
        <v>40.308963775999999</v>
      </c>
      <c r="G1417">
        <v>1328.9056396000001</v>
      </c>
      <c r="H1417">
        <v>1327.4619141000001</v>
      </c>
      <c r="I1417">
        <v>1340.7631836</v>
      </c>
      <c r="J1417">
        <v>1337.2412108999999</v>
      </c>
      <c r="K1417">
        <v>0</v>
      </c>
      <c r="L1417">
        <v>1650</v>
      </c>
      <c r="M1417">
        <v>1650</v>
      </c>
      <c r="N1417">
        <v>0</v>
      </c>
    </row>
    <row r="1418" spans="1:14" x14ac:dyDescent="0.25">
      <c r="A1418">
        <v>919.61663299999998</v>
      </c>
      <c r="B1418" s="1">
        <f>DATE(2012,11,5) + TIME(14,47,57)</f>
        <v>41218.616631944446</v>
      </c>
      <c r="C1418">
        <v>80</v>
      </c>
      <c r="D1418">
        <v>79.443725585999999</v>
      </c>
      <c r="E1418">
        <v>40</v>
      </c>
      <c r="F1418">
        <v>40.246013640999998</v>
      </c>
      <c r="G1418">
        <v>1328.8918457</v>
      </c>
      <c r="H1418">
        <v>1327.4422606999999</v>
      </c>
      <c r="I1418">
        <v>1340.7578125</v>
      </c>
      <c r="J1418">
        <v>1337.2382812000001</v>
      </c>
      <c r="K1418">
        <v>0</v>
      </c>
      <c r="L1418">
        <v>1650</v>
      </c>
      <c r="M1418">
        <v>1650</v>
      </c>
      <c r="N1418">
        <v>0</v>
      </c>
    </row>
    <row r="1419" spans="1:14" x14ac:dyDescent="0.25">
      <c r="A1419">
        <v>919.89685899999995</v>
      </c>
      <c r="B1419" s="1">
        <f>DATE(2012,11,5) + TIME(21,31,28)</f>
        <v>41218.896851851852</v>
      </c>
      <c r="C1419">
        <v>80</v>
      </c>
      <c r="D1419">
        <v>79.417480468999997</v>
      </c>
      <c r="E1419">
        <v>40</v>
      </c>
      <c r="F1419">
        <v>40.193321228000002</v>
      </c>
      <c r="G1419">
        <v>1328.8776855000001</v>
      </c>
      <c r="H1419">
        <v>1327.421875</v>
      </c>
      <c r="I1419">
        <v>1340.7528076000001</v>
      </c>
      <c r="J1419">
        <v>1337.2357178</v>
      </c>
      <c r="K1419">
        <v>0</v>
      </c>
      <c r="L1419">
        <v>1650</v>
      </c>
      <c r="M1419">
        <v>1650</v>
      </c>
      <c r="N1419">
        <v>0</v>
      </c>
    </row>
    <row r="1420" spans="1:14" x14ac:dyDescent="0.25">
      <c r="A1420">
        <v>920.19176300000004</v>
      </c>
      <c r="B1420" s="1">
        <f>DATE(2012,11,6) + TIME(4,36,8)</f>
        <v>41219.191759259258</v>
      </c>
      <c r="C1420">
        <v>80</v>
      </c>
      <c r="D1420">
        <v>79.390151978000006</v>
      </c>
      <c r="E1420">
        <v>40</v>
      </c>
      <c r="F1420">
        <v>40.149555206000002</v>
      </c>
      <c r="G1420">
        <v>1328.8629149999999</v>
      </c>
      <c r="H1420">
        <v>1327.4007568</v>
      </c>
      <c r="I1420">
        <v>1340.7479248</v>
      </c>
      <c r="J1420">
        <v>1337.2335204999999</v>
      </c>
      <c r="K1420">
        <v>0</v>
      </c>
      <c r="L1420">
        <v>1650</v>
      </c>
      <c r="M1420">
        <v>1650</v>
      </c>
      <c r="N1420">
        <v>0</v>
      </c>
    </row>
    <row r="1421" spans="1:14" x14ac:dyDescent="0.25">
      <c r="A1421">
        <v>920.50261499999999</v>
      </c>
      <c r="B1421" s="1">
        <f>DATE(2012,11,6) + TIME(12,3,45)</f>
        <v>41219.502604166664</v>
      </c>
      <c r="C1421">
        <v>80</v>
      </c>
      <c r="D1421">
        <v>79.361656189000001</v>
      </c>
      <c r="E1421">
        <v>40</v>
      </c>
      <c r="F1421">
        <v>40.113506317000002</v>
      </c>
      <c r="G1421">
        <v>1328.8475341999999</v>
      </c>
      <c r="H1421">
        <v>1327.3789062000001</v>
      </c>
      <c r="I1421">
        <v>1340.7431641000001</v>
      </c>
      <c r="J1421">
        <v>1337.2314452999999</v>
      </c>
      <c r="K1421">
        <v>0</v>
      </c>
      <c r="L1421">
        <v>1650</v>
      </c>
      <c r="M1421">
        <v>1650</v>
      </c>
      <c r="N1421">
        <v>0</v>
      </c>
    </row>
    <row r="1422" spans="1:14" x14ac:dyDescent="0.25">
      <c r="A1422">
        <v>920.83084899999994</v>
      </c>
      <c r="B1422" s="1">
        <f>DATE(2012,11,6) + TIME(19,56,25)</f>
        <v>41219.83084490741</v>
      </c>
      <c r="C1422">
        <v>80</v>
      </c>
      <c r="D1422">
        <v>79.331886291999993</v>
      </c>
      <c r="E1422">
        <v>40</v>
      </c>
      <c r="F1422">
        <v>40.084079742</v>
      </c>
      <c r="G1422">
        <v>1328.8314209</v>
      </c>
      <c r="H1422">
        <v>1327.3560791</v>
      </c>
      <c r="I1422">
        <v>1340.7387695</v>
      </c>
      <c r="J1422">
        <v>1337.2296143000001</v>
      </c>
      <c r="K1422">
        <v>0</v>
      </c>
      <c r="L1422">
        <v>1650</v>
      </c>
      <c r="M1422">
        <v>1650</v>
      </c>
      <c r="N1422">
        <v>0</v>
      </c>
    </row>
    <row r="1423" spans="1:14" x14ac:dyDescent="0.25">
      <c r="A1423">
        <v>921.17693799999995</v>
      </c>
      <c r="B1423" s="1">
        <f>DATE(2012,11,7) + TIME(4,14,47)</f>
        <v>41220.176932870374</v>
      </c>
      <c r="C1423">
        <v>80</v>
      </c>
      <c r="D1423">
        <v>79.300819396999998</v>
      </c>
      <c r="E1423">
        <v>40</v>
      </c>
      <c r="F1423">
        <v>40.060337066999999</v>
      </c>
      <c r="G1423">
        <v>1328.8148193</v>
      </c>
      <c r="H1423">
        <v>1327.3322754000001</v>
      </c>
      <c r="I1423">
        <v>1340.734375</v>
      </c>
      <c r="J1423">
        <v>1337.2280272999999</v>
      </c>
      <c r="K1423">
        <v>0</v>
      </c>
      <c r="L1423">
        <v>1650</v>
      </c>
      <c r="M1423">
        <v>1650</v>
      </c>
      <c r="N1423">
        <v>0</v>
      </c>
    </row>
    <row r="1424" spans="1:14" x14ac:dyDescent="0.25">
      <c r="A1424">
        <v>921.53761299999996</v>
      </c>
      <c r="B1424" s="1">
        <f>DATE(2012,11,7) + TIME(12,54,9)</f>
        <v>41220.537604166668</v>
      </c>
      <c r="C1424">
        <v>80</v>
      </c>
      <c r="D1424">
        <v>79.268707274999997</v>
      </c>
      <c r="E1424">
        <v>40</v>
      </c>
      <c r="F1424">
        <v>40.041557312000002</v>
      </c>
      <c r="G1424">
        <v>1328.7974853999999</v>
      </c>
      <c r="H1424">
        <v>1327.3076172000001</v>
      </c>
      <c r="I1424">
        <v>1340.7301024999999</v>
      </c>
      <c r="J1424">
        <v>1337.2266846</v>
      </c>
      <c r="K1424">
        <v>0</v>
      </c>
      <c r="L1424">
        <v>1650</v>
      </c>
      <c r="M1424">
        <v>1650</v>
      </c>
      <c r="N1424">
        <v>0</v>
      </c>
    </row>
    <row r="1425" spans="1:14" x14ac:dyDescent="0.25">
      <c r="A1425">
        <v>921.91289600000005</v>
      </c>
      <c r="B1425" s="1">
        <f>DATE(2012,11,7) + TIME(21,54,34)</f>
        <v>41220.912893518522</v>
      </c>
      <c r="C1425">
        <v>80</v>
      </c>
      <c r="D1425">
        <v>79.235549926999994</v>
      </c>
      <c r="E1425">
        <v>40</v>
      </c>
      <c r="F1425">
        <v>40.026828766000001</v>
      </c>
      <c r="G1425">
        <v>1328.7795410000001</v>
      </c>
      <c r="H1425">
        <v>1327.2821045000001</v>
      </c>
      <c r="I1425">
        <v>1340.7260742000001</v>
      </c>
      <c r="J1425">
        <v>1337.2253418</v>
      </c>
      <c r="K1425">
        <v>0</v>
      </c>
      <c r="L1425">
        <v>1650</v>
      </c>
      <c r="M1425">
        <v>1650</v>
      </c>
      <c r="N1425">
        <v>0</v>
      </c>
    </row>
    <row r="1426" spans="1:14" x14ac:dyDescent="0.25">
      <c r="A1426">
        <v>922.30379300000004</v>
      </c>
      <c r="B1426" s="1">
        <f>DATE(2012,11,8) + TIME(7,17,27)</f>
        <v>41221.303784722222</v>
      </c>
      <c r="C1426">
        <v>80</v>
      </c>
      <c r="D1426">
        <v>79.201301575000002</v>
      </c>
      <c r="E1426">
        <v>40</v>
      </c>
      <c r="F1426">
        <v>40.015354156000001</v>
      </c>
      <c r="G1426">
        <v>1328.7611084</v>
      </c>
      <c r="H1426">
        <v>1327.2558594</v>
      </c>
      <c r="I1426">
        <v>1340.722168</v>
      </c>
      <c r="J1426">
        <v>1337.2241211</v>
      </c>
      <c r="K1426">
        <v>0</v>
      </c>
      <c r="L1426">
        <v>1650</v>
      </c>
      <c r="M1426">
        <v>1650</v>
      </c>
      <c r="N1426">
        <v>0</v>
      </c>
    </row>
    <row r="1427" spans="1:14" x14ac:dyDescent="0.25">
      <c r="A1427">
        <v>922.71163100000001</v>
      </c>
      <c r="B1427" s="1">
        <f>DATE(2012,11,8) + TIME(17,4,44)</f>
        <v>41221.71162037037</v>
      </c>
      <c r="C1427">
        <v>80</v>
      </c>
      <c r="D1427">
        <v>79.165893554999997</v>
      </c>
      <c r="E1427">
        <v>40</v>
      </c>
      <c r="F1427">
        <v>40.006462096999996</v>
      </c>
      <c r="G1427">
        <v>1328.7420654</v>
      </c>
      <c r="H1427">
        <v>1327.2288818</v>
      </c>
      <c r="I1427">
        <v>1340.7182617000001</v>
      </c>
      <c r="J1427">
        <v>1337.2230225000001</v>
      </c>
      <c r="K1427">
        <v>0</v>
      </c>
      <c r="L1427">
        <v>1650</v>
      </c>
      <c r="M1427">
        <v>1650</v>
      </c>
      <c r="N1427">
        <v>0</v>
      </c>
    </row>
    <row r="1428" spans="1:14" x14ac:dyDescent="0.25">
      <c r="A1428">
        <v>923.13764800000001</v>
      </c>
      <c r="B1428" s="1">
        <f>DATE(2012,11,9) + TIME(3,18,12)</f>
        <v>41222.137638888889</v>
      </c>
      <c r="C1428">
        <v>80</v>
      </c>
      <c r="D1428">
        <v>79.129264832000004</v>
      </c>
      <c r="E1428">
        <v>40</v>
      </c>
      <c r="F1428">
        <v>39.999618529999999</v>
      </c>
      <c r="G1428">
        <v>1328.7224120999999</v>
      </c>
      <c r="H1428">
        <v>1327.2010498</v>
      </c>
      <c r="I1428">
        <v>1340.7145995999999</v>
      </c>
      <c r="J1428">
        <v>1337.2220459</v>
      </c>
      <c r="K1428">
        <v>0</v>
      </c>
      <c r="L1428">
        <v>1650</v>
      </c>
      <c r="M1428">
        <v>1650</v>
      </c>
      <c r="N1428">
        <v>0</v>
      </c>
    </row>
    <row r="1429" spans="1:14" x14ac:dyDescent="0.25">
      <c r="A1429">
        <v>923.57223599999998</v>
      </c>
      <c r="B1429" s="1">
        <f>DATE(2012,11,9) + TIME(13,44,1)</f>
        <v>41222.572233796294</v>
      </c>
      <c r="C1429">
        <v>80</v>
      </c>
      <c r="D1429">
        <v>79.092033385999997</v>
      </c>
      <c r="E1429">
        <v>40</v>
      </c>
      <c r="F1429">
        <v>39.994472504000001</v>
      </c>
      <c r="G1429">
        <v>1328.7021483999999</v>
      </c>
      <c r="H1429">
        <v>1327.1723632999999</v>
      </c>
      <c r="I1429">
        <v>1340.7109375</v>
      </c>
      <c r="J1429">
        <v>1337.2209473</v>
      </c>
      <c r="K1429">
        <v>0</v>
      </c>
      <c r="L1429">
        <v>1650</v>
      </c>
      <c r="M1429">
        <v>1650</v>
      </c>
      <c r="N1429">
        <v>0</v>
      </c>
    </row>
    <row r="1430" spans="1:14" x14ac:dyDescent="0.25">
      <c r="A1430">
        <v>924.01513199999999</v>
      </c>
      <c r="B1430" s="1">
        <f>DATE(2012,11,10) + TIME(0,21,47)</f>
        <v>41223.015127314815</v>
      </c>
      <c r="C1430">
        <v>80</v>
      </c>
      <c r="D1430">
        <v>79.054290770999998</v>
      </c>
      <c r="E1430">
        <v>40</v>
      </c>
      <c r="F1430">
        <v>39.990608215000002</v>
      </c>
      <c r="G1430">
        <v>1328.6815185999999</v>
      </c>
      <c r="H1430">
        <v>1327.1433105000001</v>
      </c>
      <c r="I1430">
        <v>1340.7073975000001</v>
      </c>
      <c r="J1430">
        <v>1337.2199707</v>
      </c>
      <c r="K1430">
        <v>0</v>
      </c>
      <c r="L1430">
        <v>1650</v>
      </c>
      <c r="M1430">
        <v>1650</v>
      </c>
      <c r="N1430">
        <v>0</v>
      </c>
    </row>
    <row r="1431" spans="1:14" x14ac:dyDescent="0.25">
      <c r="A1431">
        <v>924.46728399999995</v>
      </c>
      <c r="B1431" s="1">
        <f>DATE(2012,11,10) + TIME(11,12,53)</f>
        <v>41223.467280092591</v>
      </c>
      <c r="C1431">
        <v>80</v>
      </c>
      <c r="D1431">
        <v>79.016006469999994</v>
      </c>
      <c r="E1431">
        <v>40</v>
      </c>
      <c r="F1431">
        <v>39.987697601000001</v>
      </c>
      <c r="G1431">
        <v>1328.6607666</v>
      </c>
      <c r="H1431">
        <v>1327.1138916</v>
      </c>
      <c r="I1431">
        <v>1340.7041016000001</v>
      </c>
      <c r="J1431">
        <v>1337.2189940999999</v>
      </c>
      <c r="K1431">
        <v>0</v>
      </c>
      <c r="L1431">
        <v>1650</v>
      </c>
      <c r="M1431">
        <v>1650</v>
      </c>
      <c r="N1431">
        <v>0</v>
      </c>
    </row>
    <row r="1432" spans="1:14" x14ac:dyDescent="0.25">
      <c r="A1432">
        <v>924.92963299999997</v>
      </c>
      <c r="B1432" s="1">
        <f>DATE(2012,11,10) + TIME(22,18,40)</f>
        <v>41223.929629629631</v>
      </c>
      <c r="C1432">
        <v>80</v>
      </c>
      <c r="D1432">
        <v>78.977149963000002</v>
      </c>
      <c r="E1432">
        <v>40</v>
      </c>
      <c r="F1432">
        <v>39.985496521000002</v>
      </c>
      <c r="G1432">
        <v>1328.6397704999999</v>
      </c>
      <c r="H1432">
        <v>1327.0841064000001</v>
      </c>
      <c r="I1432">
        <v>1340.7008057</v>
      </c>
      <c r="J1432">
        <v>1337.2181396000001</v>
      </c>
      <c r="K1432">
        <v>0</v>
      </c>
      <c r="L1432">
        <v>1650</v>
      </c>
      <c r="M1432">
        <v>1650</v>
      </c>
      <c r="N1432">
        <v>0</v>
      </c>
    </row>
    <row r="1433" spans="1:14" x14ac:dyDescent="0.25">
      <c r="A1433">
        <v>925.40315699999996</v>
      </c>
      <c r="B1433" s="1">
        <f>DATE(2012,11,11) + TIME(9,40,32)</f>
        <v>41224.403148148151</v>
      </c>
      <c r="C1433">
        <v>80</v>
      </c>
      <c r="D1433">
        <v>78.937705993999998</v>
      </c>
      <c r="E1433">
        <v>40</v>
      </c>
      <c r="F1433">
        <v>39.983829497999999</v>
      </c>
      <c r="G1433">
        <v>1328.6184082</v>
      </c>
      <c r="H1433">
        <v>1327.0539550999999</v>
      </c>
      <c r="I1433">
        <v>1340.6976318</v>
      </c>
      <c r="J1433">
        <v>1337.2171631000001</v>
      </c>
      <c r="K1433">
        <v>0</v>
      </c>
      <c r="L1433">
        <v>1650</v>
      </c>
      <c r="M1433">
        <v>1650</v>
      </c>
      <c r="N1433">
        <v>0</v>
      </c>
    </row>
    <row r="1434" spans="1:14" x14ac:dyDescent="0.25">
      <c r="A1434">
        <v>925.88888799999995</v>
      </c>
      <c r="B1434" s="1">
        <f>DATE(2012,11,11) + TIME(21,19,59)</f>
        <v>41224.888877314814</v>
      </c>
      <c r="C1434">
        <v>80</v>
      </c>
      <c r="D1434">
        <v>78.897621154999996</v>
      </c>
      <c r="E1434">
        <v>40</v>
      </c>
      <c r="F1434">
        <v>39.982555388999998</v>
      </c>
      <c r="G1434">
        <v>1328.5966797000001</v>
      </c>
      <c r="H1434">
        <v>1327.0234375</v>
      </c>
      <c r="I1434">
        <v>1340.6945800999999</v>
      </c>
      <c r="J1434">
        <v>1337.2161865</v>
      </c>
      <c r="K1434">
        <v>0</v>
      </c>
      <c r="L1434">
        <v>1650</v>
      </c>
      <c r="M1434">
        <v>1650</v>
      </c>
      <c r="N1434">
        <v>0</v>
      </c>
    </row>
    <row r="1435" spans="1:14" x14ac:dyDescent="0.25">
      <c r="A1435">
        <v>926.387924</v>
      </c>
      <c r="B1435" s="1">
        <f>DATE(2012,11,12) + TIME(9,18,36)</f>
        <v>41225.387916666667</v>
      </c>
      <c r="C1435">
        <v>80</v>
      </c>
      <c r="D1435">
        <v>78.856842040999993</v>
      </c>
      <c r="E1435">
        <v>40</v>
      </c>
      <c r="F1435">
        <v>39.981578827</v>
      </c>
      <c r="G1435">
        <v>1328.574707</v>
      </c>
      <c r="H1435">
        <v>1326.9923096</v>
      </c>
      <c r="I1435">
        <v>1340.6916504000001</v>
      </c>
      <c r="J1435">
        <v>1337.215332</v>
      </c>
      <c r="K1435">
        <v>0</v>
      </c>
      <c r="L1435">
        <v>1650</v>
      </c>
      <c r="M1435">
        <v>1650</v>
      </c>
      <c r="N1435">
        <v>0</v>
      </c>
    </row>
    <row r="1436" spans="1:14" x14ac:dyDescent="0.25">
      <c r="A1436">
        <v>926.90142200000003</v>
      </c>
      <c r="B1436" s="1">
        <f>DATE(2012,11,12) + TIME(21,38,2)</f>
        <v>41225.901412037034</v>
      </c>
      <c r="C1436">
        <v>80</v>
      </c>
      <c r="D1436">
        <v>78.815322875999996</v>
      </c>
      <c r="E1436">
        <v>40</v>
      </c>
      <c r="F1436">
        <v>39.980827331999997</v>
      </c>
      <c r="G1436">
        <v>1328.5522461</v>
      </c>
      <c r="H1436">
        <v>1326.9606934000001</v>
      </c>
      <c r="I1436">
        <v>1340.6887207</v>
      </c>
      <c r="J1436">
        <v>1337.2143555</v>
      </c>
      <c r="K1436">
        <v>0</v>
      </c>
      <c r="L1436">
        <v>1650</v>
      </c>
      <c r="M1436">
        <v>1650</v>
      </c>
      <c r="N1436">
        <v>0</v>
      </c>
    </row>
    <row r="1437" spans="1:14" x14ac:dyDescent="0.25">
      <c r="A1437">
        <v>927.43061699999998</v>
      </c>
      <c r="B1437" s="1">
        <f>DATE(2012,11,13) + TIME(10,20,5)</f>
        <v>41226.430613425924</v>
      </c>
      <c r="C1437">
        <v>80</v>
      </c>
      <c r="D1437">
        <v>78.773002625000004</v>
      </c>
      <c r="E1437">
        <v>40</v>
      </c>
      <c r="F1437">
        <v>39.980239867999998</v>
      </c>
      <c r="G1437">
        <v>1328.5292969</v>
      </c>
      <c r="H1437">
        <v>1326.9283447</v>
      </c>
      <c r="I1437">
        <v>1340.6859131000001</v>
      </c>
      <c r="J1437">
        <v>1337.213501</v>
      </c>
      <c r="K1437">
        <v>0</v>
      </c>
      <c r="L1437">
        <v>1650</v>
      </c>
      <c r="M1437">
        <v>1650</v>
      </c>
      <c r="N1437">
        <v>0</v>
      </c>
    </row>
    <row r="1438" spans="1:14" x14ac:dyDescent="0.25">
      <c r="A1438">
        <v>927.97684200000003</v>
      </c>
      <c r="B1438" s="1">
        <f>DATE(2012,11,13) + TIME(23,26,39)</f>
        <v>41226.976840277777</v>
      </c>
      <c r="C1438">
        <v>80</v>
      </c>
      <c r="D1438">
        <v>78.729804993000002</v>
      </c>
      <c r="E1438">
        <v>40</v>
      </c>
      <c r="F1438">
        <v>39.979782104000002</v>
      </c>
      <c r="G1438">
        <v>1328.5059814000001</v>
      </c>
      <c r="H1438">
        <v>1326.8955077999999</v>
      </c>
      <c r="I1438">
        <v>1340.6831055</v>
      </c>
      <c r="J1438">
        <v>1337.2125243999999</v>
      </c>
      <c r="K1438">
        <v>0</v>
      </c>
      <c r="L1438">
        <v>1650</v>
      </c>
      <c r="M1438">
        <v>1650</v>
      </c>
      <c r="N1438">
        <v>0</v>
      </c>
    </row>
    <row r="1439" spans="1:14" x14ac:dyDescent="0.25">
      <c r="A1439">
        <v>928.54127900000003</v>
      </c>
      <c r="B1439" s="1">
        <f>DATE(2012,11,14) + TIME(12,59,26)</f>
        <v>41227.541273148148</v>
      </c>
      <c r="C1439">
        <v>80</v>
      </c>
      <c r="D1439">
        <v>78.685684203999998</v>
      </c>
      <c r="E1439">
        <v>40</v>
      </c>
      <c r="F1439">
        <v>39.979419708000002</v>
      </c>
      <c r="G1439">
        <v>1328.4820557</v>
      </c>
      <c r="H1439">
        <v>1326.8618164</v>
      </c>
      <c r="I1439">
        <v>1340.6802978999999</v>
      </c>
      <c r="J1439">
        <v>1337.2116699000001</v>
      </c>
      <c r="K1439">
        <v>0</v>
      </c>
      <c r="L1439">
        <v>1650</v>
      </c>
      <c r="M1439">
        <v>1650</v>
      </c>
      <c r="N1439">
        <v>0</v>
      </c>
    </row>
    <row r="1440" spans="1:14" x14ac:dyDescent="0.25">
      <c r="A1440">
        <v>929.12570200000005</v>
      </c>
      <c r="B1440" s="1">
        <f>DATE(2012,11,15) + TIME(3,1,0)</f>
        <v>41228.125694444447</v>
      </c>
      <c r="C1440">
        <v>80</v>
      </c>
      <c r="D1440">
        <v>78.640541076999995</v>
      </c>
      <c r="E1440">
        <v>40</v>
      </c>
      <c r="F1440">
        <v>39.979133605999998</v>
      </c>
      <c r="G1440">
        <v>1328.4575195</v>
      </c>
      <c r="H1440">
        <v>1326.8273925999999</v>
      </c>
      <c r="I1440">
        <v>1340.6776123</v>
      </c>
      <c r="J1440">
        <v>1337.2106934000001</v>
      </c>
      <c r="K1440">
        <v>0</v>
      </c>
      <c r="L1440">
        <v>1650</v>
      </c>
      <c r="M1440">
        <v>1650</v>
      </c>
      <c r="N1440">
        <v>0</v>
      </c>
    </row>
    <row r="1441" spans="1:14" x14ac:dyDescent="0.25">
      <c r="A1441">
        <v>929.73181199999999</v>
      </c>
      <c r="B1441" s="1">
        <f>DATE(2012,11,15) + TIME(17,33,48)</f>
        <v>41228.731805555559</v>
      </c>
      <c r="C1441">
        <v>80</v>
      </c>
      <c r="D1441">
        <v>78.594299316000004</v>
      </c>
      <c r="E1441">
        <v>40</v>
      </c>
      <c r="F1441">
        <v>39.978900908999996</v>
      </c>
      <c r="G1441">
        <v>1328.4323730000001</v>
      </c>
      <c r="H1441">
        <v>1326.7921143000001</v>
      </c>
      <c r="I1441">
        <v>1340.6749268000001</v>
      </c>
      <c r="J1441">
        <v>1337.2097168</v>
      </c>
      <c r="K1441">
        <v>0</v>
      </c>
      <c r="L1441">
        <v>1650</v>
      </c>
      <c r="M1441">
        <v>1650</v>
      </c>
      <c r="N1441">
        <v>0</v>
      </c>
    </row>
    <row r="1442" spans="1:14" x14ac:dyDescent="0.25">
      <c r="A1442">
        <v>930.36147900000003</v>
      </c>
      <c r="B1442" s="1">
        <f>DATE(2012,11,16) + TIME(8,40,31)</f>
        <v>41229.36146990741</v>
      </c>
      <c r="C1442">
        <v>80</v>
      </c>
      <c r="D1442">
        <v>78.546859741000006</v>
      </c>
      <c r="E1442">
        <v>40</v>
      </c>
      <c r="F1442">
        <v>39.978717803999999</v>
      </c>
      <c r="G1442">
        <v>1328.4066161999999</v>
      </c>
      <c r="H1442">
        <v>1326.7558594</v>
      </c>
      <c r="I1442">
        <v>1340.6722411999999</v>
      </c>
      <c r="J1442">
        <v>1337.2088623</v>
      </c>
      <c r="K1442">
        <v>0</v>
      </c>
      <c r="L1442">
        <v>1650</v>
      </c>
      <c r="M1442">
        <v>1650</v>
      </c>
      <c r="N1442">
        <v>0</v>
      </c>
    </row>
    <row r="1443" spans="1:14" x14ac:dyDescent="0.25">
      <c r="A1443">
        <v>931.01675399999999</v>
      </c>
      <c r="B1443" s="1">
        <f>DATE(2012,11,17) + TIME(0,24,7)</f>
        <v>41230.016747685186</v>
      </c>
      <c r="C1443">
        <v>80</v>
      </c>
      <c r="D1443">
        <v>78.498123168999996</v>
      </c>
      <c r="E1443">
        <v>40</v>
      </c>
      <c r="F1443">
        <v>39.978565216</v>
      </c>
      <c r="G1443">
        <v>1328.3800048999999</v>
      </c>
      <c r="H1443">
        <v>1326.7186279</v>
      </c>
      <c r="I1443">
        <v>1340.6695557</v>
      </c>
      <c r="J1443">
        <v>1337.2078856999999</v>
      </c>
      <c r="K1443">
        <v>0</v>
      </c>
      <c r="L1443">
        <v>1650</v>
      </c>
      <c r="M1443">
        <v>1650</v>
      </c>
      <c r="N1443">
        <v>0</v>
      </c>
    </row>
    <row r="1444" spans="1:14" x14ac:dyDescent="0.25">
      <c r="A1444">
        <v>931.69991700000003</v>
      </c>
      <c r="B1444" s="1">
        <f>DATE(2012,11,17) + TIME(16,47,52)</f>
        <v>41230.699907407405</v>
      </c>
      <c r="C1444">
        <v>80</v>
      </c>
      <c r="D1444">
        <v>78.447975158999995</v>
      </c>
      <c r="E1444">
        <v>40</v>
      </c>
      <c r="F1444">
        <v>39.978439330999997</v>
      </c>
      <c r="G1444">
        <v>1328.3525391000001</v>
      </c>
      <c r="H1444">
        <v>1326.6801757999999</v>
      </c>
      <c r="I1444">
        <v>1340.6669922000001</v>
      </c>
      <c r="J1444">
        <v>1337.2069091999999</v>
      </c>
      <c r="K1444">
        <v>0</v>
      </c>
      <c r="L1444">
        <v>1650</v>
      </c>
      <c r="M1444">
        <v>1650</v>
      </c>
      <c r="N1444">
        <v>0</v>
      </c>
    </row>
    <row r="1445" spans="1:14" x14ac:dyDescent="0.25">
      <c r="A1445">
        <v>932.41350299999999</v>
      </c>
      <c r="B1445" s="1">
        <f>DATE(2012,11,18) + TIME(9,55,26)</f>
        <v>41231.413495370369</v>
      </c>
      <c r="C1445">
        <v>80</v>
      </c>
      <c r="D1445">
        <v>78.396301269999995</v>
      </c>
      <c r="E1445">
        <v>40</v>
      </c>
      <c r="F1445">
        <v>39.978340148999997</v>
      </c>
      <c r="G1445">
        <v>1328.3242187999999</v>
      </c>
      <c r="H1445">
        <v>1326.6405029</v>
      </c>
      <c r="I1445">
        <v>1340.6644286999999</v>
      </c>
      <c r="J1445">
        <v>1337.2059326000001</v>
      </c>
      <c r="K1445">
        <v>0</v>
      </c>
      <c r="L1445">
        <v>1650</v>
      </c>
      <c r="M1445">
        <v>1650</v>
      </c>
      <c r="N1445">
        <v>0</v>
      </c>
    </row>
    <row r="1446" spans="1:14" x14ac:dyDescent="0.25">
      <c r="A1446">
        <v>933.16033600000003</v>
      </c>
      <c r="B1446" s="1">
        <f>DATE(2012,11,19) + TIME(3,50,53)</f>
        <v>41232.16033564815</v>
      </c>
      <c r="C1446">
        <v>80</v>
      </c>
      <c r="D1446">
        <v>78.342971801999994</v>
      </c>
      <c r="E1446">
        <v>40</v>
      </c>
      <c r="F1446">
        <v>39.978256225999999</v>
      </c>
      <c r="G1446">
        <v>1328.2949219</v>
      </c>
      <c r="H1446">
        <v>1326.5996094</v>
      </c>
      <c r="I1446">
        <v>1340.6618652</v>
      </c>
      <c r="J1446">
        <v>1337.2049560999999</v>
      </c>
      <c r="K1446">
        <v>0</v>
      </c>
      <c r="L1446">
        <v>1650</v>
      </c>
      <c r="M1446">
        <v>1650</v>
      </c>
      <c r="N1446">
        <v>0</v>
      </c>
    </row>
    <row r="1447" spans="1:14" x14ac:dyDescent="0.25">
      <c r="A1447">
        <v>933.94358499999998</v>
      </c>
      <c r="B1447" s="1">
        <f>DATE(2012,11,19) + TIME(22,38,45)</f>
        <v>41232.943576388891</v>
      </c>
      <c r="C1447">
        <v>80</v>
      </c>
      <c r="D1447">
        <v>78.287826538000004</v>
      </c>
      <c r="E1447">
        <v>40</v>
      </c>
      <c r="F1447">
        <v>39.978183745999999</v>
      </c>
      <c r="G1447">
        <v>1328.2645264</v>
      </c>
      <c r="H1447">
        <v>1326.5571289</v>
      </c>
      <c r="I1447">
        <v>1340.6593018000001</v>
      </c>
      <c r="J1447">
        <v>1337.2039795000001</v>
      </c>
      <c r="K1447">
        <v>0</v>
      </c>
      <c r="L1447">
        <v>1650</v>
      </c>
      <c r="M1447">
        <v>1650</v>
      </c>
      <c r="N1447">
        <v>0</v>
      </c>
    </row>
    <row r="1448" spans="1:14" x14ac:dyDescent="0.25">
      <c r="A1448">
        <v>934.76682800000003</v>
      </c>
      <c r="B1448" s="1">
        <f>DATE(2012,11,20) + TIME(18,24,13)</f>
        <v>41233.766817129632</v>
      </c>
      <c r="C1448">
        <v>80</v>
      </c>
      <c r="D1448">
        <v>78.230712890999996</v>
      </c>
      <c r="E1448">
        <v>40</v>
      </c>
      <c r="F1448">
        <v>39.978126525999997</v>
      </c>
      <c r="G1448">
        <v>1328.2330322</v>
      </c>
      <c r="H1448">
        <v>1326.5131836</v>
      </c>
      <c r="I1448">
        <v>1340.6567382999999</v>
      </c>
      <c r="J1448">
        <v>1337.2030029</v>
      </c>
      <c r="K1448">
        <v>0</v>
      </c>
      <c r="L1448">
        <v>1650</v>
      </c>
      <c r="M1448">
        <v>1650</v>
      </c>
      <c r="N1448">
        <v>0</v>
      </c>
    </row>
    <row r="1449" spans="1:14" x14ac:dyDescent="0.25">
      <c r="A1449">
        <v>935.614327</v>
      </c>
      <c r="B1449" s="1">
        <f>DATE(2012,11,21) + TIME(14,44,37)</f>
        <v>41234.614317129628</v>
      </c>
      <c r="C1449">
        <v>80</v>
      </c>
      <c r="D1449">
        <v>78.172248839999995</v>
      </c>
      <c r="E1449">
        <v>40</v>
      </c>
      <c r="F1449">
        <v>39.978080749999997</v>
      </c>
      <c r="G1449">
        <v>1328.2003173999999</v>
      </c>
      <c r="H1449">
        <v>1326.4675293</v>
      </c>
      <c r="I1449">
        <v>1340.6541748</v>
      </c>
      <c r="J1449">
        <v>1337.2020264</v>
      </c>
      <c r="K1449">
        <v>0</v>
      </c>
      <c r="L1449">
        <v>1650</v>
      </c>
      <c r="M1449">
        <v>1650</v>
      </c>
      <c r="N1449">
        <v>0</v>
      </c>
    </row>
    <row r="1450" spans="1:14" x14ac:dyDescent="0.25">
      <c r="A1450">
        <v>936.47670100000005</v>
      </c>
      <c r="B1450" s="1">
        <f>DATE(2012,11,22) + TIME(11,26,26)</f>
        <v>41235.476689814815</v>
      </c>
      <c r="C1450">
        <v>80</v>
      </c>
      <c r="D1450">
        <v>78.112976074000002</v>
      </c>
      <c r="E1450">
        <v>40</v>
      </c>
      <c r="F1450">
        <v>39.978042602999999</v>
      </c>
      <c r="G1450">
        <v>1328.1667480000001</v>
      </c>
      <c r="H1450">
        <v>1326.4208983999999</v>
      </c>
      <c r="I1450">
        <v>1340.6517334</v>
      </c>
      <c r="J1450">
        <v>1337.2011719</v>
      </c>
      <c r="K1450">
        <v>0</v>
      </c>
      <c r="L1450">
        <v>1650</v>
      </c>
      <c r="M1450">
        <v>1650</v>
      </c>
      <c r="N1450">
        <v>0</v>
      </c>
    </row>
    <row r="1451" spans="1:14" x14ac:dyDescent="0.25">
      <c r="A1451">
        <v>937.35601299999996</v>
      </c>
      <c r="B1451" s="1">
        <f>DATE(2012,11,23) + TIME(8,32,39)</f>
        <v>41236.356006944443</v>
      </c>
      <c r="C1451">
        <v>80</v>
      </c>
      <c r="D1451">
        <v>78.053031920999999</v>
      </c>
      <c r="E1451">
        <v>40</v>
      </c>
      <c r="F1451">
        <v>39.978012085000003</v>
      </c>
      <c r="G1451">
        <v>1328.1329346</v>
      </c>
      <c r="H1451">
        <v>1326.3736572</v>
      </c>
      <c r="I1451">
        <v>1340.6492920000001</v>
      </c>
      <c r="J1451">
        <v>1337.2001952999999</v>
      </c>
      <c r="K1451">
        <v>0</v>
      </c>
      <c r="L1451">
        <v>1650</v>
      </c>
      <c r="M1451">
        <v>1650</v>
      </c>
      <c r="N1451">
        <v>0</v>
      </c>
    </row>
    <row r="1452" spans="1:14" x14ac:dyDescent="0.25">
      <c r="A1452">
        <v>938.25422600000002</v>
      </c>
      <c r="B1452" s="1">
        <f>DATE(2012,11,24) + TIME(6,6,5)</f>
        <v>41237.254224537035</v>
      </c>
      <c r="C1452">
        <v>80</v>
      </c>
      <c r="D1452">
        <v>77.992454529</v>
      </c>
      <c r="E1452">
        <v>40</v>
      </c>
      <c r="F1452">
        <v>39.977989196999999</v>
      </c>
      <c r="G1452">
        <v>1328.0986327999999</v>
      </c>
      <c r="H1452">
        <v>1326.3259277</v>
      </c>
      <c r="I1452">
        <v>1340.6469727000001</v>
      </c>
      <c r="J1452">
        <v>1337.1993408000001</v>
      </c>
      <c r="K1452">
        <v>0</v>
      </c>
      <c r="L1452">
        <v>1650</v>
      </c>
      <c r="M1452">
        <v>1650</v>
      </c>
      <c r="N1452">
        <v>0</v>
      </c>
    </row>
    <row r="1453" spans="1:14" x14ac:dyDescent="0.25">
      <c r="A1453">
        <v>939.17341899999997</v>
      </c>
      <c r="B1453" s="1">
        <f>DATE(2012,11,25) + TIME(4,9,43)</f>
        <v>41238.173414351855</v>
      </c>
      <c r="C1453">
        <v>80</v>
      </c>
      <c r="D1453">
        <v>77.931228637999993</v>
      </c>
      <c r="E1453">
        <v>40</v>
      </c>
      <c r="F1453">
        <v>39.977966309000003</v>
      </c>
      <c r="G1453">
        <v>1328.0638428</v>
      </c>
      <c r="H1453">
        <v>1326.2774658000001</v>
      </c>
      <c r="I1453">
        <v>1340.6447754000001</v>
      </c>
      <c r="J1453">
        <v>1337.1983643000001</v>
      </c>
      <c r="K1453">
        <v>0</v>
      </c>
      <c r="L1453">
        <v>1650</v>
      </c>
      <c r="M1453">
        <v>1650</v>
      </c>
      <c r="N1453">
        <v>0</v>
      </c>
    </row>
    <row r="1454" spans="1:14" x14ac:dyDescent="0.25">
      <c r="A1454">
        <v>940.11583599999994</v>
      </c>
      <c r="B1454" s="1">
        <f>DATE(2012,11,26) + TIME(2,46,48)</f>
        <v>41239.115833333337</v>
      </c>
      <c r="C1454">
        <v>80</v>
      </c>
      <c r="D1454">
        <v>77.869277953999998</v>
      </c>
      <c r="E1454">
        <v>40</v>
      </c>
      <c r="F1454">
        <v>39.977951050000001</v>
      </c>
      <c r="G1454">
        <v>1328.0285644999999</v>
      </c>
      <c r="H1454">
        <v>1326.2285156</v>
      </c>
      <c r="I1454">
        <v>1340.6425781</v>
      </c>
      <c r="J1454">
        <v>1337.1975098</v>
      </c>
      <c r="K1454">
        <v>0</v>
      </c>
      <c r="L1454">
        <v>1650</v>
      </c>
      <c r="M1454">
        <v>1650</v>
      </c>
      <c r="N1454">
        <v>0</v>
      </c>
    </row>
    <row r="1455" spans="1:14" x14ac:dyDescent="0.25">
      <c r="A1455">
        <v>941.08382300000005</v>
      </c>
      <c r="B1455" s="1">
        <f>DATE(2012,11,27) + TIME(2,0,42)</f>
        <v>41240.083819444444</v>
      </c>
      <c r="C1455">
        <v>80</v>
      </c>
      <c r="D1455">
        <v>77.806510924999998</v>
      </c>
      <c r="E1455">
        <v>40</v>
      </c>
      <c r="F1455">
        <v>39.977935791</v>
      </c>
      <c r="G1455">
        <v>1327.9927978999999</v>
      </c>
      <c r="H1455">
        <v>1326.1787108999999</v>
      </c>
      <c r="I1455">
        <v>1340.6403809000001</v>
      </c>
      <c r="J1455">
        <v>1337.1967772999999</v>
      </c>
      <c r="K1455">
        <v>0</v>
      </c>
      <c r="L1455">
        <v>1650</v>
      </c>
      <c r="M1455">
        <v>1650</v>
      </c>
      <c r="N1455">
        <v>0</v>
      </c>
    </row>
    <row r="1456" spans="1:14" x14ac:dyDescent="0.25">
      <c r="A1456">
        <v>942.07990700000005</v>
      </c>
      <c r="B1456" s="1">
        <f>DATE(2012,11,28) + TIME(1,55,3)</f>
        <v>41241.079895833333</v>
      </c>
      <c r="C1456">
        <v>80</v>
      </c>
      <c r="D1456">
        <v>77.74281311</v>
      </c>
      <c r="E1456">
        <v>40</v>
      </c>
      <c r="F1456">
        <v>39.977924346999998</v>
      </c>
      <c r="G1456">
        <v>1327.9562988</v>
      </c>
      <c r="H1456">
        <v>1326.1281738</v>
      </c>
      <c r="I1456">
        <v>1340.6383057</v>
      </c>
      <c r="J1456">
        <v>1337.1959228999999</v>
      </c>
      <c r="K1456">
        <v>0</v>
      </c>
      <c r="L1456">
        <v>1650</v>
      </c>
      <c r="M1456">
        <v>1650</v>
      </c>
      <c r="N1456">
        <v>0</v>
      </c>
    </row>
    <row r="1457" spans="1:14" x14ac:dyDescent="0.25">
      <c r="A1457">
        <v>943.10668899999996</v>
      </c>
      <c r="B1457" s="1">
        <f>DATE(2012,11,29) + TIME(2,33,37)</f>
        <v>41242.106678240743</v>
      </c>
      <c r="C1457">
        <v>80</v>
      </c>
      <c r="D1457">
        <v>77.678054810000006</v>
      </c>
      <c r="E1457">
        <v>40</v>
      </c>
      <c r="F1457">
        <v>39.977912903000004</v>
      </c>
      <c r="G1457">
        <v>1327.9191894999999</v>
      </c>
      <c r="H1457">
        <v>1326.0766602000001</v>
      </c>
      <c r="I1457">
        <v>1340.6362305</v>
      </c>
      <c r="J1457">
        <v>1337.1951904</v>
      </c>
      <c r="K1457">
        <v>0</v>
      </c>
      <c r="L1457">
        <v>1650</v>
      </c>
      <c r="M1457">
        <v>1650</v>
      </c>
      <c r="N1457">
        <v>0</v>
      </c>
    </row>
    <row r="1458" spans="1:14" x14ac:dyDescent="0.25">
      <c r="A1458">
        <v>944.16673800000001</v>
      </c>
      <c r="B1458" s="1">
        <f>DATE(2012,11,30) + TIME(4,0,6)</f>
        <v>41243.16673611111</v>
      </c>
      <c r="C1458">
        <v>80</v>
      </c>
      <c r="D1458">
        <v>77.612106323000006</v>
      </c>
      <c r="E1458">
        <v>40</v>
      </c>
      <c r="F1458">
        <v>39.977901459000002</v>
      </c>
      <c r="G1458">
        <v>1327.8813477000001</v>
      </c>
      <c r="H1458">
        <v>1326.0241699000001</v>
      </c>
      <c r="I1458">
        <v>1340.6342772999999</v>
      </c>
      <c r="J1458">
        <v>1337.1944579999999</v>
      </c>
      <c r="K1458">
        <v>0</v>
      </c>
      <c r="L1458">
        <v>1650</v>
      </c>
      <c r="M1458">
        <v>1650</v>
      </c>
      <c r="N1458">
        <v>0</v>
      </c>
    </row>
    <row r="1459" spans="1:14" x14ac:dyDescent="0.25">
      <c r="A1459">
        <v>945</v>
      </c>
      <c r="B1459" s="1">
        <f>DATE(2012,12,1) + TIME(0,0,0)</f>
        <v>41244</v>
      </c>
      <c r="C1459">
        <v>80</v>
      </c>
      <c r="D1459">
        <v>77.554153442</v>
      </c>
      <c r="E1459">
        <v>40</v>
      </c>
      <c r="F1459">
        <v>39.977893829000003</v>
      </c>
      <c r="G1459">
        <v>1327.8436279</v>
      </c>
      <c r="H1459">
        <v>1325.9722899999999</v>
      </c>
      <c r="I1459">
        <v>1340.6322021000001</v>
      </c>
      <c r="J1459">
        <v>1337.1936035000001</v>
      </c>
      <c r="K1459">
        <v>0</v>
      </c>
      <c r="L1459">
        <v>1650</v>
      </c>
      <c r="M1459">
        <v>1650</v>
      </c>
      <c r="N1459">
        <v>0</v>
      </c>
    </row>
    <row r="1460" spans="1:14" x14ac:dyDescent="0.25">
      <c r="A1460">
        <v>946.09675300000004</v>
      </c>
      <c r="B1460" s="1">
        <f>DATE(2012,12,2) + TIME(2,19,19)</f>
        <v>41245.096747685187</v>
      </c>
      <c r="C1460">
        <v>80</v>
      </c>
      <c r="D1460">
        <v>77.489990234000004</v>
      </c>
      <c r="E1460">
        <v>40</v>
      </c>
      <c r="F1460">
        <v>39.9778862</v>
      </c>
      <c r="G1460">
        <v>1327.8107910000001</v>
      </c>
      <c r="H1460">
        <v>1325.9259033000001</v>
      </c>
      <c r="I1460">
        <v>1340.6307373</v>
      </c>
      <c r="J1460">
        <v>1337.1931152</v>
      </c>
      <c r="K1460">
        <v>0</v>
      </c>
      <c r="L1460">
        <v>1650</v>
      </c>
      <c r="M1460">
        <v>1650</v>
      </c>
      <c r="N1460">
        <v>0</v>
      </c>
    </row>
    <row r="1461" spans="1:14" x14ac:dyDescent="0.25">
      <c r="A1461">
        <v>947.26684299999999</v>
      </c>
      <c r="B1461" s="1">
        <f>DATE(2012,12,3) + TIME(6,24,15)</f>
        <v>41246.266840277778</v>
      </c>
      <c r="C1461">
        <v>80</v>
      </c>
      <c r="D1461">
        <v>77.422119140999996</v>
      </c>
      <c r="E1461">
        <v>40</v>
      </c>
      <c r="F1461">
        <v>39.977882385000001</v>
      </c>
      <c r="G1461">
        <v>1327.7720947</v>
      </c>
      <c r="H1461">
        <v>1325.8724365</v>
      </c>
      <c r="I1461">
        <v>1340.6289062000001</v>
      </c>
      <c r="J1461">
        <v>1337.1925048999999</v>
      </c>
      <c r="K1461">
        <v>0</v>
      </c>
      <c r="L1461">
        <v>1650</v>
      </c>
      <c r="M1461">
        <v>1650</v>
      </c>
      <c r="N1461">
        <v>0</v>
      </c>
    </row>
    <row r="1462" spans="1:14" x14ac:dyDescent="0.25">
      <c r="A1462">
        <v>948.482933</v>
      </c>
      <c r="B1462" s="1">
        <f>DATE(2012,12,4) + TIME(11,35,25)</f>
        <v>41247.482928240737</v>
      </c>
      <c r="C1462">
        <v>80</v>
      </c>
      <c r="D1462">
        <v>77.351287842000005</v>
      </c>
      <c r="E1462">
        <v>40</v>
      </c>
      <c r="F1462">
        <v>39.977874755999999</v>
      </c>
      <c r="G1462">
        <v>1327.7312012</v>
      </c>
      <c r="H1462">
        <v>1325.8161620999999</v>
      </c>
      <c r="I1462">
        <v>1340.6269531</v>
      </c>
      <c r="J1462">
        <v>1337.1917725000001</v>
      </c>
      <c r="K1462">
        <v>0</v>
      </c>
      <c r="L1462">
        <v>1650</v>
      </c>
      <c r="M1462">
        <v>1650</v>
      </c>
      <c r="N1462">
        <v>0</v>
      </c>
    </row>
    <row r="1463" spans="1:14" x14ac:dyDescent="0.25">
      <c r="A1463">
        <v>949.75075400000003</v>
      </c>
      <c r="B1463" s="1">
        <f>DATE(2012,12,5) + TIME(18,1,5)</f>
        <v>41248.750752314816</v>
      </c>
      <c r="C1463">
        <v>80</v>
      </c>
      <c r="D1463">
        <v>77.277824401999993</v>
      </c>
      <c r="E1463">
        <v>40</v>
      </c>
      <c r="F1463">
        <v>39.977870940999999</v>
      </c>
      <c r="G1463">
        <v>1327.6887207</v>
      </c>
      <c r="H1463">
        <v>1325.7576904</v>
      </c>
      <c r="I1463">
        <v>1340.6251221</v>
      </c>
      <c r="J1463">
        <v>1337.1911620999999</v>
      </c>
      <c r="K1463">
        <v>0</v>
      </c>
      <c r="L1463">
        <v>1650</v>
      </c>
      <c r="M1463">
        <v>1650</v>
      </c>
      <c r="N1463">
        <v>0</v>
      </c>
    </row>
    <row r="1464" spans="1:14" x14ac:dyDescent="0.25">
      <c r="A1464">
        <v>951.07538899999997</v>
      </c>
      <c r="B1464" s="1">
        <f>DATE(2012,12,7) + TIME(1,48,33)</f>
        <v>41250.075381944444</v>
      </c>
      <c r="C1464">
        <v>80</v>
      </c>
      <c r="D1464">
        <v>77.201736449999999</v>
      </c>
      <c r="E1464">
        <v>40</v>
      </c>
      <c r="F1464">
        <v>39.977863311999997</v>
      </c>
      <c r="G1464">
        <v>1327.6448975000001</v>
      </c>
      <c r="H1464">
        <v>1325.6972656</v>
      </c>
      <c r="I1464">
        <v>1340.6231689000001</v>
      </c>
      <c r="J1464">
        <v>1337.1905518000001</v>
      </c>
      <c r="K1464">
        <v>0</v>
      </c>
      <c r="L1464">
        <v>1650</v>
      </c>
      <c r="M1464">
        <v>1650</v>
      </c>
      <c r="N1464">
        <v>0</v>
      </c>
    </row>
    <row r="1465" spans="1:14" x14ac:dyDescent="0.25">
      <c r="A1465">
        <v>952.46259199999997</v>
      </c>
      <c r="B1465" s="1">
        <f>DATE(2012,12,8) + TIME(11,6,7)</f>
        <v>41251.462581018517</v>
      </c>
      <c r="C1465">
        <v>80</v>
      </c>
      <c r="D1465">
        <v>77.122894286999994</v>
      </c>
      <c r="E1465">
        <v>40</v>
      </c>
      <c r="F1465">
        <v>39.977859496999997</v>
      </c>
      <c r="G1465">
        <v>1327.5996094</v>
      </c>
      <c r="H1465">
        <v>1325.6347656</v>
      </c>
      <c r="I1465">
        <v>1340.6213379000001</v>
      </c>
      <c r="J1465">
        <v>1337.1899414</v>
      </c>
      <c r="K1465">
        <v>0</v>
      </c>
      <c r="L1465">
        <v>1650</v>
      </c>
      <c r="M1465">
        <v>1650</v>
      </c>
      <c r="N1465">
        <v>0</v>
      </c>
    </row>
    <row r="1466" spans="1:14" x14ac:dyDescent="0.25">
      <c r="A1466">
        <v>953.91880600000002</v>
      </c>
      <c r="B1466" s="1">
        <f>DATE(2012,12,9) + TIME(22,3,4)</f>
        <v>41252.918796296297</v>
      </c>
      <c r="C1466">
        <v>80</v>
      </c>
      <c r="D1466">
        <v>77.041046143000003</v>
      </c>
      <c r="E1466">
        <v>40</v>
      </c>
      <c r="F1466">
        <v>39.977855681999998</v>
      </c>
      <c r="G1466">
        <v>1327.5526123</v>
      </c>
      <c r="H1466">
        <v>1325.5700684000001</v>
      </c>
      <c r="I1466">
        <v>1340.6195068</v>
      </c>
      <c r="J1466">
        <v>1337.1893310999999</v>
      </c>
      <c r="K1466">
        <v>0</v>
      </c>
      <c r="L1466">
        <v>1650</v>
      </c>
      <c r="M1466">
        <v>1650</v>
      </c>
      <c r="N1466">
        <v>0</v>
      </c>
    </row>
    <row r="1467" spans="1:14" x14ac:dyDescent="0.25">
      <c r="A1467">
        <v>955.40887299999997</v>
      </c>
      <c r="B1467" s="1">
        <f>DATE(2012,12,11) + TIME(9,48,46)</f>
        <v>41254.408865740741</v>
      </c>
      <c r="C1467">
        <v>80</v>
      </c>
      <c r="D1467">
        <v>76.956848144999995</v>
      </c>
      <c r="E1467">
        <v>40</v>
      </c>
      <c r="F1467">
        <v>39.977851868000002</v>
      </c>
      <c r="G1467">
        <v>1327.5039062000001</v>
      </c>
      <c r="H1467">
        <v>1325.5032959</v>
      </c>
      <c r="I1467">
        <v>1340.6175536999999</v>
      </c>
      <c r="J1467">
        <v>1337.1888428</v>
      </c>
      <c r="K1467">
        <v>0</v>
      </c>
      <c r="L1467">
        <v>1650</v>
      </c>
      <c r="M1467">
        <v>1650</v>
      </c>
      <c r="N1467">
        <v>0</v>
      </c>
    </row>
    <row r="1468" spans="1:14" x14ac:dyDescent="0.25">
      <c r="A1468">
        <v>956.93075699999997</v>
      </c>
      <c r="B1468" s="1">
        <f>DATE(2012,12,12) + TIME(22,20,17)</f>
        <v>41255.930752314816</v>
      </c>
      <c r="C1468">
        <v>80</v>
      </c>
      <c r="D1468">
        <v>76.870925903</v>
      </c>
      <c r="E1468">
        <v>40</v>
      </c>
      <c r="F1468">
        <v>39.977848053000002</v>
      </c>
      <c r="G1468">
        <v>1327.4544678</v>
      </c>
      <c r="H1468">
        <v>1325.4351807</v>
      </c>
      <c r="I1468">
        <v>1340.6157227000001</v>
      </c>
      <c r="J1468">
        <v>1337.1883545000001</v>
      </c>
      <c r="K1468">
        <v>0</v>
      </c>
      <c r="L1468">
        <v>1650</v>
      </c>
      <c r="M1468">
        <v>1650</v>
      </c>
      <c r="N1468">
        <v>0</v>
      </c>
    </row>
    <row r="1469" spans="1:14" x14ac:dyDescent="0.25">
      <c r="A1469">
        <v>958.48822700000005</v>
      </c>
      <c r="B1469" s="1">
        <f>DATE(2012,12,14) + TIME(11,43,2)</f>
        <v>41257.488217592596</v>
      </c>
      <c r="C1469">
        <v>80</v>
      </c>
      <c r="D1469">
        <v>76.783454895000006</v>
      </c>
      <c r="E1469">
        <v>40</v>
      </c>
      <c r="F1469">
        <v>39.977844238000003</v>
      </c>
      <c r="G1469">
        <v>1327.4042969</v>
      </c>
      <c r="H1469">
        <v>1325.3662108999999</v>
      </c>
      <c r="I1469">
        <v>1340.6140137</v>
      </c>
      <c r="J1469">
        <v>1337.1878661999999</v>
      </c>
      <c r="K1469">
        <v>0</v>
      </c>
      <c r="L1469">
        <v>1650</v>
      </c>
      <c r="M1469">
        <v>1650</v>
      </c>
      <c r="N1469">
        <v>0</v>
      </c>
    </row>
    <row r="1470" spans="1:14" x14ac:dyDescent="0.25">
      <c r="A1470">
        <v>960.08530399999995</v>
      </c>
      <c r="B1470" s="1">
        <f>DATE(2012,12,16) + TIME(2,2,50)</f>
        <v>41259.085300925923</v>
      </c>
      <c r="C1470">
        <v>80</v>
      </c>
      <c r="D1470">
        <v>76.694328307999996</v>
      </c>
      <c r="E1470">
        <v>40</v>
      </c>
      <c r="F1470">
        <v>39.977840424</v>
      </c>
      <c r="G1470">
        <v>1327.3536377</v>
      </c>
      <c r="H1470">
        <v>1325.2965088000001</v>
      </c>
      <c r="I1470">
        <v>1340.6121826000001</v>
      </c>
      <c r="J1470">
        <v>1337.1875</v>
      </c>
      <c r="K1470">
        <v>0</v>
      </c>
      <c r="L1470">
        <v>1650</v>
      </c>
      <c r="M1470">
        <v>1650</v>
      </c>
      <c r="N1470">
        <v>0</v>
      </c>
    </row>
    <row r="1471" spans="1:14" x14ac:dyDescent="0.25">
      <c r="A1471">
        <v>961.72636499999999</v>
      </c>
      <c r="B1471" s="1">
        <f>DATE(2012,12,17) + TIME(17,25,57)</f>
        <v>41260.726354166669</v>
      </c>
      <c r="C1471">
        <v>80</v>
      </c>
      <c r="D1471">
        <v>76.603332519999995</v>
      </c>
      <c r="E1471">
        <v>40</v>
      </c>
      <c r="F1471">
        <v>39.977836609000001</v>
      </c>
      <c r="G1471">
        <v>1327.3022461</v>
      </c>
      <c r="H1471">
        <v>1325.2259521000001</v>
      </c>
      <c r="I1471">
        <v>1340.6104736</v>
      </c>
      <c r="J1471">
        <v>1337.1870117000001</v>
      </c>
      <c r="K1471">
        <v>0</v>
      </c>
      <c r="L1471">
        <v>1650</v>
      </c>
      <c r="M1471">
        <v>1650</v>
      </c>
      <c r="N1471">
        <v>0</v>
      </c>
    </row>
    <row r="1472" spans="1:14" x14ac:dyDescent="0.25">
      <c r="A1472">
        <v>963.41616599999998</v>
      </c>
      <c r="B1472" s="1">
        <f>DATE(2012,12,19) + TIME(9,59,16)</f>
        <v>41262.41615740741</v>
      </c>
      <c r="C1472">
        <v>80</v>
      </c>
      <c r="D1472">
        <v>76.510154724000003</v>
      </c>
      <c r="E1472">
        <v>40</v>
      </c>
      <c r="F1472">
        <v>39.977832794000001</v>
      </c>
      <c r="G1472">
        <v>1327.2501221</v>
      </c>
      <c r="H1472">
        <v>1325.1544189000001</v>
      </c>
      <c r="I1472">
        <v>1340.6088867000001</v>
      </c>
      <c r="J1472">
        <v>1337.1866454999999</v>
      </c>
      <c r="K1472">
        <v>0</v>
      </c>
      <c r="L1472">
        <v>1650</v>
      </c>
      <c r="M1472">
        <v>1650</v>
      </c>
      <c r="N1472">
        <v>0</v>
      </c>
    </row>
    <row r="1473" spans="1:14" x14ac:dyDescent="0.25">
      <c r="A1473">
        <v>965.16000499999996</v>
      </c>
      <c r="B1473" s="1">
        <f>DATE(2012,12,21) + TIME(3,50,24)</f>
        <v>41264.160000000003</v>
      </c>
      <c r="C1473">
        <v>80</v>
      </c>
      <c r="D1473">
        <v>76.414443969999994</v>
      </c>
      <c r="E1473">
        <v>40</v>
      </c>
      <c r="F1473">
        <v>39.977828979000002</v>
      </c>
      <c r="G1473">
        <v>1327.1971435999999</v>
      </c>
      <c r="H1473">
        <v>1325.0816649999999</v>
      </c>
      <c r="I1473">
        <v>1340.6071777</v>
      </c>
      <c r="J1473">
        <v>1337.1864014</v>
      </c>
      <c r="K1473">
        <v>0</v>
      </c>
      <c r="L1473">
        <v>1650</v>
      </c>
      <c r="M1473">
        <v>1650</v>
      </c>
      <c r="N1473">
        <v>0</v>
      </c>
    </row>
    <row r="1474" spans="1:14" x14ac:dyDescent="0.25">
      <c r="A1474">
        <v>966.96296600000005</v>
      </c>
      <c r="B1474" s="1">
        <f>DATE(2012,12,22) + TIME(23,6,40)</f>
        <v>41265.962962962964</v>
      </c>
      <c r="C1474">
        <v>80</v>
      </c>
      <c r="D1474">
        <v>76.315826415999993</v>
      </c>
      <c r="E1474">
        <v>40</v>
      </c>
      <c r="F1474">
        <v>39.977825164999999</v>
      </c>
      <c r="G1474">
        <v>1327.1431885</v>
      </c>
      <c r="H1474">
        <v>1325.0078125</v>
      </c>
      <c r="I1474">
        <v>1340.6054687999999</v>
      </c>
      <c r="J1474">
        <v>1337.1860352000001</v>
      </c>
      <c r="K1474">
        <v>0</v>
      </c>
      <c r="L1474">
        <v>1650</v>
      </c>
      <c r="M1474">
        <v>1650</v>
      </c>
      <c r="N1474">
        <v>0</v>
      </c>
    </row>
    <row r="1475" spans="1:14" x14ac:dyDescent="0.25">
      <c r="A1475">
        <v>968.83097299999997</v>
      </c>
      <c r="B1475" s="1">
        <f>DATE(2012,12,24) + TIME(19,56,36)</f>
        <v>41267.830972222226</v>
      </c>
      <c r="C1475">
        <v>80</v>
      </c>
      <c r="D1475">
        <v>76.213882446</v>
      </c>
      <c r="E1475">
        <v>40</v>
      </c>
      <c r="F1475">
        <v>39.977825164999999</v>
      </c>
      <c r="G1475">
        <v>1327.0881348</v>
      </c>
      <c r="H1475">
        <v>1324.9324951000001</v>
      </c>
      <c r="I1475">
        <v>1340.6038818</v>
      </c>
      <c r="J1475">
        <v>1337.1857910000001</v>
      </c>
      <c r="K1475">
        <v>0</v>
      </c>
      <c r="L1475">
        <v>1650</v>
      </c>
      <c r="M1475">
        <v>1650</v>
      </c>
      <c r="N1475">
        <v>0</v>
      </c>
    </row>
    <row r="1476" spans="1:14" x14ac:dyDescent="0.25">
      <c r="A1476">
        <v>970.77091399999995</v>
      </c>
      <c r="B1476" s="1">
        <f>DATE(2012,12,26) + TIME(18,30,7)</f>
        <v>41269.770914351851</v>
      </c>
      <c r="C1476">
        <v>80</v>
      </c>
      <c r="D1476">
        <v>76.108131408999995</v>
      </c>
      <c r="E1476">
        <v>40</v>
      </c>
      <c r="F1476">
        <v>39.977821349999999</v>
      </c>
      <c r="G1476">
        <v>1327.0319824000001</v>
      </c>
      <c r="H1476">
        <v>1324.8555908000001</v>
      </c>
      <c r="I1476">
        <v>1340.6022949000001</v>
      </c>
      <c r="J1476">
        <v>1337.1856689000001</v>
      </c>
      <c r="K1476">
        <v>0</v>
      </c>
      <c r="L1476">
        <v>1650</v>
      </c>
      <c r="M1476">
        <v>1650</v>
      </c>
      <c r="N1476">
        <v>0</v>
      </c>
    </row>
    <row r="1477" spans="1:14" x14ac:dyDescent="0.25">
      <c r="A1477">
        <v>972.76379099999997</v>
      </c>
      <c r="B1477" s="1">
        <f>DATE(2012,12,28) + TIME(18,19,51)</f>
        <v>41271.763784722221</v>
      </c>
      <c r="C1477">
        <v>80</v>
      </c>
      <c r="D1477">
        <v>75.998527526999993</v>
      </c>
      <c r="E1477">
        <v>40</v>
      </c>
      <c r="F1477">
        <v>39.977817535</v>
      </c>
      <c r="G1477">
        <v>1326.9744873</v>
      </c>
      <c r="H1477">
        <v>1324.7770995999999</v>
      </c>
      <c r="I1477">
        <v>1340.6005858999999</v>
      </c>
      <c r="J1477">
        <v>1337.1854248</v>
      </c>
      <c r="K1477">
        <v>0</v>
      </c>
      <c r="L1477">
        <v>1650</v>
      </c>
      <c r="M1477">
        <v>1650</v>
      </c>
      <c r="N1477">
        <v>0</v>
      </c>
    </row>
    <row r="1478" spans="1:14" x14ac:dyDescent="0.25">
      <c r="A1478">
        <v>974.79939200000001</v>
      </c>
      <c r="B1478" s="1">
        <f>DATE(2012,12,30) + TIME(19,11,7)</f>
        <v>41273.799386574072</v>
      </c>
      <c r="C1478">
        <v>80</v>
      </c>
      <c r="D1478">
        <v>75.885475158999995</v>
      </c>
      <c r="E1478">
        <v>40</v>
      </c>
      <c r="F1478">
        <v>39.977817535</v>
      </c>
      <c r="G1478">
        <v>1326.9162598</v>
      </c>
      <c r="H1478">
        <v>1324.6973877</v>
      </c>
      <c r="I1478">
        <v>1340.598999</v>
      </c>
      <c r="J1478">
        <v>1337.1853027</v>
      </c>
      <c r="K1478">
        <v>0</v>
      </c>
      <c r="L1478">
        <v>1650</v>
      </c>
      <c r="M1478">
        <v>1650</v>
      </c>
      <c r="N1478">
        <v>0</v>
      </c>
    </row>
    <row r="1479" spans="1:14" x14ac:dyDescent="0.25">
      <c r="A1479">
        <v>976</v>
      </c>
      <c r="B1479" s="1">
        <f>DATE(2013,1,1) + TIME(0,0,0)</f>
        <v>41275</v>
      </c>
      <c r="C1479">
        <v>80</v>
      </c>
      <c r="D1479">
        <v>75.791244507000002</v>
      </c>
      <c r="E1479">
        <v>40</v>
      </c>
      <c r="F1479">
        <v>39.977813720999997</v>
      </c>
      <c r="G1479">
        <v>1326.8591309000001</v>
      </c>
      <c r="H1479">
        <v>1324.6206055</v>
      </c>
      <c r="I1479">
        <v>1340.5972899999999</v>
      </c>
      <c r="J1479">
        <v>1337.1850586</v>
      </c>
      <c r="K1479">
        <v>0</v>
      </c>
      <c r="L1479">
        <v>1650</v>
      </c>
      <c r="M1479">
        <v>1650</v>
      </c>
      <c r="N1479">
        <v>0</v>
      </c>
    </row>
    <row r="1480" spans="1:14" x14ac:dyDescent="0.25">
      <c r="A1480">
        <v>978.09242500000005</v>
      </c>
      <c r="B1480" s="1">
        <f>DATE(2013,1,3) + TIME(2,13,5)</f>
        <v>41277.092418981483</v>
      </c>
      <c r="C1480">
        <v>80</v>
      </c>
      <c r="D1480">
        <v>75.691734314000001</v>
      </c>
      <c r="E1480">
        <v>40</v>
      </c>
      <c r="F1480">
        <v>39.977809905999997</v>
      </c>
      <c r="G1480">
        <v>1326.8175048999999</v>
      </c>
      <c r="H1480">
        <v>1324.5606689000001</v>
      </c>
      <c r="I1480">
        <v>1340.5964355000001</v>
      </c>
      <c r="J1480">
        <v>1337.1850586</v>
      </c>
      <c r="K1480">
        <v>0</v>
      </c>
      <c r="L1480">
        <v>1650</v>
      </c>
      <c r="M1480">
        <v>1650</v>
      </c>
      <c r="N1480">
        <v>0</v>
      </c>
    </row>
    <row r="1481" spans="1:14" x14ac:dyDescent="0.25">
      <c r="A1481">
        <v>980.26432599999998</v>
      </c>
      <c r="B1481" s="1">
        <f>DATE(2013,1,5) + TIME(6,20,37)</f>
        <v>41279.264317129629</v>
      </c>
      <c r="C1481">
        <v>80</v>
      </c>
      <c r="D1481">
        <v>75.576026916999993</v>
      </c>
      <c r="E1481">
        <v>40</v>
      </c>
      <c r="F1481">
        <v>39.977809905999997</v>
      </c>
      <c r="G1481">
        <v>1326.7618408000001</v>
      </c>
      <c r="H1481">
        <v>1324.4859618999999</v>
      </c>
      <c r="I1481">
        <v>1340.5948486</v>
      </c>
      <c r="J1481">
        <v>1337.1849365</v>
      </c>
      <c r="K1481">
        <v>0</v>
      </c>
      <c r="L1481">
        <v>1650</v>
      </c>
      <c r="M1481">
        <v>1650</v>
      </c>
      <c r="N1481">
        <v>0</v>
      </c>
    </row>
    <row r="1482" spans="1:14" x14ac:dyDescent="0.25">
      <c r="A1482">
        <v>982.49543000000006</v>
      </c>
      <c r="B1482" s="1">
        <f>DATE(2013,1,7) + TIME(11,53,25)</f>
        <v>41281.495428240742</v>
      </c>
      <c r="C1482">
        <v>80</v>
      </c>
      <c r="D1482">
        <v>75.451499939000001</v>
      </c>
      <c r="E1482">
        <v>40</v>
      </c>
      <c r="F1482">
        <v>39.977809905999997</v>
      </c>
      <c r="G1482">
        <v>1326.7027588000001</v>
      </c>
      <c r="H1482">
        <v>1324.4057617000001</v>
      </c>
      <c r="I1482">
        <v>1340.5932617000001</v>
      </c>
      <c r="J1482">
        <v>1337.1849365</v>
      </c>
      <c r="K1482">
        <v>0</v>
      </c>
      <c r="L1482">
        <v>1650</v>
      </c>
      <c r="M1482">
        <v>1650</v>
      </c>
      <c r="N1482">
        <v>0</v>
      </c>
    </row>
    <row r="1483" spans="1:14" x14ac:dyDescent="0.25">
      <c r="A1483">
        <v>984.803675</v>
      </c>
      <c r="B1483" s="1">
        <f>DATE(2013,1,9) + TIME(19,17,17)</f>
        <v>41283.803668981483</v>
      </c>
      <c r="C1483">
        <v>80</v>
      </c>
      <c r="D1483">
        <v>75.320655822999996</v>
      </c>
      <c r="E1483">
        <v>40</v>
      </c>
      <c r="F1483">
        <v>39.977806090999998</v>
      </c>
      <c r="G1483">
        <v>1326.6419678</v>
      </c>
      <c r="H1483">
        <v>1324.3231201000001</v>
      </c>
      <c r="I1483">
        <v>1340.5915527</v>
      </c>
      <c r="J1483">
        <v>1337.1848144999999</v>
      </c>
      <c r="K1483">
        <v>0</v>
      </c>
      <c r="L1483">
        <v>1650</v>
      </c>
      <c r="M1483">
        <v>1650</v>
      </c>
      <c r="N1483">
        <v>0</v>
      </c>
    </row>
    <row r="1484" spans="1:14" x14ac:dyDescent="0.25">
      <c r="A1484">
        <v>987.15439600000002</v>
      </c>
      <c r="B1484" s="1">
        <f>DATE(2013,1,12) + TIME(3,42,19)</f>
        <v>41286.154386574075</v>
      </c>
      <c r="C1484">
        <v>80</v>
      </c>
      <c r="D1484">
        <v>75.184295653999996</v>
      </c>
      <c r="E1484">
        <v>40</v>
      </c>
      <c r="F1484">
        <v>39.977806090999998</v>
      </c>
      <c r="G1484">
        <v>1326.5800781</v>
      </c>
      <c r="H1484">
        <v>1324.2388916</v>
      </c>
      <c r="I1484">
        <v>1340.5899658000001</v>
      </c>
      <c r="J1484">
        <v>1337.1848144999999</v>
      </c>
      <c r="K1484">
        <v>0</v>
      </c>
      <c r="L1484">
        <v>1650</v>
      </c>
      <c r="M1484">
        <v>1650</v>
      </c>
      <c r="N1484">
        <v>0</v>
      </c>
    </row>
    <row r="1485" spans="1:14" x14ac:dyDescent="0.25">
      <c r="A1485">
        <v>989.52806699999996</v>
      </c>
      <c r="B1485" s="1">
        <f>DATE(2013,1,14) + TIME(12,40,24)</f>
        <v>41288.528055555558</v>
      </c>
      <c r="C1485">
        <v>80</v>
      </c>
      <c r="D1485">
        <v>75.043739318999997</v>
      </c>
      <c r="E1485">
        <v>40</v>
      </c>
      <c r="F1485">
        <v>39.977802277000002</v>
      </c>
      <c r="G1485">
        <v>1326.5177002</v>
      </c>
      <c r="H1485">
        <v>1324.1539307</v>
      </c>
      <c r="I1485">
        <v>1340.5882568</v>
      </c>
      <c r="J1485">
        <v>1337.1848144999999</v>
      </c>
      <c r="K1485">
        <v>0</v>
      </c>
      <c r="L1485">
        <v>1650</v>
      </c>
      <c r="M1485">
        <v>1650</v>
      </c>
      <c r="N1485">
        <v>0</v>
      </c>
    </row>
    <row r="1486" spans="1:14" x14ac:dyDescent="0.25">
      <c r="A1486">
        <v>991.94017499999995</v>
      </c>
      <c r="B1486" s="1">
        <f>DATE(2013,1,16) + TIME(22,33,51)</f>
        <v>41290.94017361111</v>
      </c>
      <c r="C1486">
        <v>80</v>
      </c>
      <c r="D1486">
        <v>74.899383545000006</v>
      </c>
      <c r="E1486">
        <v>40</v>
      </c>
      <c r="F1486">
        <v>39.977802277000002</v>
      </c>
      <c r="G1486">
        <v>1326.4554443</v>
      </c>
      <c r="H1486">
        <v>1324.0690918</v>
      </c>
      <c r="I1486">
        <v>1340.5866699000001</v>
      </c>
      <c r="J1486">
        <v>1337.1848144999999</v>
      </c>
      <c r="K1486">
        <v>0</v>
      </c>
      <c r="L1486">
        <v>1650</v>
      </c>
      <c r="M1486">
        <v>1650</v>
      </c>
      <c r="N1486">
        <v>0</v>
      </c>
    </row>
    <row r="1487" spans="1:14" x14ac:dyDescent="0.25">
      <c r="A1487">
        <v>994.40713700000003</v>
      </c>
      <c r="B1487" s="1">
        <f>DATE(2013,1,19) + TIME(9,46,16)</f>
        <v>41293.407129629632</v>
      </c>
      <c r="C1487">
        <v>80</v>
      </c>
      <c r="D1487">
        <v>74.750610351999995</v>
      </c>
      <c r="E1487">
        <v>40</v>
      </c>
      <c r="F1487">
        <v>39.977802277000002</v>
      </c>
      <c r="G1487">
        <v>1326.3931885</v>
      </c>
      <c r="H1487">
        <v>1323.984375</v>
      </c>
      <c r="I1487">
        <v>1340.5850829999999</v>
      </c>
      <c r="J1487">
        <v>1337.1848144999999</v>
      </c>
      <c r="K1487">
        <v>0</v>
      </c>
      <c r="L1487">
        <v>1650</v>
      </c>
      <c r="M1487">
        <v>1650</v>
      </c>
      <c r="N1487">
        <v>0</v>
      </c>
    </row>
    <row r="1488" spans="1:14" x14ac:dyDescent="0.25">
      <c r="A1488">
        <v>996.94564500000001</v>
      </c>
      <c r="B1488" s="1">
        <f>DATE(2013,1,21) + TIME(22,41,43)</f>
        <v>41295.945636574077</v>
      </c>
      <c r="C1488">
        <v>80</v>
      </c>
      <c r="D1488">
        <v>74.596427917</v>
      </c>
      <c r="E1488">
        <v>40</v>
      </c>
      <c r="F1488">
        <v>39.977798462000003</v>
      </c>
      <c r="G1488">
        <v>1326.3306885</v>
      </c>
      <c r="H1488">
        <v>1323.8992920000001</v>
      </c>
      <c r="I1488">
        <v>1340.583374</v>
      </c>
      <c r="J1488">
        <v>1337.1849365</v>
      </c>
      <c r="K1488">
        <v>0</v>
      </c>
      <c r="L1488">
        <v>1650</v>
      </c>
      <c r="M1488">
        <v>1650</v>
      </c>
      <c r="N1488">
        <v>0</v>
      </c>
    </row>
    <row r="1489" spans="1:14" x14ac:dyDescent="0.25">
      <c r="A1489">
        <v>999.54031399999997</v>
      </c>
      <c r="B1489" s="1">
        <f>DATE(2013,1,24) + TIME(12,58,3)</f>
        <v>41298.540312500001</v>
      </c>
      <c r="C1489">
        <v>80</v>
      </c>
      <c r="D1489">
        <v>74.436187743999994</v>
      </c>
      <c r="E1489">
        <v>40</v>
      </c>
      <c r="F1489">
        <v>39.977798462000003</v>
      </c>
      <c r="G1489">
        <v>1326.2675781</v>
      </c>
      <c r="H1489">
        <v>1323.8135986</v>
      </c>
      <c r="I1489">
        <v>1340.5817870999999</v>
      </c>
      <c r="J1489">
        <v>1337.1849365</v>
      </c>
      <c r="K1489">
        <v>0</v>
      </c>
      <c r="L1489">
        <v>1650</v>
      </c>
      <c r="M1489">
        <v>1650</v>
      </c>
      <c r="N1489">
        <v>0</v>
      </c>
    </row>
    <row r="1490" spans="1:14" x14ac:dyDescent="0.25">
      <c r="A1490">
        <v>1002.211239</v>
      </c>
      <c r="B1490" s="1">
        <f>DATE(2013,1,27) + TIME(5,4,11)</f>
        <v>41301.211238425924</v>
      </c>
      <c r="C1490">
        <v>80</v>
      </c>
      <c r="D1490">
        <v>74.269660950000002</v>
      </c>
      <c r="E1490">
        <v>40</v>
      </c>
      <c r="F1490">
        <v>39.977798462000003</v>
      </c>
      <c r="G1490">
        <v>1326.2041016000001</v>
      </c>
      <c r="H1490">
        <v>1323.7274170000001</v>
      </c>
      <c r="I1490">
        <v>1340.5800781</v>
      </c>
      <c r="J1490">
        <v>1337.1849365</v>
      </c>
      <c r="K1490">
        <v>0</v>
      </c>
      <c r="L1490">
        <v>1650</v>
      </c>
      <c r="M1490">
        <v>1650</v>
      </c>
      <c r="N1490">
        <v>0</v>
      </c>
    </row>
    <row r="1491" spans="1:14" x14ac:dyDescent="0.25">
      <c r="A1491">
        <v>1004.945059</v>
      </c>
      <c r="B1491" s="1">
        <f>DATE(2013,1,29) + TIME(22,40,53)</f>
        <v>41303.945057870369</v>
      </c>
      <c r="C1491">
        <v>80</v>
      </c>
      <c r="D1491">
        <v>74.096199036000002</v>
      </c>
      <c r="E1491">
        <v>40</v>
      </c>
      <c r="F1491">
        <v>39.977798462000003</v>
      </c>
      <c r="G1491">
        <v>1326.1400146000001</v>
      </c>
      <c r="H1491">
        <v>1323.6403809000001</v>
      </c>
      <c r="I1491">
        <v>1340.5782471</v>
      </c>
      <c r="J1491">
        <v>1337.1849365</v>
      </c>
      <c r="K1491">
        <v>0</v>
      </c>
      <c r="L1491">
        <v>1650</v>
      </c>
      <c r="M1491">
        <v>1650</v>
      </c>
      <c r="N1491">
        <v>0</v>
      </c>
    </row>
    <row r="1492" spans="1:14" x14ac:dyDescent="0.25">
      <c r="A1492">
        <v>1007</v>
      </c>
      <c r="B1492" s="1">
        <f>DATE(2013,2,1) + TIME(0,0,0)</f>
        <v>41306</v>
      </c>
      <c r="C1492">
        <v>80</v>
      </c>
      <c r="D1492">
        <v>73.930389403999996</v>
      </c>
      <c r="E1492">
        <v>40</v>
      </c>
      <c r="F1492">
        <v>39.977798462000003</v>
      </c>
      <c r="G1492">
        <v>1326.0762939000001</v>
      </c>
      <c r="H1492">
        <v>1323.5545654</v>
      </c>
      <c r="I1492">
        <v>1340.5765381000001</v>
      </c>
      <c r="J1492">
        <v>1337.1849365</v>
      </c>
      <c r="K1492">
        <v>0</v>
      </c>
      <c r="L1492">
        <v>1650</v>
      </c>
      <c r="M1492">
        <v>1650</v>
      </c>
      <c r="N1492">
        <v>0</v>
      </c>
    </row>
    <row r="1493" spans="1:14" x14ac:dyDescent="0.25">
      <c r="A1493">
        <v>1009.753334</v>
      </c>
      <c r="B1493" s="1">
        <f>DATE(2013,2,3) + TIME(18,4,48)</f>
        <v>41308.753333333334</v>
      </c>
      <c r="C1493">
        <v>80</v>
      </c>
      <c r="D1493">
        <v>73.771636963000006</v>
      </c>
      <c r="E1493">
        <v>40</v>
      </c>
      <c r="F1493">
        <v>39.977798462000003</v>
      </c>
      <c r="G1493">
        <v>1326.0235596</v>
      </c>
      <c r="H1493">
        <v>1323.4803466999999</v>
      </c>
      <c r="I1493">
        <v>1340.5751952999999</v>
      </c>
      <c r="J1493">
        <v>1337.1850586</v>
      </c>
      <c r="K1493">
        <v>0</v>
      </c>
      <c r="L1493">
        <v>1650</v>
      </c>
      <c r="M1493">
        <v>1650</v>
      </c>
      <c r="N1493">
        <v>0</v>
      </c>
    </row>
    <row r="1494" spans="1:14" x14ac:dyDescent="0.25">
      <c r="A1494">
        <v>1012.5866140000001</v>
      </c>
      <c r="B1494" s="1">
        <f>DATE(2013,2,6) + TIME(14,4,43)</f>
        <v>41311.586608796293</v>
      </c>
      <c r="C1494">
        <v>80</v>
      </c>
      <c r="D1494">
        <v>73.590103149000001</v>
      </c>
      <c r="E1494">
        <v>40</v>
      </c>
      <c r="F1494">
        <v>39.977798462000003</v>
      </c>
      <c r="G1494">
        <v>1325.9631348</v>
      </c>
      <c r="H1494">
        <v>1323.3996582</v>
      </c>
      <c r="I1494">
        <v>1340.5733643000001</v>
      </c>
      <c r="J1494">
        <v>1337.1850586</v>
      </c>
      <c r="K1494">
        <v>0</v>
      </c>
      <c r="L1494">
        <v>1650</v>
      </c>
      <c r="M1494">
        <v>1650</v>
      </c>
      <c r="N1494">
        <v>0</v>
      </c>
    </row>
    <row r="1495" spans="1:14" x14ac:dyDescent="0.25">
      <c r="A1495">
        <v>1015.49258</v>
      </c>
      <c r="B1495" s="1">
        <f>DATE(2013,2,9) + TIME(11,49,18)</f>
        <v>41314.492569444446</v>
      </c>
      <c r="C1495">
        <v>80</v>
      </c>
      <c r="D1495">
        <v>73.396759032999995</v>
      </c>
      <c r="E1495">
        <v>40</v>
      </c>
      <c r="F1495">
        <v>39.977798462000003</v>
      </c>
      <c r="G1495">
        <v>1325.9002685999999</v>
      </c>
      <c r="H1495">
        <v>1323.3146973</v>
      </c>
      <c r="I1495">
        <v>1340.5715332</v>
      </c>
      <c r="J1495">
        <v>1337.1850586</v>
      </c>
      <c r="K1495">
        <v>0</v>
      </c>
      <c r="L1495">
        <v>1650</v>
      </c>
      <c r="M1495">
        <v>1650</v>
      </c>
      <c r="N1495">
        <v>0</v>
      </c>
    </row>
    <row r="1496" spans="1:14" x14ac:dyDescent="0.25">
      <c r="A1496">
        <v>1018.479722</v>
      </c>
      <c r="B1496" s="1">
        <f>DATE(2013,2,12) + TIME(11,30,48)</f>
        <v>41317.479722222219</v>
      </c>
      <c r="C1496">
        <v>80</v>
      </c>
      <c r="D1496">
        <v>73.194396972999996</v>
      </c>
      <c r="E1496">
        <v>40</v>
      </c>
      <c r="F1496">
        <v>39.977802277000002</v>
      </c>
      <c r="G1496">
        <v>1325.8364257999999</v>
      </c>
      <c r="H1496">
        <v>1323.2282714999999</v>
      </c>
      <c r="I1496">
        <v>1340.5697021000001</v>
      </c>
      <c r="J1496">
        <v>1337.1850586</v>
      </c>
      <c r="K1496">
        <v>0</v>
      </c>
      <c r="L1496">
        <v>1650</v>
      </c>
      <c r="M1496">
        <v>1650</v>
      </c>
      <c r="N1496">
        <v>0</v>
      </c>
    </row>
    <row r="1497" spans="1:14" x14ac:dyDescent="0.25">
      <c r="A1497">
        <v>1021.550968</v>
      </c>
      <c r="B1497" s="1">
        <f>DATE(2013,2,15) + TIME(13,13,23)</f>
        <v>41320.55096064815</v>
      </c>
      <c r="C1497">
        <v>80</v>
      </c>
      <c r="D1497">
        <v>72.983146667</v>
      </c>
      <c r="E1497">
        <v>40</v>
      </c>
      <c r="F1497">
        <v>39.977802277000002</v>
      </c>
      <c r="G1497">
        <v>1325.7719727000001</v>
      </c>
      <c r="H1497">
        <v>1323.1408690999999</v>
      </c>
      <c r="I1497">
        <v>1340.567749</v>
      </c>
      <c r="J1497">
        <v>1337.1850586</v>
      </c>
      <c r="K1497">
        <v>0</v>
      </c>
      <c r="L1497">
        <v>1650</v>
      </c>
      <c r="M1497">
        <v>1650</v>
      </c>
      <c r="N1497">
        <v>0</v>
      </c>
    </row>
    <row r="1498" spans="1:14" x14ac:dyDescent="0.25">
      <c r="A1498">
        <v>1024.6692499999999</v>
      </c>
      <c r="B1498" s="1">
        <f>DATE(2013,2,18) + TIME(16,3,43)</f>
        <v>41323.669247685182</v>
      </c>
      <c r="C1498">
        <v>80</v>
      </c>
      <c r="D1498">
        <v>72.763328552000004</v>
      </c>
      <c r="E1498">
        <v>40</v>
      </c>
      <c r="F1498">
        <v>39.977802277000002</v>
      </c>
      <c r="G1498">
        <v>1325.7069091999999</v>
      </c>
      <c r="H1498">
        <v>1323.0527344</v>
      </c>
      <c r="I1498">
        <v>1340.5657959</v>
      </c>
      <c r="J1498">
        <v>1337.1849365</v>
      </c>
      <c r="K1498">
        <v>0</v>
      </c>
      <c r="L1498">
        <v>1650</v>
      </c>
      <c r="M1498">
        <v>1650</v>
      </c>
      <c r="N1498">
        <v>0</v>
      </c>
    </row>
    <row r="1499" spans="1:14" x14ac:dyDescent="0.25">
      <c r="A1499">
        <v>1027.8147530000001</v>
      </c>
      <c r="B1499" s="1">
        <f>DATE(2013,2,21) + TIME(19,33,14)</f>
        <v>41326.814745370371</v>
      </c>
      <c r="C1499">
        <v>80</v>
      </c>
      <c r="D1499">
        <v>72.536689757999994</v>
      </c>
      <c r="E1499">
        <v>40</v>
      </c>
      <c r="F1499">
        <v>39.977806090999998</v>
      </c>
      <c r="G1499">
        <v>1325.6418457</v>
      </c>
      <c r="H1499">
        <v>1322.9645995999999</v>
      </c>
      <c r="I1499">
        <v>1340.5637207</v>
      </c>
      <c r="J1499">
        <v>1337.1849365</v>
      </c>
      <c r="K1499">
        <v>0</v>
      </c>
      <c r="L1499">
        <v>1650</v>
      </c>
      <c r="M1499">
        <v>1650</v>
      </c>
      <c r="N1499">
        <v>0</v>
      </c>
    </row>
    <row r="1500" spans="1:14" x14ac:dyDescent="0.25">
      <c r="A1500">
        <v>1031.009877</v>
      </c>
      <c r="B1500" s="1">
        <f>DATE(2013,2,25) + TIME(0,14,13)</f>
        <v>41330.009872685187</v>
      </c>
      <c r="C1500">
        <v>80</v>
      </c>
      <c r="D1500">
        <v>72.30406189</v>
      </c>
      <c r="E1500">
        <v>40</v>
      </c>
      <c r="F1500">
        <v>39.977806090999998</v>
      </c>
      <c r="G1500">
        <v>1325.5773925999999</v>
      </c>
      <c r="H1500">
        <v>1322.8771973</v>
      </c>
      <c r="I1500">
        <v>1340.5616454999999</v>
      </c>
      <c r="J1500">
        <v>1337.1848144999999</v>
      </c>
      <c r="K1500">
        <v>0</v>
      </c>
      <c r="L1500">
        <v>1650</v>
      </c>
      <c r="M1500">
        <v>1650</v>
      </c>
      <c r="N1500">
        <v>0</v>
      </c>
    </row>
    <row r="1501" spans="1:14" x14ac:dyDescent="0.25">
      <c r="A1501">
        <v>1034.2784449999999</v>
      </c>
      <c r="B1501" s="1">
        <f>DATE(2013,2,28) + TIME(6,40,57)</f>
        <v>41333.278437499997</v>
      </c>
      <c r="C1501">
        <v>80</v>
      </c>
      <c r="D1501">
        <v>72.064247131000002</v>
      </c>
      <c r="E1501">
        <v>40</v>
      </c>
      <c r="F1501">
        <v>39.977809905999997</v>
      </c>
      <c r="G1501">
        <v>1325.5133057</v>
      </c>
      <c r="H1501">
        <v>1322.7901611</v>
      </c>
      <c r="I1501">
        <v>1340.5595702999999</v>
      </c>
      <c r="J1501">
        <v>1337.1845702999999</v>
      </c>
      <c r="K1501">
        <v>0</v>
      </c>
      <c r="L1501">
        <v>1650</v>
      </c>
      <c r="M1501">
        <v>1650</v>
      </c>
      <c r="N1501">
        <v>0</v>
      </c>
    </row>
    <row r="1502" spans="1:14" x14ac:dyDescent="0.25">
      <c r="A1502">
        <v>1035</v>
      </c>
      <c r="B1502" s="1">
        <f>DATE(2013,3,1) + TIME(0,0,0)</f>
        <v>41334</v>
      </c>
      <c r="C1502">
        <v>80</v>
      </c>
      <c r="D1502">
        <v>71.920501709000007</v>
      </c>
      <c r="E1502">
        <v>40</v>
      </c>
      <c r="F1502">
        <v>39.977806090999998</v>
      </c>
      <c r="G1502">
        <v>1325.4516602000001</v>
      </c>
      <c r="H1502">
        <v>1322.7117920000001</v>
      </c>
      <c r="I1502">
        <v>1340.557251</v>
      </c>
      <c r="J1502">
        <v>1337.1843262</v>
      </c>
      <c r="K1502">
        <v>0</v>
      </c>
      <c r="L1502">
        <v>1650</v>
      </c>
      <c r="M1502">
        <v>1650</v>
      </c>
      <c r="N1502">
        <v>0</v>
      </c>
    </row>
    <row r="1503" spans="1:14" x14ac:dyDescent="0.25">
      <c r="A1503">
        <v>1038.368238</v>
      </c>
      <c r="B1503" s="1">
        <f>DATE(2013,3,4) + TIME(8,50,15)</f>
        <v>41337.36822916667</v>
      </c>
      <c r="C1503">
        <v>80</v>
      </c>
      <c r="D1503">
        <v>71.742118834999999</v>
      </c>
      <c r="E1503">
        <v>40</v>
      </c>
      <c r="F1503">
        <v>39.977813720999997</v>
      </c>
      <c r="G1503">
        <v>1325.4274902</v>
      </c>
      <c r="H1503">
        <v>1322.6700439000001</v>
      </c>
      <c r="I1503">
        <v>1340.5568848</v>
      </c>
      <c r="J1503">
        <v>1337.1843262</v>
      </c>
      <c r="K1503">
        <v>0</v>
      </c>
      <c r="L1503">
        <v>1650</v>
      </c>
      <c r="M1503">
        <v>1650</v>
      </c>
      <c r="N1503">
        <v>0</v>
      </c>
    </row>
    <row r="1504" spans="1:14" x14ac:dyDescent="0.25">
      <c r="A1504">
        <v>1041.8521330000001</v>
      </c>
      <c r="B1504" s="1">
        <f>DATE(2013,3,7) + TIME(20,27,4)</f>
        <v>41340.852129629631</v>
      </c>
      <c r="C1504">
        <v>80</v>
      </c>
      <c r="D1504">
        <v>71.495651245000005</v>
      </c>
      <c r="E1504">
        <v>40</v>
      </c>
      <c r="F1504">
        <v>39.977817535</v>
      </c>
      <c r="G1504">
        <v>1325.3688964999999</v>
      </c>
      <c r="H1504">
        <v>1322.59375</v>
      </c>
      <c r="I1504">
        <v>1340.5545654</v>
      </c>
      <c r="J1504">
        <v>1337.184082</v>
      </c>
      <c r="K1504">
        <v>0</v>
      </c>
      <c r="L1504">
        <v>1650</v>
      </c>
      <c r="M1504">
        <v>1650</v>
      </c>
      <c r="N1504">
        <v>0</v>
      </c>
    </row>
    <row r="1505" spans="1:14" x14ac:dyDescent="0.25">
      <c r="A1505">
        <v>1045.364795</v>
      </c>
      <c r="B1505" s="1">
        <f>DATE(2013,3,11) + TIME(8,45,18)</f>
        <v>41344.364791666667</v>
      </c>
      <c r="C1505">
        <v>80</v>
      </c>
      <c r="D1505">
        <v>71.226707458000007</v>
      </c>
      <c r="E1505">
        <v>40</v>
      </c>
      <c r="F1505">
        <v>39.977821349999999</v>
      </c>
      <c r="G1505">
        <v>1325.3050536999999</v>
      </c>
      <c r="H1505">
        <v>1322.5080565999999</v>
      </c>
      <c r="I1505">
        <v>1340.5522461</v>
      </c>
      <c r="J1505">
        <v>1337.1838379000001</v>
      </c>
      <c r="K1505">
        <v>0</v>
      </c>
      <c r="L1505">
        <v>1650</v>
      </c>
      <c r="M1505">
        <v>1650</v>
      </c>
      <c r="N1505">
        <v>0</v>
      </c>
    </row>
    <row r="1506" spans="1:14" x14ac:dyDescent="0.25">
      <c r="A1506">
        <v>1048.922605</v>
      </c>
      <c r="B1506" s="1">
        <f>DATE(2013,3,14) + TIME(22,8,33)</f>
        <v>41347.92260416667</v>
      </c>
      <c r="C1506">
        <v>80</v>
      </c>
      <c r="D1506">
        <v>70.948364257999998</v>
      </c>
      <c r="E1506">
        <v>40</v>
      </c>
      <c r="F1506">
        <v>39.977825164999999</v>
      </c>
      <c r="G1506">
        <v>1325.2407227000001</v>
      </c>
      <c r="H1506">
        <v>1322.4210204999999</v>
      </c>
      <c r="I1506">
        <v>1340.5498047000001</v>
      </c>
      <c r="J1506">
        <v>1337.1834716999999</v>
      </c>
      <c r="K1506">
        <v>0</v>
      </c>
      <c r="L1506">
        <v>1650</v>
      </c>
      <c r="M1506">
        <v>1650</v>
      </c>
      <c r="N1506">
        <v>0</v>
      </c>
    </row>
    <row r="1507" spans="1:14" x14ac:dyDescent="0.25">
      <c r="A1507">
        <v>1052.5511710000001</v>
      </c>
      <c r="B1507" s="1">
        <f>DATE(2013,3,18) + TIME(13,13,41)</f>
        <v>41351.551168981481</v>
      </c>
      <c r="C1507">
        <v>80</v>
      </c>
      <c r="D1507">
        <v>70.662071228000002</v>
      </c>
      <c r="E1507">
        <v>40</v>
      </c>
      <c r="F1507">
        <v>39.977828979000002</v>
      </c>
      <c r="G1507">
        <v>1325.1767577999999</v>
      </c>
      <c r="H1507">
        <v>1322.3342285000001</v>
      </c>
      <c r="I1507">
        <v>1340.5473632999999</v>
      </c>
      <c r="J1507">
        <v>1337.1831055</v>
      </c>
      <c r="K1507">
        <v>0</v>
      </c>
      <c r="L1507">
        <v>1650</v>
      </c>
      <c r="M1507">
        <v>1650</v>
      </c>
      <c r="N1507">
        <v>0</v>
      </c>
    </row>
    <row r="1508" spans="1:14" x14ac:dyDescent="0.25">
      <c r="A1508">
        <v>1056.2801710000001</v>
      </c>
      <c r="B1508" s="1">
        <f>DATE(2013,3,22) + TIME(6,43,26)</f>
        <v>41355.280162037037</v>
      </c>
      <c r="C1508">
        <v>80</v>
      </c>
      <c r="D1508">
        <v>70.366119385000005</v>
      </c>
      <c r="E1508">
        <v>40</v>
      </c>
      <c r="F1508">
        <v>39.977836609000001</v>
      </c>
      <c r="G1508">
        <v>1325.1129149999999</v>
      </c>
      <c r="H1508">
        <v>1322.2476807</v>
      </c>
      <c r="I1508">
        <v>1340.5447998</v>
      </c>
      <c r="J1508">
        <v>1337.1826172000001</v>
      </c>
      <c r="K1508">
        <v>0</v>
      </c>
      <c r="L1508">
        <v>1650</v>
      </c>
      <c r="M1508">
        <v>1650</v>
      </c>
      <c r="N1508">
        <v>0</v>
      </c>
    </row>
    <row r="1509" spans="1:14" x14ac:dyDescent="0.25">
      <c r="A1509">
        <v>1060.1257089999999</v>
      </c>
      <c r="B1509" s="1">
        <f>DATE(2013,3,26) + TIME(3,1,1)</f>
        <v>41359.125706018516</v>
      </c>
      <c r="C1509">
        <v>80</v>
      </c>
      <c r="D1509">
        <v>70.058410644999995</v>
      </c>
      <c r="E1509">
        <v>40</v>
      </c>
      <c r="F1509">
        <v>39.977840424</v>
      </c>
      <c r="G1509">
        <v>1325.0488281</v>
      </c>
      <c r="H1509">
        <v>1322.1608887</v>
      </c>
      <c r="I1509">
        <v>1340.5421143000001</v>
      </c>
      <c r="J1509">
        <v>1337.1821289</v>
      </c>
      <c r="K1509">
        <v>0</v>
      </c>
      <c r="L1509">
        <v>1650</v>
      </c>
      <c r="M1509">
        <v>1650</v>
      </c>
      <c r="N1509">
        <v>0</v>
      </c>
    </row>
    <row r="1510" spans="1:14" x14ac:dyDescent="0.25">
      <c r="A1510">
        <v>1064.0060539999999</v>
      </c>
      <c r="B1510" s="1">
        <f>DATE(2013,3,30) + TIME(0,8,43)</f>
        <v>41363.006053240744</v>
      </c>
      <c r="C1510">
        <v>80</v>
      </c>
      <c r="D1510">
        <v>69.738197326999995</v>
      </c>
      <c r="E1510">
        <v>40</v>
      </c>
      <c r="F1510">
        <v>39.977848053000002</v>
      </c>
      <c r="G1510">
        <v>1324.9844971</v>
      </c>
      <c r="H1510">
        <v>1322.0737305</v>
      </c>
      <c r="I1510">
        <v>1340.5393065999999</v>
      </c>
      <c r="J1510">
        <v>1337.1815185999999</v>
      </c>
      <c r="K1510">
        <v>0</v>
      </c>
      <c r="L1510">
        <v>1650</v>
      </c>
      <c r="M1510">
        <v>1650</v>
      </c>
      <c r="N1510">
        <v>0</v>
      </c>
    </row>
    <row r="1511" spans="1:14" x14ac:dyDescent="0.25">
      <c r="A1511">
        <v>1066</v>
      </c>
      <c r="B1511" s="1">
        <f>DATE(2013,4,1) + TIME(0,0,0)</f>
        <v>41365</v>
      </c>
      <c r="C1511">
        <v>80</v>
      </c>
      <c r="D1511">
        <v>69.456680297999995</v>
      </c>
      <c r="E1511">
        <v>40</v>
      </c>
      <c r="F1511">
        <v>39.977848053000002</v>
      </c>
      <c r="G1511">
        <v>1324.9212646000001</v>
      </c>
      <c r="H1511">
        <v>1321.9901123</v>
      </c>
      <c r="I1511">
        <v>1340.536499</v>
      </c>
      <c r="J1511">
        <v>1337.1807861</v>
      </c>
      <c r="K1511">
        <v>0</v>
      </c>
      <c r="L1511">
        <v>1650</v>
      </c>
      <c r="M1511">
        <v>1650</v>
      </c>
      <c r="N1511">
        <v>0</v>
      </c>
    </row>
    <row r="1512" spans="1:14" x14ac:dyDescent="0.25">
      <c r="A1512">
        <v>1069.941067</v>
      </c>
      <c r="B1512" s="1">
        <f>DATE(2013,4,4) + TIME(22,35,8)</f>
        <v>41368.941064814811</v>
      </c>
      <c r="C1512">
        <v>80</v>
      </c>
      <c r="D1512">
        <v>69.219421386999997</v>
      </c>
      <c r="E1512">
        <v>40</v>
      </c>
      <c r="F1512">
        <v>39.977855681999998</v>
      </c>
      <c r="G1512">
        <v>1324.8812256000001</v>
      </c>
      <c r="H1512">
        <v>1321.9296875</v>
      </c>
      <c r="I1512">
        <v>1340.5350341999999</v>
      </c>
      <c r="J1512">
        <v>1337.1805420000001</v>
      </c>
      <c r="K1512">
        <v>0</v>
      </c>
      <c r="L1512">
        <v>1650</v>
      </c>
      <c r="M1512">
        <v>1650</v>
      </c>
      <c r="N1512">
        <v>0</v>
      </c>
    </row>
    <row r="1513" spans="1:14" x14ac:dyDescent="0.25">
      <c r="A1513">
        <v>1074.0306680000001</v>
      </c>
      <c r="B1513" s="1">
        <f>DATE(2013,4,9) + TIME(0,44,9)</f>
        <v>41373.030659722222</v>
      </c>
      <c r="C1513">
        <v>80</v>
      </c>
      <c r="D1513">
        <v>68.894340514999996</v>
      </c>
      <c r="E1513">
        <v>40</v>
      </c>
      <c r="F1513">
        <v>39.977867126</v>
      </c>
      <c r="G1513">
        <v>1324.8243408000001</v>
      </c>
      <c r="H1513">
        <v>1321.8554687999999</v>
      </c>
      <c r="I1513">
        <v>1340.5321045000001</v>
      </c>
      <c r="J1513">
        <v>1337.1796875</v>
      </c>
      <c r="K1513">
        <v>0</v>
      </c>
      <c r="L1513">
        <v>1650</v>
      </c>
      <c r="M1513">
        <v>1650</v>
      </c>
      <c r="N1513">
        <v>0</v>
      </c>
    </row>
    <row r="1514" spans="1:14" x14ac:dyDescent="0.25">
      <c r="A1514">
        <v>1078.24191</v>
      </c>
      <c r="B1514" s="1">
        <f>DATE(2013,4,13) + TIME(5,48,21)</f>
        <v>41377.241909722223</v>
      </c>
      <c r="C1514">
        <v>80</v>
      </c>
      <c r="D1514">
        <v>68.541084290000001</v>
      </c>
      <c r="E1514">
        <v>40</v>
      </c>
      <c r="F1514">
        <v>39.977874755999999</v>
      </c>
      <c r="G1514">
        <v>1324.7624512</v>
      </c>
      <c r="H1514">
        <v>1321.7720947</v>
      </c>
      <c r="I1514">
        <v>1340.5290527</v>
      </c>
      <c r="J1514">
        <v>1337.1788329999999</v>
      </c>
      <c r="K1514">
        <v>0</v>
      </c>
      <c r="L1514">
        <v>1650</v>
      </c>
      <c r="M1514">
        <v>1650</v>
      </c>
      <c r="N1514">
        <v>0</v>
      </c>
    </row>
    <row r="1515" spans="1:14" x14ac:dyDescent="0.25">
      <c r="A1515">
        <v>1082.50242</v>
      </c>
      <c r="B1515" s="1">
        <f>DATE(2013,4,17) + TIME(12,3,29)</f>
        <v>41381.502418981479</v>
      </c>
      <c r="C1515">
        <v>80</v>
      </c>
      <c r="D1515">
        <v>68.172119140999996</v>
      </c>
      <c r="E1515">
        <v>40</v>
      </c>
      <c r="F1515">
        <v>39.977882385000001</v>
      </c>
      <c r="G1515">
        <v>1324.6994629000001</v>
      </c>
      <c r="H1515">
        <v>1321.6866454999999</v>
      </c>
      <c r="I1515">
        <v>1340.5258789</v>
      </c>
      <c r="J1515">
        <v>1337.1778564000001</v>
      </c>
      <c r="K1515">
        <v>0</v>
      </c>
      <c r="L1515">
        <v>1650</v>
      </c>
      <c r="M1515">
        <v>1650</v>
      </c>
      <c r="N1515">
        <v>0</v>
      </c>
    </row>
    <row r="1516" spans="1:14" x14ac:dyDescent="0.25">
      <c r="A1516">
        <v>1086.840363</v>
      </c>
      <c r="B1516" s="1">
        <f>DATE(2013,4,21) + TIME(20,10,7)</f>
        <v>41385.840358796297</v>
      </c>
      <c r="C1516">
        <v>80</v>
      </c>
      <c r="D1516">
        <v>67.793151855000005</v>
      </c>
      <c r="E1516">
        <v>40</v>
      </c>
      <c r="F1516">
        <v>39.977893829000003</v>
      </c>
      <c r="G1516">
        <v>1324.6368408000001</v>
      </c>
      <c r="H1516">
        <v>1321.6015625</v>
      </c>
      <c r="I1516">
        <v>1340.5225829999999</v>
      </c>
      <c r="J1516">
        <v>1337.1768798999999</v>
      </c>
      <c r="K1516">
        <v>0</v>
      </c>
      <c r="L1516">
        <v>1650</v>
      </c>
      <c r="M1516">
        <v>1650</v>
      </c>
      <c r="N1516">
        <v>0</v>
      </c>
    </row>
    <row r="1517" spans="1:14" x14ac:dyDescent="0.25">
      <c r="A1517">
        <v>1091.2881480000001</v>
      </c>
      <c r="B1517" s="1">
        <f>DATE(2013,4,26) + TIME(6,54,56)</f>
        <v>41390.288148148145</v>
      </c>
      <c r="C1517">
        <v>80</v>
      </c>
      <c r="D1517">
        <v>67.403274535999998</v>
      </c>
      <c r="E1517">
        <v>40</v>
      </c>
      <c r="F1517">
        <v>39.977901459000002</v>
      </c>
      <c r="G1517">
        <v>1324.5748291</v>
      </c>
      <c r="H1517">
        <v>1321.5170897999999</v>
      </c>
      <c r="I1517">
        <v>1340.5192870999999</v>
      </c>
      <c r="J1517">
        <v>1337.1756591999999</v>
      </c>
      <c r="K1517">
        <v>0</v>
      </c>
      <c r="L1517">
        <v>1650</v>
      </c>
      <c r="M1517">
        <v>1650</v>
      </c>
      <c r="N1517">
        <v>0</v>
      </c>
    </row>
    <row r="1518" spans="1:14" x14ac:dyDescent="0.25">
      <c r="A1518">
        <v>1093.644074</v>
      </c>
      <c r="B1518" s="1">
        <f>DATE(2013,4,28) + TIME(15,27,28)</f>
        <v>41392.644074074073</v>
      </c>
      <c r="C1518">
        <v>80</v>
      </c>
      <c r="D1518">
        <v>67.049476623999993</v>
      </c>
      <c r="E1518">
        <v>40</v>
      </c>
      <c r="F1518">
        <v>39.977901459000002</v>
      </c>
      <c r="G1518">
        <v>1324.5133057</v>
      </c>
      <c r="H1518">
        <v>1321.4357910000001</v>
      </c>
      <c r="I1518">
        <v>1340.5157471</v>
      </c>
      <c r="J1518">
        <v>1337.1744385</v>
      </c>
      <c r="K1518">
        <v>0</v>
      </c>
      <c r="L1518">
        <v>1650</v>
      </c>
      <c r="M1518">
        <v>1650</v>
      </c>
      <c r="N1518">
        <v>0</v>
      </c>
    </row>
    <row r="1519" spans="1:14" x14ac:dyDescent="0.25">
      <c r="A1519">
        <v>1096</v>
      </c>
      <c r="B1519" s="1">
        <f>DATE(2013,5,1) + TIME(0,0,0)</f>
        <v>41395</v>
      </c>
      <c r="C1519">
        <v>80</v>
      </c>
      <c r="D1519">
        <v>66.798255920000003</v>
      </c>
      <c r="E1519">
        <v>40</v>
      </c>
      <c r="F1519">
        <v>39.977905272999998</v>
      </c>
      <c r="G1519">
        <v>1324.4744873</v>
      </c>
      <c r="H1519">
        <v>1321.3781738</v>
      </c>
      <c r="I1519">
        <v>1340.5139160000001</v>
      </c>
      <c r="J1519">
        <v>1337.1737060999999</v>
      </c>
      <c r="K1519">
        <v>0</v>
      </c>
      <c r="L1519">
        <v>1650</v>
      </c>
      <c r="M1519">
        <v>1650</v>
      </c>
      <c r="N1519">
        <v>0</v>
      </c>
    </row>
    <row r="1520" spans="1:14" x14ac:dyDescent="0.25">
      <c r="A1520">
        <v>1096.0000010000001</v>
      </c>
      <c r="B1520" s="1">
        <f>DATE(2013,5,1) + TIME(0,0,0)</f>
        <v>41395</v>
      </c>
      <c r="C1520">
        <v>80</v>
      </c>
      <c r="D1520">
        <v>66.798377990999995</v>
      </c>
      <c r="E1520">
        <v>40</v>
      </c>
      <c r="F1520">
        <v>39.977844238000003</v>
      </c>
      <c r="G1520">
        <v>1328.4616699000001</v>
      </c>
      <c r="H1520">
        <v>1325.2453613</v>
      </c>
      <c r="I1520">
        <v>1336.6427002</v>
      </c>
      <c r="J1520">
        <v>1333.7183838000001</v>
      </c>
      <c r="K1520">
        <v>1650</v>
      </c>
      <c r="L1520">
        <v>0</v>
      </c>
      <c r="M1520">
        <v>0</v>
      </c>
      <c r="N1520">
        <v>1650</v>
      </c>
    </row>
    <row r="1521" spans="1:14" x14ac:dyDescent="0.25">
      <c r="A1521">
        <v>1096.000004</v>
      </c>
      <c r="B1521" s="1">
        <f>DATE(2013,5,1) + TIME(0,0,0)</f>
        <v>41395</v>
      </c>
      <c r="C1521">
        <v>80</v>
      </c>
      <c r="D1521">
        <v>66.798606872999997</v>
      </c>
      <c r="E1521">
        <v>40</v>
      </c>
      <c r="F1521">
        <v>39.977710723999998</v>
      </c>
      <c r="G1521">
        <v>1329.6121826000001</v>
      </c>
      <c r="H1521">
        <v>1326.5891113</v>
      </c>
      <c r="I1521">
        <v>1335.5494385</v>
      </c>
      <c r="J1521">
        <v>1332.625</v>
      </c>
      <c r="K1521">
        <v>1650</v>
      </c>
      <c r="L1521">
        <v>0</v>
      </c>
      <c r="M1521">
        <v>0</v>
      </c>
      <c r="N1521">
        <v>1650</v>
      </c>
    </row>
    <row r="1522" spans="1:14" x14ac:dyDescent="0.25">
      <c r="A1522">
        <v>1096.0000130000001</v>
      </c>
      <c r="B1522" s="1">
        <f>DATE(2013,5,1) + TIME(0,0,1)</f>
        <v>41395.000011574077</v>
      </c>
      <c r="C1522">
        <v>80</v>
      </c>
      <c r="D1522">
        <v>66.798980713000006</v>
      </c>
      <c r="E1522">
        <v>40</v>
      </c>
      <c r="F1522">
        <v>39.977516174000002</v>
      </c>
      <c r="G1522">
        <v>1331.2913818</v>
      </c>
      <c r="H1522">
        <v>1328.3067627</v>
      </c>
      <c r="I1522">
        <v>1333.921875</v>
      </c>
      <c r="J1522">
        <v>1330.9976807</v>
      </c>
      <c r="K1522">
        <v>1650</v>
      </c>
      <c r="L1522">
        <v>0</v>
      </c>
      <c r="M1522">
        <v>0</v>
      </c>
      <c r="N1522">
        <v>1650</v>
      </c>
    </row>
    <row r="1523" spans="1:14" x14ac:dyDescent="0.25">
      <c r="A1523">
        <v>1096.0000399999999</v>
      </c>
      <c r="B1523" s="1">
        <f>DATE(2013,5,1) + TIME(0,0,3)</f>
        <v>41395.000034722223</v>
      </c>
      <c r="C1523">
        <v>80</v>
      </c>
      <c r="D1523">
        <v>66.799674988000007</v>
      </c>
      <c r="E1523">
        <v>40</v>
      </c>
      <c r="F1523">
        <v>39.977298736999998</v>
      </c>
      <c r="G1523">
        <v>1333.1831055</v>
      </c>
      <c r="H1523">
        <v>1330.1290283000001</v>
      </c>
      <c r="I1523">
        <v>1332.1047363</v>
      </c>
      <c r="J1523">
        <v>1329.1815185999999</v>
      </c>
      <c r="K1523">
        <v>1650</v>
      </c>
      <c r="L1523">
        <v>0</v>
      </c>
      <c r="M1523">
        <v>0</v>
      </c>
      <c r="N1523">
        <v>1650</v>
      </c>
    </row>
    <row r="1524" spans="1:14" x14ac:dyDescent="0.25">
      <c r="A1524">
        <v>1096.000121</v>
      </c>
      <c r="B1524" s="1">
        <f>DATE(2013,5,1) + TIME(0,0,10)</f>
        <v>41395.000115740739</v>
      </c>
      <c r="C1524">
        <v>80</v>
      </c>
      <c r="D1524">
        <v>66.801277161000002</v>
      </c>
      <c r="E1524">
        <v>40</v>
      </c>
      <c r="F1524">
        <v>39.977073668999999</v>
      </c>
      <c r="G1524">
        <v>1335.0864257999999</v>
      </c>
      <c r="H1524">
        <v>1331.9560547000001</v>
      </c>
      <c r="I1524">
        <v>1330.2930908000001</v>
      </c>
      <c r="J1524">
        <v>1327.3703613</v>
      </c>
      <c r="K1524">
        <v>1650</v>
      </c>
      <c r="L1524">
        <v>0</v>
      </c>
      <c r="M1524">
        <v>0</v>
      </c>
      <c r="N1524">
        <v>1650</v>
      </c>
    </row>
    <row r="1525" spans="1:14" x14ac:dyDescent="0.25">
      <c r="A1525">
        <v>1096.000364</v>
      </c>
      <c r="B1525" s="1">
        <f>DATE(2013,5,1) + TIME(0,0,31)</f>
        <v>41395.000358796293</v>
      </c>
      <c r="C1525">
        <v>80</v>
      </c>
      <c r="D1525">
        <v>66.805702209000003</v>
      </c>
      <c r="E1525">
        <v>40</v>
      </c>
      <c r="F1525">
        <v>39.976840973000002</v>
      </c>
      <c r="G1525">
        <v>1336.9781493999999</v>
      </c>
      <c r="H1525">
        <v>1333.7738036999999</v>
      </c>
      <c r="I1525">
        <v>1328.4940185999999</v>
      </c>
      <c r="J1525">
        <v>1325.5627440999999</v>
      </c>
      <c r="K1525">
        <v>1650</v>
      </c>
      <c r="L1525">
        <v>0</v>
      </c>
      <c r="M1525">
        <v>0</v>
      </c>
      <c r="N1525">
        <v>1650</v>
      </c>
    </row>
    <row r="1526" spans="1:14" x14ac:dyDescent="0.25">
      <c r="A1526">
        <v>1096.0010930000001</v>
      </c>
      <c r="B1526" s="1">
        <f>DATE(2013,5,1) + TIME(0,1,34)</f>
        <v>41395.001087962963</v>
      </c>
      <c r="C1526">
        <v>80</v>
      </c>
      <c r="D1526">
        <v>66.818740844999994</v>
      </c>
      <c r="E1526">
        <v>40</v>
      </c>
      <c r="F1526">
        <v>39.976581572999997</v>
      </c>
      <c r="G1526">
        <v>1338.7680664</v>
      </c>
      <c r="H1526">
        <v>1335.4899902</v>
      </c>
      <c r="I1526">
        <v>1326.7517089999999</v>
      </c>
      <c r="J1526">
        <v>1323.7869873</v>
      </c>
      <c r="K1526">
        <v>1650</v>
      </c>
      <c r="L1526">
        <v>0</v>
      </c>
      <c r="M1526">
        <v>0</v>
      </c>
      <c r="N1526">
        <v>1650</v>
      </c>
    </row>
    <row r="1527" spans="1:14" x14ac:dyDescent="0.25">
      <c r="A1527">
        <v>1096.0032799999999</v>
      </c>
      <c r="B1527" s="1">
        <f>DATE(2013,5,1) + TIME(0,4,43)</f>
        <v>41395.003275462965</v>
      </c>
      <c r="C1527">
        <v>80</v>
      </c>
      <c r="D1527">
        <v>66.857887267999999</v>
      </c>
      <c r="E1527">
        <v>40</v>
      </c>
      <c r="F1527">
        <v>39.976257324000002</v>
      </c>
      <c r="G1527">
        <v>1340.1700439000001</v>
      </c>
      <c r="H1527">
        <v>1336.8370361</v>
      </c>
      <c r="I1527">
        <v>1325.2926024999999</v>
      </c>
      <c r="J1527">
        <v>1322.2875977000001</v>
      </c>
      <c r="K1527">
        <v>1650</v>
      </c>
      <c r="L1527">
        <v>0</v>
      </c>
      <c r="M1527">
        <v>0</v>
      </c>
      <c r="N1527">
        <v>1650</v>
      </c>
    </row>
    <row r="1528" spans="1:14" x14ac:dyDescent="0.25">
      <c r="A1528">
        <v>1096.0098410000001</v>
      </c>
      <c r="B1528" s="1">
        <f>DATE(2013,5,1) + TIME(0,14,10)</f>
        <v>41395.009837962964</v>
      </c>
      <c r="C1528">
        <v>80</v>
      </c>
      <c r="D1528">
        <v>66.974655150999993</v>
      </c>
      <c r="E1528">
        <v>40</v>
      </c>
      <c r="F1528">
        <v>39.975692748999997</v>
      </c>
      <c r="G1528">
        <v>1340.9652100000001</v>
      </c>
      <c r="H1528">
        <v>1337.6140137</v>
      </c>
      <c r="I1528">
        <v>1324.4204102000001</v>
      </c>
      <c r="J1528">
        <v>1321.3947754000001</v>
      </c>
      <c r="K1528">
        <v>1650</v>
      </c>
      <c r="L1528">
        <v>0</v>
      </c>
      <c r="M1528">
        <v>0</v>
      </c>
      <c r="N1528">
        <v>1650</v>
      </c>
    </row>
    <row r="1529" spans="1:14" x14ac:dyDescent="0.25">
      <c r="A1529">
        <v>1096.029524</v>
      </c>
      <c r="B1529" s="1">
        <f>DATE(2013,5,1) + TIME(0,42,30)</f>
        <v>41395.029513888891</v>
      </c>
      <c r="C1529">
        <v>80</v>
      </c>
      <c r="D1529">
        <v>67.315528869999994</v>
      </c>
      <c r="E1529">
        <v>40</v>
      </c>
      <c r="F1529">
        <v>39.974304199000002</v>
      </c>
      <c r="G1529">
        <v>1341.2166748</v>
      </c>
      <c r="H1529">
        <v>1337.8807373</v>
      </c>
      <c r="I1529">
        <v>1324.1520995999999</v>
      </c>
      <c r="J1529">
        <v>1321.1209716999999</v>
      </c>
      <c r="K1529">
        <v>1650</v>
      </c>
      <c r="L1529">
        <v>0</v>
      </c>
      <c r="M1529">
        <v>0</v>
      </c>
      <c r="N1529">
        <v>1650</v>
      </c>
    </row>
    <row r="1530" spans="1:14" x14ac:dyDescent="0.25">
      <c r="A1530">
        <v>1096.0596089999999</v>
      </c>
      <c r="B1530" s="1">
        <f>DATE(2013,5,1) + TIME(1,25,50)</f>
        <v>41395.059606481482</v>
      </c>
      <c r="C1530">
        <v>80</v>
      </c>
      <c r="D1530">
        <v>67.815895080999994</v>
      </c>
      <c r="E1530">
        <v>40</v>
      </c>
      <c r="F1530">
        <v>39.972251892000003</v>
      </c>
      <c r="G1530">
        <v>1341.2298584</v>
      </c>
      <c r="H1530">
        <v>1337.9167480000001</v>
      </c>
      <c r="I1530">
        <v>1324.125</v>
      </c>
      <c r="J1530">
        <v>1321.0932617000001</v>
      </c>
      <c r="K1530">
        <v>1650</v>
      </c>
      <c r="L1530">
        <v>0</v>
      </c>
      <c r="M1530">
        <v>0</v>
      </c>
      <c r="N1530">
        <v>1650</v>
      </c>
    </row>
    <row r="1531" spans="1:14" x14ac:dyDescent="0.25">
      <c r="A1531">
        <v>1096.0903089999999</v>
      </c>
      <c r="B1531" s="1">
        <f>DATE(2013,5,1) + TIME(2,10,2)</f>
        <v>41395.090300925927</v>
      </c>
      <c r="C1531">
        <v>80</v>
      </c>
      <c r="D1531">
        <v>68.307044982999997</v>
      </c>
      <c r="E1531">
        <v>40</v>
      </c>
      <c r="F1531">
        <v>39.970176696999999</v>
      </c>
      <c r="G1531">
        <v>1341.2220459</v>
      </c>
      <c r="H1531">
        <v>1337.9233397999999</v>
      </c>
      <c r="I1531">
        <v>1324.1246338000001</v>
      </c>
      <c r="J1531">
        <v>1321.0926514</v>
      </c>
      <c r="K1531">
        <v>1650</v>
      </c>
      <c r="L1531">
        <v>0</v>
      </c>
      <c r="M1531">
        <v>0</v>
      </c>
      <c r="N1531">
        <v>1650</v>
      </c>
    </row>
    <row r="1532" spans="1:14" x14ac:dyDescent="0.25">
      <c r="A1532">
        <v>1096.121664</v>
      </c>
      <c r="B1532" s="1">
        <f>DATE(2013,5,1) + TIME(2,55,11)</f>
        <v>41395.121655092589</v>
      </c>
      <c r="C1532">
        <v>80</v>
      </c>
      <c r="D1532">
        <v>68.789192200000002</v>
      </c>
      <c r="E1532">
        <v>40</v>
      </c>
      <c r="F1532">
        <v>39.968074799</v>
      </c>
      <c r="G1532">
        <v>1341.2111815999999</v>
      </c>
      <c r="H1532">
        <v>1337.9257812000001</v>
      </c>
      <c r="I1532">
        <v>1324.1251221</v>
      </c>
      <c r="J1532">
        <v>1321.0930175999999</v>
      </c>
      <c r="K1532">
        <v>1650</v>
      </c>
      <c r="L1532">
        <v>0</v>
      </c>
      <c r="M1532">
        <v>0</v>
      </c>
      <c r="N1532">
        <v>1650</v>
      </c>
    </row>
    <row r="1533" spans="1:14" x14ac:dyDescent="0.25">
      <c r="A1533">
        <v>1096.1537049999999</v>
      </c>
      <c r="B1533" s="1">
        <f>DATE(2013,5,1) + TIME(3,41,20)</f>
        <v>41395.153703703705</v>
      </c>
      <c r="C1533">
        <v>80</v>
      </c>
      <c r="D1533">
        <v>69.262374878000003</v>
      </c>
      <c r="E1533">
        <v>40</v>
      </c>
      <c r="F1533">
        <v>39.965942382999998</v>
      </c>
      <c r="G1533">
        <v>1341.2020264</v>
      </c>
      <c r="H1533">
        <v>1337.9287108999999</v>
      </c>
      <c r="I1533">
        <v>1324.1253661999999</v>
      </c>
      <c r="J1533">
        <v>1321.0931396000001</v>
      </c>
      <c r="K1533">
        <v>1650</v>
      </c>
      <c r="L1533">
        <v>0</v>
      </c>
      <c r="M1533">
        <v>0</v>
      </c>
      <c r="N1533">
        <v>1650</v>
      </c>
    </row>
    <row r="1534" spans="1:14" x14ac:dyDescent="0.25">
      <c r="A1534">
        <v>1096.1864680000001</v>
      </c>
      <c r="B1534" s="1">
        <f>DATE(2013,5,1) + TIME(4,28,30)</f>
        <v>41395.18645833333</v>
      </c>
      <c r="C1534">
        <v>80</v>
      </c>
      <c r="D1534">
        <v>69.726608275999993</v>
      </c>
      <c r="E1534">
        <v>40</v>
      </c>
      <c r="F1534">
        <v>39.963783264</v>
      </c>
      <c r="G1534">
        <v>1341.1949463000001</v>
      </c>
      <c r="H1534">
        <v>1337.9327393000001</v>
      </c>
      <c r="I1534">
        <v>1324.1256103999999</v>
      </c>
      <c r="J1534">
        <v>1321.0932617000001</v>
      </c>
      <c r="K1534">
        <v>1650</v>
      </c>
      <c r="L1534">
        <v>0</v>
      </c>
      <c r="M1534">
        <v>0</v>
      </c>
      <c r="N1534">
        <v>1650</v>
      </c>
    </row>
    <row r="1535" spans="1:14" x14ac:dyDescent="0.25">
      <c r="A1535">
        <v>1096.219981</v>
      </c>
      <c r="B1535" s="1">
        <f>DATE(2013,5,1) + TIME(5,16,46)</f>
        <v>41395.219976851855</v>
      </c>
      <c r="C1535">
        <v>80</v>
      </c>
      <c r="D1535">
        <v>70.181648253999995</v>
      </c>
      <c r="E1535">
        <v>40</v>
      </c>
      <c r="F1535">
        <v>39.961593628000003</v>
      </c>
      <c r="G1535">
        <v>1341.1903076000001</v>
      </c>
      <c r="H1535">
        <v>1337.9378661999999</v>
      </c>
      <c r="I1535">
        <v>1324.1257324000001</v>
      </c>
      <c r="J1535">
        <v>1321.0932617000001</v>
      </c>
      <c r="K1535">
        <v>1650</v>
      </c>
      <c r="L1535">
        <v>0</v>
      </c>
      <c r="M1535">
        <v>0</v>
      </c>
      <c r="N1535">
        <v>1650</v>
      </c>
    </row>
    <row r="1536" spans="1:14" x14ac:dyDescent="0.25">
      <c r="A1536">
        <v>1096.254267</v>
      </c>
      <c r="B1536" s="1">
        <f>DATE(2013,5,1) + TIME(6,6,8)</f>
        <v>41395.254259259258</v>
      </c>
      <c r="C1536">
        <v>80</v>
      </c>
      <c r="D1536">
        <v>70.627258300999998</v>
      </c>
      <c r="E1536">
        <v>40</v>
      </c>
      <c r="F1536">
        <v>39.959369658999996</v>
      </c>
      <c r="G1536">
        <v>1341.1877440999999</v>
      </c>
      <c r="H1536">
        <v>1337.9442139</v>
      </c>
      <c r="I1536">
        <v>1324.1258545000001</v>
      </c>
      <c r="J1536">
        <v>1321.0932617000001</v>
      </c>
      <c r="K1536">
        <v>1650</v>
      </c>
      <c r="L1536">
        <v>0</v>
      </c>
      <c r="M1536">
        <v>0</v>
      </c>
      <c r="N1536">
        <v>1650</v>
      </c>
    </row>
    <row r="1537" spans="1:14" x14ac:dyDescent="0.25">
      <c r="A1537">
        <v>1096.289297</v>
      </c>
      <c r="B1537" s="1">
        <f>DATE(2013,5,1) + TIME(6,56,35)</f>
        <v>41395.289293981485</v>
      </c>
      <c r="C1537">
        <v>80</v>
      </c>
      <c r="D1537">
        <v>71.062774657999995</v>
      </c>
      <c r="E1537">
        <v>40</v>
      </c>
      <c r="F1537">
        <v>39.957118987999998</v>
      </c>
      <c r="G1537">
        <v>1341.1875</v>
      </c>
      <c r="H1537">
        <v>1337.9516602000001</v>
      </c>
      <c r="I1537">
        <v>1324.1260986</v>
      </c>
      <c r="J1537">
        <v>1321.0931396000001</v>
      </c>
      <c r="K1537">
        <v>1650</v>
      </c>
      <c r="L1537">
        <v>0</v>
      </c>
      <c r="M1537">
        <v>0</v>
      </c>
      <c r="N1537">
        <v>1650</v>
      </c>
    </row>
    <row r="1538" spans="1:14" x14ac:dyDescent="0.25">
      <c r="A1538">
        <v>1096.3251069999999</v>
      </c>
      <c r="B1538" s="1">
        <f>DATE(2013,5,1) + TIME(7,48,9)</f>
        <v>41395.325104166666</v>
      </c>
      <c r="C1538">
        <v>80</v>
      </c>
      <c r="D1538">
        <v>71.488212584999999</v>
      </c>
      <c r="E1538">
        <v>40</v>
      </c>
      <c r="F1538">
        <v>39.954833983999997</v>
      </c>
      <c r="G1538">
        <v>1341.1892089999999</v>
      </c>
      <c r="H1538">
        <v>1337.9602050999999</v>
      </c>
      <c r="I1538">
        <v>1324.1260986</v>
      </c>
      <c r="J1538">
        <v>1321.0931396000001</v>
      </c>
      <c r="K1538">
        <v>1650</v>
      </c>
      <c r="L1538">
        <v>0</v>
      </c>
      <c r="M1538">
        <v>0</v>
      </c>
      <c r="N1538">
        <v>1650</v>
      </c>
    </row>
    <row r="1539" spans="1:14" x14ac:dyDescent="0.25">
      <c r="A1539">
        <v>1096.3617369999999</v>
      </c>
      <c r="B1539" s="1">
        <f>DATE(2013,5,1) + TIME(8,40,54)</f>
        <v>41395.36173611111</v>
      </c>
      <c r="C1539">
        <v>80</v>
      </c>
      <c r="D1539">
        <v>71.903572083</v>
      </c>
      <c r="E1539">
        <v>40</v>
      </c>
      <c r="F1539">
        <v>39.952518462999997</v>
      </c>
      <c r="G1539">
        <v>1341.1928711</v>
      </c>
      <c r="H1539">
        <v>1337.9697266000001</v>
      </c>
      <c r="I1539">
        <v>1324.1262207</v>
      </c>
      <c r="J1539">
        <v>1321.0930175999999</v>
      </c>
      <c r="K1539">
        <v>1650</v>
      </c>
      <c r="L1539">
        <v>0</v>
      </c>
      <c r="M1539">
        <v>0</v>
      </c>
      <c r="N1539">
        <v>1650</v>
      </c>
    </row>
    <row r="1540" spans="1:14" x14ac:dyDescent="0.25">
      <c r="A1540">
        <v>1096.399228</v>
      </c>
      <c r="B1540" s="1">
        <f>DATE(2013,5,1) + TIME(9,34,53)</f>
        <v>41395.399224537039</v>
      </c>
      <c r="C1540">
        <v>80</v>
      </c>
      <c r="D1540">
        <v>72.308845520000006</v>
      </c>
      <c r="E1540">
        <v>40</v>
      </c>
      <c r="F1540">
        <v>39.950172424000002</v>
      </c>
      <c r="G1540">
        <v>1341.1983643000001</v>
      </c>
      <c r="H1540">
        <v>1337.9801024999999</v>
      </c>
      <c r="I1540">
        <v>1324.1263428</v>
      </c>
      <c r="J1540">
        <v>1321.0930175999999</v>
      </c>
      <c r="K1540">
        <v>1650</v>
      </c>
      <c r="L1540">
        <v>0</v>
      </c>
      <c r="M1540">
        <v>0</v>
      </c>
      <c r="N1540">
        <v>1650</v>
      </c>
    </row>
    <row r="1541" spans="1:14" x14ac:dyDescent="0.25">
      <c r="A1541">
        <v>1096.4376239999999</v>
      </c>
      <c r="B1541" s="1">
        <f>DATE(2013,5,1) + TIME(10,30,10)</f>
        <v>41395.437615740739</v>
      </c>
      <c r="C1541">
        <v>80</v>
      </c>
      <c r="D1541">
        <v>72.704010010000005</v>
      </c>
      <c r="E1541">
        <v>40</v>
      </c>
      <c r="F1541">
        <v>39.947788238999998</v>
      </c>
      <c r="G1541">
        <v>1341.2055664</v>
      </c>
      <c r="H1541">
        <v>1337.9914550999999</v>
      </c>
      <c r="I1541">
        <v>1324.1264647999999</v>
      </c>
      <c r="J1541">
        <v>1321.0928954999999</v>
      </c>
      <c r="K1541">
        <v>1650</v>
      </c>
      <c r="L1541">
        <v>0</v>
      </c>
      <c r="M1541">
        <v>0</v>
      </c>
      <c r="N1541">
        <v>1650</v>
      </c>
    </row>
    <row r="1542" spans="1:14" x14ac:dyDescent="0.25">
      <c r="A1542">
        <v>1096.4769690000001</v>
      </c>
      <c r="B1542" s="1">
        <f>DATE(2013,5,1) + TIME(11,26,50)</f>
        <v>41395.476967592593</v>
      </c>
      <c r="C1542">
        <v>80</v>
      </c>
      <c r="D1542">
        <v>73.088973999000004</v>
      </c>
      <c r="E1542">
        <v>40</v>
      </c>
      <c r="F1542">
        <v>39.945365905999999</v>
      </c>
      <c r="G1542">
        <v>1341.2144774999999</v>
      </c>
      <c r="H1542">
        <v>1338.0036620999999</v>
      </c>
      <c r="I1542">
        <v>1324.1264647999999</v>
      </c>
      <c r="J1542">
        <v>1321.0927733999999</v>
      </c>
      <c r="K1542">
        <v>1650</v>
      </c>
      <c r="L1542">
        <v>0</v>
      </c>
      <c r="M1542">
        <v>0</v>
      </c>
      <c r="N1542">
        <v>1650</v>
      </c>
    </row>
    <row r="1543" spans="1:14" x14ac:dyDescent="0.25">
      <c r="A1543">
        <v>1096.5173130000001</v>
      </c>
      <c r="B1543" s="1">
        <f>DATE(2013,5,1) + TIME(12,24,55)</f>
        <v>41395.51730324074</v>
      </c>
      <c r="C1543">
        <v>80</v>
      </c>
      <c r="D1543">
        <v>73.463714600000003</v>
      </c>
      <c r="E1543">
        <v>40</v>
      </c>
      <c r="F1543">
        <v>39.942901611000003</v>
      </c>
      <c r="G1543">
        <v>1341.2249756000001</v>
      </c>
      <c r="H1543">
        <v>1338.0166016000001</v>
      </c>
      <c r="I1543">
        <v>1324.1265868999999</v>
      </c>
      <c r="J1543">
        <v>1321.0926514</v>
      </c>
      <c r="K1543">
        <v>1650</v>
      </c>
      <c r="L1543">
        <v>0</v>
      </c>
      <c r="M1543">
        <v>0</v>
      </c>
      <c r="N1543">
        <v>1650</v>
      </c>
    </row>
    <row r="1544" spans="1:14" x14ac:dyDescent="0.25">
      <c r="A1544">
        <v>1096.558716</v>
      </c>
      <c r="B1544" s="1">
        <f>DATE(2013,5,1) + TIME(13,24,33)</f>
        <v>41395.558715277781</v>
      </c>
      <c r="C1544">
        <v>80</v>
      </c>
      <c r="D1544">
        <v>73.828216553000004</v>
      </c>
      <c r="E1544">
        <v>40</v>
      </c>
      <c r="F1544">
        <v>39.940399169999999</v>
      </c>
      <c r="G1544">
        <v>1341.2369385</v>
      </c>
      <c r="H1544">
        <v>1338.0303954999999</v>
      </c>
      <c r="I1544">
        <v>1324.1265868999999</v>
      </c>
      <c r="J1544">
        <v>1321.0924072</v>
      </c>
      <c r="K1544">
        <v>1650</v>
      </c>
      <c r="L1544">
        <v>0</v>
      </c>
      <c r="M1544">
        <v>0</v>
      </c>
      <c r="N1544">
        <v>1650</v>
      </c>
    </row>
    <row r="1545" spans="1:14" x14ac:dyDescent="0.25">
      <c r="A1545">
        <v>1096.601234</v>
      </c>
      <c r="B1545" s="1">
        <f>DATE(2013,5,1) + TIME(14,25,46)</f>
        <v>41395.601226851853</v>
      </c>
      <c r="C1545">
        <v>80</v>
      </c>
      <c r="D1545">
        <v>74.182395935000002</v>
      </c>
      <c r="E1545">
        <v>40</v>
      </c>
      <c r="F1545">
        <v>39.937850951999998</v>
      </c>
      <c r="G1545">
        <v>1341.2503661999999</v>
      </c>
      <c r="H1545">
        <v>1338.0447998</v>
      </c>
      <c r="I1545">
        <v>1324.1265868999999</v>
      </c>
      <c r="J1545">
        <v>1321.0922852000001</v>
      </c>
      <c r="K1545">
        <v>1650</v>
      </c>
      <c r="L1545">
        <v>0</v>
      </c>
      <c r="M1545">
        <v>0</v>
      </c>
      <c r="N1545">
        <v>1650</v>
      </c>
    </row>
    <row r="1546" spans="1:14" x14ac:dyDescent="0.25">
      <c r="A1546">
        <v>1096.6449319999999</v>
      </c>
      <c r="B1546" s="1">
        <f>DATE(2013,5,1) + TIME(15,28,42)</f>
        <v>41395.644930555558</v>
      </c>
      <c r="C1546">
        <v>80</v>
      </c>
      <c r="D1546">
        <v>74.526199340999995</v>
      </c>
      <c r="E1546">
        <v>40</v>
      </c>
      <c r="F1546">
        <v>39.935253142999997</v>
      </c>
      <c r="G1546">
        <v>1341.2650146000001</v>
      </c>
      <c r="H1546">
        <v>1338.0599365</v>
      </c>
      <c r="I1546">
        <v>1324.1267089999999</v>
      </c>
      <c r="J1546">
        <v>1321.0920410000001</v>
      </c>
      <c r="K1546">
        <v>1650</v>
      </c>
      <c r="L1546">
        <v>0</v>
      </c>
      <c r="M1546">
        <v>0</v>
      </c>
      <c r="N1546">
        <v>1650</v>
      </c>
    </row>
    <row r="1547" spans="1:14" x14ac:dyDescent="0.25">
      <c r="A1547">
        <v>1096.6898759999999</v>
      </c>
      <c r="B1547" s="1">
        <f>DATE(2013,5,1) + TIME(16,33,25)</f>
        <v>41395.689872685187</v>
      </c>
      <c r="C1547">
        <v>80</v>
      </c>
      <c r="D1547">
        <v>74.859542847</v>
      </c>
      <c r="E1547">
        <v>40</v>
      </c>
      <c r="F1547">
        <v>39.932609558000003</v>
      </c>
      <c r="G1547">
        <v>1341.2810059000001</v>
      </c>
      <c r="H1547">
        <v>1338.0756836</v>
      </c>
      <c r="I1547">
        <v>1324.1267089999999</v>
      </c>
      <c r="J1547">
        <v>1321.0919189000001</v>
      </c>
      <c r="K1547">
        <v>1650</v>
      </c>
      <c r="L1547">
        <v>0</v>
      </c>
      <c r="M1547">
        <v>0</v>
      </c>
      <c r="N1547">
        <v>1650</v>
      </c>
    </row>
    <row r="1548" spans="1:14" x14ac:dyDescent="0.25">
      <c r="A1548">
        <v>1096.736138</v>
      </c>
      <c r="B1548" s="1">
        <f>DATE(2013,5,1) + TIME(17,40,2)</f>
        <v>41395.736134259256</v>
      </c>
      <c r="C1548">
        <v>80</v>
      </c>
      <c r="D1548">
        <v>75.182205199999999</v>
      </c>
      <c r="E1548">
        <v>40</v>
      </c>
      <c r="F1548">
        <v>39.929908752000003</v>
      </c>
      <c r="G1548">
        <v>1341.2980957</v>
      </c>
      <c r="H1548">
        <v>1338.0920410000001</v>
      </c>
      <c r="I1548">
        <v>1324.1267089999999</v>
      </c>
      <c r="J1548">
        <v>1321.0916748</v>
      </c>
      <c r="K1548">
        <v>1650</v>
      </c>
      <c r="L1548">
        <v>0</v>
      </c>
      <c r="M1548">
        <v>0</v>
      </c>
      <c r="N1548">
        <v>1650</v>
      </c>
    </row>
    <row r="1549" spans="1:14" x14ac:dyDescent="0.25">
      <c r="A1549">
        <v>1096.783799</v>
      </c>
      <c r="B1549" s="1">
        <f>DATE(2013,5,1) + TIME(18,48,40)</f>
        <v>41395.783796296295</v>
      </c>
      <c r="C1549">
        <v>80</v>
      </c>
      <c r="D1549">
        <v>75.494140625</v>
      </c>
      <c r="E1549">
        <v>40</v>
      </c>
      <c r="F1549">
        <v>39.927158356</v>
      </c>
      <c r="G1549">
        <v>1341.3164062000001</v>
      </c>
      <c r="H1549">
        <v>1338.1087646000001</v>
      </c>
      <c r="I1549">
        <v>1324.1267089999999</v>
      </c>
      <c r="J1549">
        <v>1321.0914307</v>
      </c>
      <c r="K1549">
        <v>1650</v>
      </c>
      <c r="L1549">
        <v>0</v>
      </c>
      <c r="M1549">
        <v>0</v>
      </c>
      <c r="N1549">
        <v>1650</v>
      </c>
    </row>
    <row r="1550" spans="1:14" x14ac:dyDescent="0.25">
      <c r="A1550">
        <v>1096.832942</v>
      </c>
      <c r="B1550" s="1">
        <f>DATE(2013,5,1) + TIME(19,59,26)</f>
        <v>41395.832939814813</v>
      </c>
      <c r="C1550">
        <v>80</v>
      </c>
      <c r="D1550">
        <v>75.795364379999995</v>
      </c>
      <c r="E1550">
        <v>40</v>
      </c>
      <c r="F1550">
        <v>39.924343108999999</v>
      </c>
      <c r="G1550">
        <v>1341.3356934000001</v>
      </c>
      <c r="H1550">
        <v>1338.1260986</v>
      </c>
      <c r="I1550">
        <v>1324.1267089999999</v>
      </c>
      <c r="J1550">
        <v>1321.0911865</v>
      </c>
      <c r="K1550">
        <v>1650</v>
      </c>
      <c r="L1550">
        <v>0</v>
      </c>
      <c r="M1550">
        <v>0</v>
      </c>
      <c r="N1550">
        <v>1650</v>
      </c>
    </row>
    <row r="1551" spans="1:14" x14ac:dyDescent="0.25">
      <c r="A1551">
        <v>1096.883662</v>
      </c>
      <c r="B1551" s="1">
        <f>DATE(2013,5,1) + TIME(21,12,28)</f>
        <v>41395.883657407408</v>
      </c>
      <c r="C1551">
        <v>80</v>
      </c>
      <c r="D1551">
        <v>76.085800171000002</v>
      </c>
      <c r="E1551">
        <v>40</v>
      </c>
      <c r="F1551">
        <v>39.921470642000003</v>
      </c>
      <c r="G1551">
        <v>1341.3558350000001</v>
      </c>
      <c r="H1551">
        <v>1338.1437988</v>
      </c>
      <c r="I1551">
        <v>1324.1265868999999</v>
      </c>
      <c r="J1551">
        <v>1321.0909423999999</v>
      </c>
      <c r="K1551">
        <v>1650</v>
      </c>
      <c r="L1551">
        <v>0</v>
      </c>
      <c r="M1551">
        <v>0</v>
      </c>
      <c r="N1551">
        <v>1650</v>
      </c>
    </row>
    <row r="1552" spans="1:14" x14ac:dyDescent="0.25">
      <c r="A1552">
        <v>1096.936066</v>
      </c>
      <c r="B1552" s="1">
        <f>DATE(2013,5,1) + TIME(22,27,56)</f>
        <v>41395.936064814814</v>
      </c>
      <c r="C1552">
        <v>80</v>
      </c>
      <c r="D1552">
        <v>76.365402222</v>
      </c>
      <c r="E1552">
        <v>40</v>
      </c>
      <c r="F1552">
        <v>39.918525696000003</v>
      </c>
      <c r="G1552">
        <v>1341.3769531</v>
      </c>
      <c r="H1552">
        <v>1338.1619873</v>
      </c>
      <c r="I1552">
        <v>1324.1265868999999</v>
      </c>
      <c r="J1552">
        <v>1321.0905762</v>
      </c>
      <c r="K1552">
        <v>1650</v>
      </c>
      <c r="L1552">
        <v>0</v>
      </c>
      <c r="M1552">
        <v>0</v>
      </c>
      <c r="N1552">
        <v>1650</v>
      </c>
    </row>
    <row r="1553" spans="1:14" x14ac:dyDescent="0.25">
      <c r="A1553">
        <v>1096.990278</v>
      </c>
      <c r="B1553" s="1">
        <f>DATE(2013,5,1) + TIME(23,46,0)</f>
        <v>41395.990277777775</v>
      </c>
      <c r="C1553">
        <v>80</v>
      </c>
      <c r="D1553">
        <v>76.634147643999995</v>
      </c>
      <c r="E1553">
        <v>40</v>
      </c>
      <c r="F1553">
        <v>39.915512085000003</v>
      </c>
      <c r="G1553">
        <v>1341.3988036999999</v>
      </c>
      <c r="H1553">
        <v>1338.1804199000001</v>
      </c>
      <c r="I1553">
        <v>1324.1265868999999</v>
      </c>
      <c r="J1553">
        <v>1321.090332</v>
      </c>
      <c r="K1553">
        <v>1650</v>
      </c>
      <c r="L1553">
        <v>0</v>
      </c>
      <c r="M1553">
        <v>0</v>
      </c>
      <c r="N1553">
        <v>1650</v>
      </c>
    </row>
    <row r="1554" spans="1:14" x14ac:dyDescent="0.25">
      <c r="A1554">
        <v>1097.0464030000001</v>
      </c>
      <c r="B1554" s="1">
        <f>DATE(2013,5,2) + TIME(1,6,49)</f>
        <v>41396.046400462961</v>
      </c>
      <c r="C1554">
        <v>80</v>
      </c>
      <c r="D1554">
        <v>76.891876221000004</v>
      </c>
      <c r="E1554">
        <v>40</v>
      </c>
      <c r="F1554">
        <v>39.91242218</v>
      </c>
      <c r="G1554">
        <v>1341.4213867000001</v>
      </c>
      <c r="H1554">
        <v>1338.1992187999999</v>
      </c>
      <c r="I1554">
        <v>1324.1265868999999</v>
      </c>
      <c r="J1554">
        <v>1321.0899658000001</v>
      </c>
      <c r="K1554">
        <v>1650</v>
      </c>
      <c r="L1554">
        <v>0</v>
      </c>
      <c r="M1554">
        <v>0</v>
      </c>
      <c r="N1554">
        <v>1650</v>
      </c>
    </row>
    <row r="1555" spans="1:14" x14ac:dyDescent="0.25">
      <c r="A1555">
        <v>1097.1045750000001</v>
      </c>
      <c r="B1555" s="1">
        <f>DATE(2013,5,2) + TIME(2,30,35)</f>
        <v>41396.104571759257</v>
      </c>
      <c r="C1555">
        <v>80</v>
      </c>
      <c r="D1555">
        <v>77.138549804999997</v>
      </c>
      <c r="E1555">
        <v>40</v>
      </c>
      <c r="F1555">
        <v>39.909252166999998</v>
      </c>
      <c r="G1555">
        <v>1341.4445800999999</v>
      </c>
      <c r="H1555">
        <v>1338.2181396000001</v>
      </c>
      <c r="I1555">
        <v>1324.1264647999999</v>
      </c>
      <c r="J1555">
        <v>1321.0897216999999</v>
      </c>
      <c r="K1555">
        <v>1650</v>
      </c>
      <c r="L1555">
        <v>0</v>
      </c>
      <c r="M1555">
        <v>0</v>
      </c>
      <c r="N1555">
        <v>1650</v>
      </c>
    </row>
    <row r="1556" spans="1:14" x14ac:dyDescent="0.25">
      <c r="A1556">
        <v>1097.164855</v>
      </c>
      <c r="B1556" s="1">
        <f>DATE(2013,5,2) + TIME(3,57,23)</f>
        <v>41396.164849537039</v>
      </c>
      <c r="C1556">
        <v>80</v>
      </c>
      <c r="D1556">
        <v>77.373794556000007</v>
      </c>
      <c r="E1556">
        <v>40</v>
      </c>
      <c r="F1556">
        <v>39.905998230000002</v>
      </c>
      <c r="G1556">
        <v>1341.4683838000001</v>
      </c>
      <c r="H1556">
        <v>1338.2374268000001</v>
      </c>
      <c r="I1556">
        <v>1324.1264647999999</v>
      </c>
      <c r="J1556">
        <v>1321.0893555</v>
      </c>
      <c r="K1556">
        <v>1650</v>
      </c>
      <c r="L1556">
        <v>0</v>
      </c>
      <c r="M1556">
        <v>0</v>
      </c>
      <c r="N1556">
        <v>1650</v>
      </c>
    </row>
    <row r="1557" spans="1:14" x14ac:dyDescent="0.25">
      <c r="A1557">
        <v>1097.2273459999999</v>
      </c>
      <c r="B1557" s="1">
        <f>DATE(2013,5,2) + TIME(5,27,22)</f>
        <v>41396.227337962962</v>
      </c>
      <c r="C1557">
        <v>80</v>
      </c>
      <c r="D1557">
        <v>77.597473144999995</v>
      </c>
      <c r="E1557">
        <v>40</v>
      </c>
      <c r="F1557">
        <v>39.90266037</v>
      </c>
      <c r="G1557">
        <v>1341.4926757999999</v>
      </c>
      <c r="H1557">
        <v>1338.2568358999999</v>
      </c>
      <c r="I1557">
        <v>1324.1263428</v>
      </c>
      <c r="J1557">
        <v>1321.0889893000001</v>
      </c>
      <c r="K1557">
        <v>1650</v>
      </c>
      <c r="L1557">
        <v>0</v>
      </c>
      <c r="M1557">
        <v>0</v>
      </c>
      <c r="N1557">
        <v>1650</v>
      </c>
    </row>
    <row r="1558" spans="1:14" x14ac:dyDescent="0.25">
      <c r="A1558">
        <v>1097.2922149999999</v>
      </c>
      <c r="B1558" s="1">
        <f>DATE(2013,5,2) + TIME(7,0,47)</f>
        <v>41396.292210648149</v>
      </c>
      <c r="C1558">
        <v>80</v>
      </c>
      <c r="D1558">
        <v>77.809631347999996</v>
      </c>
      <c r="E1558">
        <v>40</v>
      </c>
      <c r="F1558">
        <v>39.899230957</v>
      </c>
      <c r="G1558">
        <v>1341.5173339999999</v>
      </c>
      <c r="H1558">
        <v>1338.2762451000001</v>
      </c>
      <c r="I1558">
        <v>1324.1262207</v>
      </c>
      <c r="J1558">
        <v>1321.0886230000001</v>
      </c>
      <c r="K1558">
        <v>1650</v>
      </c>
      <c r="L1558">
        <v>0</v>
      </c>
      <c r="M1558">
        <v>0</v>
      </c>
      <c r="N1558">
        <v>1650</v>
      </c>
    </row>
    <row r="1559" spans="1:14" x14ac:dyDescent="0.25">
      <c r="A1559">
        <v>1097.3596279999999</v>
      </c>
      <c r="B1559" s="1">
        <f>DATE(2013,5,2) + TIME(8,37,51)</f>
        <v>41396.359618055554</v>
      </c>
      <c r="C1559">
        <v>80</v>
      </c>
      <c r="D1559">
        <v>78.010292053000001</v>
      </c>
      <c r="E1559">
        <v>40</v>
      </c>
      <c r="F1559">
        <v>39.895702362000002</v>
      </c>
      <c r="G1559">
        <v>1341.5423584</v>
      </c>
      <c r="H1559">
        <v>1338.2957764</v>
      </c>
      <c r="I1559">
        <v>1324.1262207</v>
      </c>
      <c r="J1559">
        <v>1321.0882568</v>
      </c>
      <c r="K1559">
        <v>1650</v>
      </c>
      <c r="L1559">
        <v>0</v>
      </c>
      <c r="M1559">
        <v>0</v>
      </c>
      <c r="N1559">
        <v>1650</v>
      </c>
    </row>
    <row r="1560" spans="1:14" x14ac:dyDescent="0.25">
      <c r="A1560">
        <v>1097.4297529999999</v>
      </c>
      <c r="B1560" s="1">
        <f>DATE(2013,5,2) + TIME(10,18,50)</f>
        <v>41396.429745370369</v>
      </c>
      <c r="C1560">
        <v>80</v>
      </c>
      <c r="D1560">
        <v>78.199470520000006</v>
      </c>
      <c r="E1560">
        <v>40</v>
      </c>
      <c r="F1560">
        <v>39.892070769999997</v>
      </c>
      <c r="G1560">
        <v>1341.5675048999999</v>
      </c>
      <c r="H1560">
        <v>1338.3151855000001</v>
      </c>
      <c r="I1560">
        <v>1324.1260986</v>
      </c>
      <c r="J1560">
        <v>1321.0878906</v>
      </c>
      <c r="K1560">
        <v>1650</v>
      </c>
      <c r="L1560">
        <v>0</v>
      </c>
      <c r="M1560">
        <v>0</v>
      </c>
      <c r="N1560">
        <v>1650</v>
      </c>
    </row>
    <row r="1561" spans="1:14" x14ac:dyDescent="0.25">
      <c r="A1561">
        <v>1097.502788</v>
      </c>
      <c r="B1561" s="1">
        <f>DATE(2013,5,2) + TIME(12,4,0)</f>
        <v>41396.50277777778</v>
      </c>
      <c r="C1561">
        <v>80</v>
      </c>
      <c r="D1561">
        <v>78.377227782999995</v>
      </c>
      <c r="E1561">
        <v>40</v>
      </c>
      <c r="F1561">
        <v>39.888328551999997</v>
      </c>
      <c r="G1561">
        <v>1341.5927733999999</v>
      </c>
      <c r="H1561">
        <v>1338.3345947</v>
      </c>
      <c r="I1561">
        <v>1324.1259766000001</v>
      </c>
      <c r="J1561">
        <v>1321.0875243999999</v>
      </c>
      <c r="K1561">
        <v>1650</v>
      </c>
      <c r="L1561">
        <v>0</v>
      </c>
      <c r="M1561">
        <v>0</v>
      </c>
      <c r="N1561">
        <v>1650</v>
      </c>
    </row>
    <row r="1562" spans="1:14" x14ac:dyDescent="0.25">
      <c r="A1562">
        <v>1097.5789520000001</v>
      </c>
      <c r="B1562" s="1">
        <f>DATE(2013,5,2) + TIME(13,53,41)</f>
        <v>41396.578946759262</v>
      </c>
      <c r="C1562">
        <v>80</v>
      </c>
      <c r="D1562">
        <v>78.543685913000004</v>
      </c>
      <c r="E1562">
        <v>40</v>
      </c>
      <c r="F1562">
        <v>39.884468079000001</v>
      </c>
      <c r="G1562">
        <v>1341.6180420000001</v>
      </c>
      <c r="H1562">
        <v>1338.3538818</v>
      </c>
      <c r="I1562">
        <v>1324.1259766000001</v>
      </c>
      <c r="J1562">
        <v>1321.0870361</v>
      </c>
      <c r="K1562">
        <v>1650</v>
      </c>
      <c r="L1562">
        <v>0</v>
      </c>
      <c r="M1562">
        <v>0</v>
      </c>
      <c r="N1562">
        <v>1650</v>
      </c>
    </row>
    <row r="1563" spans="1:14" x14ac:dyDescent="0.25">
      <c r="A1563">
        <v>1097.65849</v>
      </c>
      <c r="B1563" s="1">
        <f>DATE(2013,5,2) + TIME(15,48,13)</f>
        <v>41396.658483796295</v>
      </c>
      <c r="C1563">
        <v>80</v>
      </c>
      <c r="D1563">
        <v>78.698966979999994</v>
      </c>
      <c r="E1563">
        <v>40</v>
      </c>
      <c r="F1563">
        <v>39.880477904999999</v>
      </c>
      <c r="G1563">
        <v>1341.6433105000001</v>
      </c>
      <c r="H1563">
        <v>1338.3729248</v>
      </c>
      <c r="I1563">
        <v>1324.1258545000001</v>
      </c>
      <c r="J1563">
        <v>1321.0866699000001</v>
      </c>
      <c r="K1563">
        <v>1650</v>
      </c>
      <c r="L1563">
        <v>0</v>
      </c>
      <c r="M1563">
        <v>0</v>
      </c>
      <c r="N1563">
        <v>1650</v>
      </c>
    </row>
    <row r="1564" spans="1:14" x14ac:dyDescent="0.25">
      <c r="A1564">
        <v>1097.741673</v>
      </c>
      <c r="B1564" s="1">
        <f>DATE(2013,5,2) + TIME(17,48,0)</f>
        <v>41396.741666666669</v>
      </c>
      <c r="C1564">
        <v>80</v>
      </c>
      <c r="D1564">
        <v>78.843238830999994</v>
      </c>
      <c r="E1564">
        <v>40</v>
      </c>
      <c r="F1564">
        <v>39.876350403000004</v>
      </c>
      <c r="G1564">
        <v>1341.668457</v>
      </c>
      <c r="H1564">
        <v>1338.3917236</v>
      </c>
      <c r="I1564">
        <v>1324.1257324000001</v>
      </c>
      <c r="J1564">
        <v>1321.0863036999999</v>
      </c>
      <c r="K1564">
        <v>1650</v>
      </c>
      <c r="L1564">
        <v>0</v>
      </c>
      <c r="M1564">
        <v>0</v>
      </c>
      <c r="N1564">
        <v>1650</v>
      </c>
    </row>
    <row r="1565" spans="1:14" x14ac:dyDescent="0.25">
      <c r="A1565">
        <v>1097.828802</v>
      </c>
      <c r="B1565" s="1">
        <f>DATE(2013,5,2) + TIME(19,53,28)</f>
        <v>41396.828796296293</v>
      </c>
      <c r="C1565">
        <v>80</v>
      </c>
      <c r="D1565">
        <v>78.976692200000002</v>
      </c>
      <c r="E1565">
        <v>40</v>
      </c>
      <c r="F1565">
        <v>39.872074126999998</v>
      </c>
      <c r="G1565">
        <v>1341.6933594</v>
      </c>
      <c r="H1565">
        <v>1338.4104004000001</v>
      </c>
      <c r="I1565">
        <v>1324.1256103999999</v>
      </c>
      <c r="J1565">
        <v>1321.0858154</v>
      </c>
      <c r="K1565">
        <v>1650</v>
      </c>
      <c r="L1565">
        <v>0</v>
      </c>
      <c r="M1565">
        <v>0</v>
      </c>
      <c r="N1565">
        <v>1650</v>
      </c>
    </row>
    <row r="1566" spans="1:14" x14ac:dyDescent="0.25">
      <c r="A1566">
        <v>1097.920218</v>
      </c>
      <c r="B1566" s="1">
        <f>DATE(2013,5,2) + TIME(22,5,6)</f>
        <v>41396.920208333337</v>
      </c>
      <c r="C1566">
        <v>80</v>
      </c>
      <c r="D1566">
        <v>79.099563599000007</v>
      </c>
      <c r="E1566">
        <v>40</v>
      </c>
      <c r="F1566">
        <v>39.867641448999997</v>
      </c>
      <c r="G1566">
        <v>1341.7178954999999</v>
      </c>
      <c r="H1566">
        <v>1338.4285889</v>
      </c>
      <c r="I1566">
        <v>1324.1254882999999</v>
      </c>
      <c r="J1566">
        <v>1321.0853271000001</v>
      </c>
      <c r="K1566">
        <v>1650</v>
      </c>
      <c r="L1566">
        <v>0</v>
      </c>
      <c r="M1566">
        <v>0</v>
      </c>
      <c r="N1566">
        <v>1650</v>
      </c>
    </row>
    <row r="1567" spans="1:14" x14ac:dyDescent="0.25">
      <c r="A1567">
        <v>1098.0163050000001</v>
      </c>
      <c r="B1567" s="1">
        <f>DATE(2013,5,3) + TIME(0,23,28)</f>
        <v>41397.016296296293</v>
      </c>
      <c r="C1567">
        <v>80</v>
      </c>
      <c r="D1567">
        <v>79.212112426999994</v>
      </c>
      <c r="E1567">
        <v>40</v>
      </c>
      <c r="F1567">
        <v>39.863033295000001</v>
      </c>
      <c r="G1567">
        <v>1341.7420654</v>
      </c>
      <c r="H1567">
        <v>1338.4465332</v>
      </c>
      <c r="I1567">
        <v>1324.1253661999999</v>
      </c>
      <c r="J1567">
        <v>1321.0848389</v>
      </c>
      <c r="K1567">
        <v>1650</v>
      </c>
      <c r="L1567">
        <v>0</v>
      </c>
      <c r="M1567">
        <v>0</v>
      </c>
      <c r="N1567">
        <v>1650</v>
      </c>
    </row>
    <row r="1568" spans="1:14" x14ac:dyDescent="0.25">
      <c r="A1568">
        <v>1098.117499</v>
      </c>
      <c r="B1568" s="1">
        <f>DATE(2013,5,3) + TIME(2,49,11)</f>
        <v>41397.117488425924</v>
      </c>
      <c r="C1568">
        <v>80</v>
      </c>
      <c r="D1568">
        <v>79.314651488999999</v>
      </c>
      <c r="E1568">
        <v>40</v>
      </c>
      <c r="F1568">
        <v>39.858234406000001</v>
      </c>
      <c r="G1568">
        <v>1341.7658690999999</v>
      </c>
      <c r="H1568">
        <v>1338.4639893000001</v>
      </c>
      <c r="I1568">
        <v>1324.1251221</v>
      </c>
      <c r="J1568">
        <v>1321.0844727000001</v>
      </c>
      <c r="K1568">
        <v>1650</v>
      </c>
      <c r="L1568">
        <v>0</v>
      </c>
      <c r="M1568">
        <v>0</v>
      </c>
      <c r="N1568">
        <v>1650</v>
      </c>
    </row>
    <row r="1569" spans="1:14" x14ac:dyDescent="0.25">
      <c r="A1569">
        <v>1098.2243659999999</v>
      </c>
      <c r="B1569" s="1">
        <f>DATE(2013,5,3) + TIME(5,23,5)</f>
        <v>41397.224363425928</v>
      </c>
      <c r="C1569">
        <v>80</v>
      </c>
      <c r="D1569">
        <v>79.407569885000001</v>
      </c>
      <c r="E1569">
        <v>40</v>
      </c>
      <c r="F1569">
        <v>39.853225707999997</v>
      </c>
      <c r="G1569">
        <v>1341.7889404</v>
      </c>
      <c r="H1569">
        <v>1338.480957</v>
      </c>
      <c r="I1569">
        <v>1324.125</v>
      </c>
      <c r="J1569">
        <v>1321.0838623</v>
      </c>
      <c r="K1569">
        <v>1650</v>
      </c>
      <c r="L1569">
        <v>0</v>
      </c>
      <c r="M1569">
        <v>0</v>
      </c>
      <c r="N1569">
        <v>1650</v>
      </c>
    </row>
    <row r="1570" spans="1:14" x14ac:dyDescent="0.25">
      <c r="A1570">
        <v>1098.3374140000001</v>
      </c>
      <c r="B1570" s="1">
        <f>DATE(2013,5,3) + TIME(8,5,52)</f>
        <v>41397.337407407409</v>
      </c>
      <c r="C1570">
        <v>80</v>
      </c>
      <c r="D1570">
        <v>79.491165160999998</v>
      </c>
      <c r="E1570">
        <v>40</v>
      </c>
      <c r="F1570">
        <v>39.847991942999997</v>
      </c>
      <c r="G1570">
        <v>1341.8114014</v>
      </c>
      <c r="H1570">
        <v>1338.4973144999999</v>
      </c>
      <c r="I1570">
        <v>1324.1248779</v>
      </c>
      <c r="J1570">
        <v>1321.083374</v>
      </c>
      <c r="K1570">
        <v>1650</v>
      </c>
      <c r="L1570">
        <v>0</v>
      </c>
      <c r="M1570">
        <v>0</v>
      </c>
      <c r="N1570">
        <v>1650</v>
      </c>
    </row>
    <row r="1571" spans="1:14" x14ac:dyDescent="0.25">
      <c r="A1571">
        <v>1098.4572989999999</v>
      </c>
      <c r="B1571" s="1">
        <f>DATE(2013,5,3) + TIME(10,58,30)</f>
        <v>41397.457291666666</v>
      </c>
      <c r="C1571">
        <v>80</v>
      </c>
      <c r="D1571">
        <v>79.565849303999997</v>
      </c>
      <c r="E1571">
        <v>40</v>
      </c>
      <c r="F1571">
        <v>39.842510222999998</v>
      </c>
      <c r="G1571">
        <v>1341.8332519999999</v>
      </c>
      <c r="H1571">
        <v>1338.5133057</v>
      </c>
      <c r="I1571">
        <v>1324.1246338000001</v>
      </c>
      <c r="J1571">
        <v>1321.0828856999999</v>
      </c>
      <c r="K1571">
        <v>1650</v>
      </c>
      <c r="L1571">
        <v>0</v>
      </c>
      <c r="M1571">
        <v>0</v>
      </c>
      <c r="N1571">
        <v>1650</v>
      </c>
    </row>
    <row r="1572" spans="1:14" x14ac:dyDescent="0.25">
      <c r="A1572">
        <v>1098.5832680000001</v>
      </c>
      <c r="B1572" s="1">
        <f>DATE(2013,5,3) + TIME(13,59,54)</f>
        <v>41397.58326388889</v>
      </c>
      <c r="C1572">
        <v>80</v>
      </c>
      <c r="D1572">
        <v>79.631408691000004</v>
      </c>
      <c r="E1572">
        <v>40</v>
      </c>
      <c r="F1572">
        <v>39.836811066000003</v>
      </c>
      <c r="G1572">
        <v>1341.8543701000001</v>
      </c>
      <c r="H1572">
        <v>1338.5286865</v>
      </c>
      <c r="I1572">
        <v>1324.1245117000001</v>
      </c>
      <c r="J1572">
        <v>1321.0822754000001</v>
      </c>
      <c r="K1572">
        <v>1650</v>
      </c>
      <c r="L1572">
        <v>0</v>
      </c>
      <c r="M1572">
        <v>0</v>
      </c>
      <c r="N1572">
        <v>1650</v>
      </c>
    </row>
    <row r="1573" spans="1:14" x14ac:dyDescent="0.25">
      <c r="A1573">
        <v>1098.7100640000001</v>
      </c>
      <c r="B1573" s="1">
        <f>DATE(2013,5,3) + TIME(17,2,29)</f>
        <v>41397.710057870368</v>
      </c>
      <c r="C1573">
        <v>80</v>
      </c>
      <c r="D1573">
        <v>79.686454772999994</v>
      </c>
      <c r="E1573">
        <v>40</v>
      </c>
      <c r="F1573">
        <v>39.831119536999999</v>
      </c>
      <c r="G1573">
        <v>1341.8748779</v>
      </c>
      <c r="H1573">
        <v>1338.5435791</v>
      </c>
      <c r="I1573">
        <v>1324.1242675999999</v>
      </c>
      <c r="J1573">
        <v>1321.0817870999999</v>
      </c>
      <c r="K1573">
        <v>1650</v>
      </c>
      <c r="L1573">
        <v>0</v>
      </c>
      <c r="M1573">
        <v>0</v>
      </c>
      <c r="N1573">
        <v>1650</v>
      </c>
    </row>
    <row r="1574" spans="1:14" x14ac:dyDescent="0.25">
      <c r="A1574">
        <v>1098.83827</v>
      </c>
      <c r="B1574" s="1">
        <f>DATE(2013,5,3) + TIME(20,7,6)</f>
        <v>41397.838263888887</v>
      </c>
      <c r="C1574">
        <v>80</v>
      </c>
      <c r="D1574">
        <v>79.732780457000004</v>
      </c>
      <c r="E1574">
        <v>40</v>
      </c>
      <c r="F1574">
        <v>39.825408936000002</v>
      </c>
      <c r="G1574">
        <v>1341.8933105000001</v>
      </c>
      <c r="H1574">
        <v>1338.5570068</v>
      </c>
      <c r="I1574">
        <v>1324.1241454999999</v>
      </c>
      <c r="J1574">
        <v>1321.0811768000001</v>
      </c>
      <c r="K1574">
        <v>1650</v>
      </c>
      <c r="L1574">
        <v>0</v>
      </c>
      <c r="M1574">
        <v>0</v>
      </c>
      <c r="N1574">
        <v>1650</v>
      </c>
    </row>
    <row r="1575" spans="1:14" x14ac:dyDescent="0.25">
      <c r="A1575">
        <v>1098.9681599999999</v>
      </c>
      <c r="B1575" s="1">
        <f>DATE(2013,5,3) + TIME(23,14,9)</f>
        <v>41397.968159722222</v>
      </c>
      <c r="C1575">
        <v>80</v>
      </c>
      <c r="D1575">
        <v>79.771743774000001</v>
      </c>
      <c r="E1575">
        <v>40</v>
      </c>
      <c r="F1575">
        <v>39.819664001</v>
      </c>
      <c r="G1575">
        <v>1341.9099120999999</v>
      </c>
      <c r="H1575">
        <v>1338.5690918</v>
      </c>
      <c r="I1575">
        <v>1324.1239014</v>
      </c>
      <c r="J1575">
        <v>1321.0806885</v>
      </c>
      <c r="K1575">
        <v>1650</v>
      </c>
      <c r="L1575">
        <v>0</v>
      </c>
      <c r="M1575">
        <v>0</v>
      </c>
      <c r="N1575">
        <v>1650</v>
      </c>
    </row>
    <row r="1576" spans="1:14" x14ac:dyDescent="0.25">
      <c r="A1576">
        <v>1099.100087</v>
      </c>
      <c r="B1576" s="1">
        <f>DATE(2013,5,4) + TIME(2,24,7)</f>
        <v>41398.100081018521</v>
      </c>
      <c r="C1576">
        <v>80</v>
      </c>
      <c r="D1576">
        <v>79.804512024000005</v>
      </c>
      <c r="E1576">
        <v>40</v>
      </c>
      <c r="F1576">
        <v>39.813873291</v>
      </c>
      <c r="G1576">
        <v>1341.9248047000001</v>
      </c>
      <c r="H1576">
        <v>1338.5800781</v>
      </c>
      <c r="I1576">
        <v>1324.1236572</v>
      </c>
      <c r="J1576">
        <v>1321.0800781</v>
      </c>
      <c r="K1576">
        <v>1650</v>
      </c>
      <c r="L1576">
        <v>0</v>
      </c>
      <c r="M1576">
        <v>0</v>
      </c>
      <c r="N1576">
        <v>1650</v>
      </c>
    </row>
    <row r="1577" spans="1:14" x14ac:dyDescent="0.25">
      <c r="A1577">
        <v>1099.2344780000001</v>
      </c>
      <c r="B1577" s="1">
        <f>DATE(2013,5,4) + TIME(5,37,38)</f>
        <v>41398.234467592592</v>
      </c>
      <c r="C1577">
        <v>80</v>
      </c>
      <c r="D1577">
        <v>79.832046508999994</v>
      </c>
      <c r="E1577">
        <v>40</v>
      </c>
      <c r="F1577">
        <v>39.808021545000003</v>
      </c>
      <c r="G1577">
        <v>1341.9382324000001</v>
      </c>
      <c r="H1577">
        <v>1338.5899658000001</v>
      </c>
      <c r="I1577">
        <v>1324.1234131000001</v>
      </c>
      <c r="J1577">
        <v>1321.0795897999999</v>
      </c>
      <c r="K1577">
        <v>1650</v>
      </c>
      <c r="L1577">
        <v>0</v>
      </c>
      <c r="M1577">
        <v>0</v>
      </c>
      <c r="N1577">
        <v>1650</v>
      </c>
    </row>
    <row r="1578" spans="1:14" x14ac:dyDescent="0.25">
      <c r="A1578">
        <v>1099.3717059999999</v>
      </c>
      <c r="B1578" s="1">
        <f>DATE(2013,5,4) + TIME(8,55,15)</f>
        <v>41398.371701388889</v>
      </c>
      <c r="C1578">
        <v>80</v>
      </c>
      <c r="D1578">
        <v>79.855163574000002</v>
      </c>
      <c r="E1578">
        <v>40</v>
      </c>
      <c r="F1578">
        <v>39.802089690999999</v>
      </c>
      <c r="G1578">
        <v>1341.9500731999999</v>
      </c>
      <c r="H1578">
        <v>1338.598999</v>
      </c>
      <c r="I1578">
        <v>1324.1232910000001</v>
      </c>
      <c r="J1578">
        <v>1321.0789795000001</v>
      </c>
      <c r="K1578">
        <v>1650</v>
      </c>
      <c r="L1578">
        <v>0</v>
      </c>
      <c r="M1578">
        <v>0</v>
      </c>
      <c r="N1578">
        <v>1650</v>
      </c>
    </row>
    <row r="1579" spans="1:14" x14ac:dyDescent="0.25">
      <c r="A1579">
        <v>1099.5121750000001</v>
      </c>
      <c r="B1579" s="1">
        <f>DATE(2013,5,4) + TIME(12,17,31)</f>
        <v>41398.512164351851</v>
      </c>
      <c r="C1579">
        <v>80</v>
      </c>
      <c r="D1579">
        <v>79.874542235999996</v>
      </c>
      <c r="E1579">
        <v>40</v>
      </c>
      <c r="F1579">
        <v>39.796062468999999</v>
      </c>
      <c r="G1579">
        <v>1341.9606934000001</v>
      </c>
      <c r="H1579">
        <v>1338.6070557</v>
      </c>
      <c r="I1579">
        <v>1324.1230469</v>
      </c>
      <c r="J1579">
        <v>1321.0784911999999</v>
      </c>
      <c r="K1579">
        <v>1650</v>
      </c>
      <c r="L1579">
        <v>0</v>
      </c>
      <c r="M1579">
        <v>0</v>
      </c>
      <c r="N1579">
        <v>1650</v>
      </c>
    </row>
    <row r="1580" spans="1:14" x14ac:dyDescent="0.25">
      <c r="A1580">
        <v>1099.656322</v>
      </c>
      <c r="B1580" s="1">
        <f>DATE(2013,5,4) + TIME(15,45,6)</f>
        <v>41398.656319444446</v>
      </c>
      <c r="C1580">
        <v>80</v>
      </c>
      <c r="D1580">
        <v>79.890739440999994</v>
      </c>
      <c r="E1580">
        <v>40</v>
      </c>
      <c r="F1580">
        <v>39.789928435999997</v>
      </c>
      <c r="G1580">
        <v>1341.9700928</v>
      </c>
      <c r="H1580">
        <v>1338.6143798999999</v>
      </c>
      <c r="I1580">
        <v>1324.1228027</v>
      </c>
      <c r="J1580">
        <v>1321.0778809000001</v>
      </c>
      <c r="K1580">
        <v>1650</v>
      </c>
      <c r="L1580">
        <v>0</v>
      </c>
      <c r="M1580">
        <v>0</v>
      </c>
      <c r="N1580">
        <v>1650</v>
      </c>
    </row>
    <row r="1581" spans="1:14" x14ac:dyDescent="0.25">
      <c r="A1581">
        <v>1099.80394</v>
      </c>
      <c r="B1581" s="1">
        <f>DATE(2013,5,4) + TIME(19,17,40)</f>
        <v>41398.803935185184</v>
      </c>
      <c r="C1581">
        <v>80</v>
      </c>
      <c r="D1581">
        <v>79.904212951999995</v>
      </c>
      <c r="E1581">
        <v>40</v>
      </c>
      <c r="F1581">
        <v>39.783691406000003</v>
      </c>
      <c r="G1581">
        <v>1341.9782714999999</v>
      </c>
      <c r="H1581">
        <v>1338.6208495999999</v>
      </c>
      <c r="I1581">
        <v>1324.1225586</v>
      </c>
      <c r="J1581">
        <v>1321.0773925999999</v>
      </c>
      <c r="K1581">
        <v>1650</v>
      </c>
      <c r="L1581">
        <v>0</v>
      </c>
      <c r="M1581">
        <v>0</v>
      </c>
      <c r="N1581">
        <v>1650</v>
      </c>
    </row>
    <row r="1582" spans="1:14" x14ac:dyDescent="0.25">
      <c r="A1582">
        <v>1099.9536800000001</v>
      </c>
      <c r="B1582" s="1">
        <f>DATE(2013,5,4) + TIME(22,53,17)</f>
        <v>41398.953668981485</v>
      </c>
      <c r="C1582">
        <v>80</v>
      </c>
      <c r="D1582">
        <v>79.915283203000001</v>
      </c>
      <c r="E1582">
        <v>40</v>
      </c>
      <c r="F1582">
        <v>39.777408600000001</v>
      </c>
      <c r="G1582">
        <v>1341.9854736</v>
      </c>
      <c r="H1582">
        <v>1338.6265868999999</v>
      </c>
      <c r="I1582">
        <v>1324.1223144999999</v>
      </c>
      <c r="J1582">
        <v>1321.0767822</v>
      </c>
      <c r="K1582">
        <v>1650</v>
      </c>
      <c r="L1582">
        <v>0</v>
      </c>
      <c r="M1582">
        <v>0</v>
      </c>
      <c r="N1582">
        <v>1650</v>
      </c>
    </row>
    <row r="1583" spans="1:14" x14ac:dyDescent="0.25">
      <c r="A1583">
        <v>1100.1058840000001</v>
      </c>
      <c r="B1583" s="1">
        <f>DATE(2013,5,5) + TIME(2,32,28)</f>
        <v>41399.105879629627</v>
      </c>
      <c r="C1583">
        <v>80</v>
      </c>
      <c r="D1583">
        <v>79.924369811999995</v>
      </c>
      <c r="E1583">
        <v>40</v>
      </c>
      <c r="F1583">
        <v>39.771060943999998</v>
      </c>
      <c r="G1583">
        <v>1341.9914550999999</v>
      </c>
      <c r="H1583">
        <v>1338.6317139</v>
      </c>
      <c r="I1583">
        <v>1324.1220702999999</v>
      </c>
      <c r="J1583">
        <v>1321.0762939000001</v>
      </c>
      <c r="K1583">
        <v>1650</v>
      </c>
      <c r="L1583">
        <v>0</v>
      </c>
      <c r="M1583">
        <v>0</v>
      </c>
      <c r="N1583">
        <v>1650</v>
      </c>
    </row>
    <row r="1584" spans="1:14" x14ac:dyDescent="0.25">
      <c r="A1584">
        <v>1100.2609070000001</v>
      </c>
      <c r="B1584" s="1">
        <f>DATE(2013,5,5) + TIME(6,15,42)</f>
        <v>41399.26090277778</v>
      </c>
      <c r="C1584">
        <v>80</v>
      </c>
      <c r="D1584">
        <v>79.931831360000004</v>
      </c>
      <c r="E1584">
        <v>40</v>
      </c>
      <c r="F1584">
        <v>39.764636993000003</v>
      </c>
      <c r="G1584">
        <v>1341.9963379000001</v>
      </c>
      <c r="H1584">
        <v>1338.6361084</v>
      </c>
      <c r="I1584">
        <v>1324.1218262</v>
      </c>
      <c r="J1584">
        <v>1321.0756836</v>
      </c>
      <c r="K1584">
        <v>1650</v>
      </c>
      <c r="L1584">
        <v>0</v>
      </c>
      <c r="M1584">
        <v>0</v>
      </c>
      <c r="N1584">
        <v>1650</v>
      </c>
    </row>
    <row r="1585" spans="1:14" x14ac:dyDescent="0.25">
      <c r="A1585">
        <v>1100.419001</v>
      </c>
      <c r="B1585" s="1">
        <f>DATE(2013,5,5) + TIME(10,3,21)</f>
        <v>41399.418993055559</v>
      </c>
      <c r="C1585">
        <v>80</v>
      </c>
      <c r="D1585">
        <v>79.937934874999996</v>
      </c>
      <c r="E1585">
        <v>40</v>
      </c>
      <c r="F1585">
        <v>39.75812912</v>
      </c>
      <c r="G1585">
        <v>1342.0003661999999</v>
      </c>
      <c r="H1585">
        <v>1338.6397704999999</v>
      </c>
      <c r="I1585">
        <v>1324.121582</v>
      </c>
      <c r="J1585">
        <v>1321.0750731999999</v>
      </c>
      <c r="K1585">
        <v>1650</v>
      </c>
      <c r="L1585">
        <v>0</v>
      </c>
      <c r="M1585">
        <v>0</v>
      </c>
      <c r="N1585">
        <v>1650</v>
      </c>
    </row>
    <row r="1586" spans="1:14" x14ac:dyDescent="0.25">
      <c r="A1586">
        <v>1100.5805029999999</v>
      </c>
      <c r="B1586" s="1">
        <f>DATE(2013,5,5) + TIME(13,55,55)</f>
        <v>41399.580497685187</v>
      </c>
      <c r="C1586">
        <v>80</v>
      </c>
      <c r="D1586">
        <v>79.942939757999994</v>
      </c>
      <c r="E1586">
        <v>40</v>
      </c>
      <c r="F1586">
        <v>39.751525878999999</v>
      </c>
      <c r="G1586">
        <v>1342.0035399999999</v>
      </c>
      <c r="H1586">
        <v>1338.6430664</v>
      </c>
      <c r="I1586">
        <v>1324.1212158000001</v>
      </c>
      <c r="J1586">
        <v>1321.0744629000001</v>
      </c>
      <c r="K1586">
        <v>1650</v>
      </c>
      <c r="L1586">
        <v>0</v>
      </c>
      <c r="M1586">
        <v>0</v>
      </c>
      <c r="N1586">
        <v>1650</v>
      </c>
    </row>
    <row r="1587" spans="1:14" x14ac:dyDescent="0.25">
      <c r="A1587">
        <v>1100.745776</v>
      </c>
      <c r="B1587" s="1">
        <f>DATE(2013,5,5) + TIME(17,53,55)</f>
        <v>41399.745775462965</v>
      </c>
      <c r="C1587">
        <v>80</v>
      </c>
      <c r="D1587">
        <v>79.947021484000004</v>
      </c>
      <c r="E1587">
        <v>40</v>
      </c>
      <c r="F1587">
        <v>39.744815826</v>
      </c>
      <c r="G1587">
        <v>1342.0057373</v>
      </c>
      <c r="H1587">
        <v>1338.6456298999999</v>
      </c>
      <c r="I1587">
        <v>1324.1209716999999</v>
      </c>
      <c r="J1587">
        <v>1321.0739745999999</v>
      </c>
      <c r="K1587">
        <v>1650</v>
      </c>
      <c r="L1587">
        <v>0</v>
      </c>
      <c r="M1587">
        <v>0</v>
      </c>
      <c r="N1587">
        <v>1650</v>
      </c>
    </row>
    <row r="1588" spans="1:14" x14ac:dyDescent="0.25">
      <c r="A1588">
        <v>1100.9152140000001</v>
      </c>
      <c r="B1588" s="1">
        <f>DATE(2013,5,5) + TIME(21,57,54)</f>
        <v>41399.915208333332</v>
      </c>
      <c r="C1588">
        <v>80</v>
      </c>
      <c r="D1588">
        <v>79.950355529999996</v>
      </c>
      <c r="E1588">
        <v>40</v>
      </c>
      <c r="F1588">
        <v>39.737983704000001</v>
      </c>
      <c r="G1588">
        <v>1342.0073242000001</v>
      </c>
      <c r="H1588">
        <v>1338.6478271000001</v>
      </c>
      <c r="I1588">
        <v>1324.1207274999999</v>
      </c>
      <c r="J1588">
        <v>1321.0733643000001</v>
      </c>
      <c r="K1588">
        <v>1650</v>
      </c>
      <c r="L1588">
        <v>0</v>
      </c>
      <c r="M1588">
        <v>0</v>
      </c>
      <c r="N1588">
        <v>1650</v>
      </c>
    </row>
    <row r="1589" spans="1:14" x14ac:dyDescent="0.25">
      <c r="A1589">
        <v>1101.089246</v>
      </c>
      <c r="B1589" s="1">
        <f>DATE(2013,5,6) + TIME(2,8,30)</f>
        <v>41400.089236111111</v>
      </c>
      <c r="C1589">
        <v>80</v>
      </c>
      <c r="D1589">
        <v>79.953063964999998</v>
      </c>
      <c r="E1589">
        <v>40</v>
      </c>
      <c r="F1589">
        <v>39.731014252000001</v>
      </c>
      <c r="G1589">
        <v>1342.0079346</v>
      </c>
      <c r="H1589">
        <v>1338.6495361</v>
      </c>
      <c r="I1589">
        <v>1324.1203613</v>
      </c>
      <c r="J1589">
        <v>1321.0727539</v>
      </c>
      <c r="K1589">
        <v>1650</v>
      </c>
      <c r="L1589">
        <v>0</v>
      </c>
      <c r="M1589">
        <v>0</v>
      </c>
      <c r="N1589">
        <v>1650</v>
      </c>
    </row>
    <row r="1590" spans="1:14" x14ac:dyDescent="0.25">
      <c r="A1590">
        <v>1101.268511</v>
      </c>
      <c r="B1590" s="1">
        <f>DATE(2013,5,6) + TIME(6,26,39)</f>
        <v>41400.268506944441</v>
      </c>
      <c r="C1590">
        <v>80</v>
      </c>
      <c r="D1590">
        <v>79.955268860000004</v>
      </c>
      <c r="E1590">
        <v>40</v>
      </c>
      <c r="F1590">
        <v>39.723888397000003</v>
      </c>
      <c r="G1590">
        <v>1342.0079346</v>
      </c>
      <c r="H1590">
        <v>1338.6507568</v>
      </c>
      <c r="I1590">
        <v>1324.1201172000001</v>
      </c>
      <c r="J1590">
        <v>1321.0720214999999</v>
      </c>
      <c r="K1590">
        <v>1650</v>
      </c>
      <c r="L1590">
        <v>0</v>
      </c>
      <c r="M1590">
        <v>0</v>
      </c>
      <c r="N1590">
        <v>1650</v>
      </c>
    </row>
    <row r="1591" spans="1:14" x14ac:dyDescent="0.25">
      <c r="A1591">
        <v>1101.4536459999999</v>
      </c>
      <c r="B1591" s="1">
        <f>DATE(2013,5,6) + TIME(10,53,14)</f>
        <v>41400.453634259262</v>
      </c>
      <c r="C1591">
        <v>80</v>
      </c>
      <c r="D1591">
        <v>79.957061768000003</v>
      </c>
      <c r="E1591">
        <v>40</v>
      </c>
      <c r="F1591">
        <v>39.716583252</v>
      </c>
      <c r="G1591">
        <v>1342.0072021000001</v>
      </c>
      <c r="H1591">
        <v>1338.6514893000001</v>
      </c>
      <c r="I1591">
        <v>1324.119751</v>
      </c>
      <c r="J1591">
        <v>1321.0714111</v>
      </c>
      <c r="K1591">
        <v>1650</v>
      </c>
      <c r="L1591">
        <v>0</v>
      </c>
      <c r="M1591">
        <v>0</v>
      </c>
      <c r="N1591">
        <v>1650</v>
      </c>
    </row>
    <row r="1592" spans="1:14" x14ac:dyDescent="0.25">
      <c r="A1592">
        <v>1101.645295</v>
      </c>
      <c r="B1592" s="1">
        <f>DATE(2013,5,6) + TIME(15,29,13)</f>
        <v>41400.645289351851</v>
      </c>
      <c r="C1592">
        <v>80</v>
      </c>
      <c r="D1592">
        <v>79.958511353000006</v>
      </c>
      <c r="E1592">
        <v>40</v>
      </c>
      <c r="F1592">
        <v>39.709079742</v>
      </c>
      <c r="G1592">
        <v>1342.0058594</v>
      </c>
      <c r="H1592">
        <v>1338.6519774999999</v>
      </c>
      <c r="I1592">
        <v>1324.1193848</v>
      </c>
      <c r="J1592">
        <v>1321.0708007999999</v>
      </c>
      <c r="K1592">
        <v>1650</v>
      </c>
      <c r="L1592">
        <v>0</v>
      </c>
      <c r="M1592">
        <v>0</v>
      </c>
      <c r="N1592">
        <v>1650</v>
      </c>
    </row>
    <row r="1593" spans="1:14" x14ac:dyDescent="0.25">
      <c r="A1593">
        <v>1101.844186</v>
      </c>
      <c r="B1593" s="1">
        <f>DATE(2013,5,6) + TIME(20,15,37)</f>
        <v>41400.844178240739</v>
      </c>
      <c r="C1593">
        <v>80</v>
      </c>
      <c r="D1593">
        <v>79.959686278999996</v>
      </c>
      <c r="E1593">
        <v>40</v>
      </c>
      <c r="F1593">
        <v>39.701351166000002</v>
      </c>
      <c r="G1593">
        <v>1342.0039062000001</v>
      </c>
      <c r="H1593">
        <v>1338.6520995999999</v>
      </c>
      <c r="I1593">
        <v>1324.1190185999999</v>
      </c>
      <c r="J1593">
        <v>1321.0700684000001</v>
      </c>
      <c r="K1593">
        <v>1650</v>
      </c>
      <c r="L1593">
        <v>0</v>
      </c>
      <c r="M1593">
        <v>0</v>
      </c>
      <c r="N1593">
        <v>1650</v>
      </c>
    </row>
    <row r="1594" spans="1:14" x14ac:dyDescent="0.25">
      <c r="A1594">
        <v>1102.050808</v>
      </c>
      <c r="B1594" s="1">
        <f>DATE(2013,5,7) + TIME(1,13,9)</f>
        <v>41401.050798611112</v>
      </c>
      <c r="C1594">
        <v>80</v>
      </c>
      <c r="D1594">
        <v>79.960632324000002</v>
      </c>
      <c r="E1594">
        <v>40</v>
      </c>
      <c r="F1594">
        <v>39.693389893000003</v>
      </c>
      <c r="G1594">
        <v>1342.0013428</v>
      </c>
      <c r="H1594">
        <v>1338.6518555</v>
      </c>
      <c r="I1594">
        <v>1324.1186522999999</v>
      </c>
      <c r="J1594">
        <v>1321.0693358999999</v>
      </c>
      <c r="K1594">
        <v>1650</v>
      </c>
      <c r="L1594">
        <v>0</v>
      </c>
      <c r="M1594">
        <v>0</v>
      </c>
      <c r="N1594">
        <v>1650</v>
      </c>
    </row>
    <row r="1595" spans="1:14" x14ac:dyDescent="0.25">
      <c r="A1595">
        <v>1102.26325</v>
      </c>
      <c r="B1595" s="1">
        <f>DATE(2013,5,7) + TIME(6,19,4)</f>
        <v>41401.263240740744</v>
      </c>
      <c r="C1595">
        <v>80</v>
      </c>
      <c r="D1595">
        <v>79.961380004999995</v>
      </c>
      <c r="E1595">
        <v>40</v>
      </c>
      <c r="F1595">
        <v>39.685256957999997</v>
      </c>
      <c r="G1595">
        <v>1341.9982910000001</v>
      </c>
      <c r="H1595">
        <v>1338.6512451000001</v>
      </c>
      <c r="I1595">
        <v>1324.1182861</v>
      </c>
      <c r="J1595">
        <v>1321.0686035000001</v>
      </c>
      <c r="K1595">
        <v>1650</v>
      </c>
      <c r="L1595">
        <v>0</v>
      </c>
      <c r="M1595">
        <v>0</v>
      </c>
      <c r="N1595">
        <v>1650</v>
      </c>
    </row>
    <row r="1596" spans="1:14" x14ac:dyDescent="0.25">
      <c r="A1596">
        <v>1102.481186</v>
      </c>
      <c r="B1596" s="1">
        <f>DATE(2013,5,7) + TIME(11,32,54)</f>
        <v>41401.481180555558</v>
      </c>
      <c r="C1596">
        <v>80</v>
      </c>
      <c r="D1596">
        <v>79.961975097999996</v>
      </c>
      <c r="E1596">
        <v>40</v>
      </c>
      <c r="F1596">
        <v>39.676959990999997</v>
      </c>
      <c r="G1596">
        <v>1341.9946289</v>
      </c>
      <c r="H1596">
        <v>1338.6503906</v>
      </c>
      <c r="I1596">
        <v>1324.1179199000001</v>
      </c>
      <c r="J1596">
        <v>1321.0678711</v>
      </c>
      <c r="K1596">
        <v>1650</v>
      </c>
      <c r="L1596">
        <v>0</v>
      </c>
      <c r="M1596">
        <v>0</v>
      </c>
      <c r="N1596">
        <v>1650</v>
      </c>
    </row>
    <row r="1597" spans="1:14" x14ac:dyDescent="0.25">
      <c r="A1597">
        <v>1102.7046560000001</v>
      </c>
      <c r="B1597" s="1">
        <f>DATE(2013,5,7) + TIME(16,54,42)</f>
        <v>41401.704652777778</v>
      </c>
      <c r="C1597">
        <v>80</v>
      </c>
      <c r="D1597">
        <v>79.962448120000005</v>
      </c>
      <c r="E1597">
        <v>40</v>
      </c>
      <c r="F1597">
        <v>39.668506622000002</v>
      </c>
      <c r="G1597">
        <v>1341.9904785000001</v>
      </c>
      <c r="H1597">
        <v>1338.6491699000001</v>
      </c>
      <c r="I1597">
        <v>1324.1174315999999</v>
      </c>
      <c r="J1597">
        <v>1321.0671387</v>
      </c>
      <c r="K1597">
        <v>1650</v>
      </c>
      <c r="L1597">
        <v>0</v>
      </c>
      <c r="M1597">
        <v>0</v>
      </c>
      <c r="N1597">
        <v>1650</v>
      </c>
    </row>
    <row r="1598" spans="1:14" x14ac:dyDescent="0.25">
      <c r="A1598">
        <v>1102.9341649999999</v>
      </c>
      <c r="B1598" s="1">
        <f>DATE(2013,5,7) + TIME(22,25,11)</f>
        <v>41401.934155092589</v>
      </c>
      <c r="C1598">
        <v>80</v>
      </c>
      <c r="D1598">
        <v>79.962814331000004</v>
      </c>
      <c r="E1598">
        <v>40</v>
      </c>
      <c r="F1598">
        <v>39.659881591999998</v>
      </c>
      <c r="G1598">
        <v>1341.9858397999999</v>
      </c>
      <c r="H1598">
        <v>1338.6477050999999</v>
      </c>
      <c r="I1598">
        <v>1324.1170654</v>
      </c>
      <c r="J1598">
        <v>1321.0662841999999</v>
      </c>
      <c r="K1598">
        <v>1650</v>
      </c>
      <c r="L1598">
        <v>0</v>
      </c>
      <c r="M1598">
        <v>0</v>
      </c>
      <c r="N1598">
        <v>1650</v>
      </c>
    </row>
    <row r="1599" spans="1:14" x14ac:dyDescent="0.25">
      <c r="A1599">
        <v>1103.1702479999999</v>
      </c>
      <c r="B1599" s="1">
        <f>DATE(2013,5,8) + TIME(4,5,9)</f>
        <v>41402.170243055552</v>
      </c>
      <c r="C1599">
        <v>80</v>
      </c>
      <c r="D1599">
        <v>79.963111877000003</v>
      </c>
      <c r="E1599">
        <v>40</v>
      </c>
      <c r="F1599">
        <v>39.651065826</v>
      </c>
      <c r="G1599">
        <v>1341.9808350000001</v>
      </c>
      <c r="H1599">
        <v>1338.6459961</v>
      </c>
      <c r="I1599">
        <v>1324.1165771000001</v>
      </c>
      <c r="J1599">
        <v>1321.0654297000001</v>
      </c>
      <c r="K1599">
        <v>1650</v>
      </c>
      <c r="L1599">
        <v>0</v>
      </c>
      <c r="M1599">
        <v>0</v>
      </c>
      <c r="N1599">
        <v>1650</v>
      </c>
    </row>
    <row r="1600" spans="1:14" x14ac:dyDescent="0.25">
      <c r="A1600">
        <v>1103.413507</v>
      </c>
      <c r="B1600" s="1">
        <f>DATE(2013,5,8) + TIME(9,55,27)</f>
        <v>41402.413506944446</v>
      </c>
      <c r="C1600">
        <v>80</v>
      </c>
      <c r="D1600">
        <v>79.963340759000005</v>
      </c>
      <c r="E1600">
        <v>40</v>
      </c>
      <c r="F1600">
        <v>39.642044067</v>
      </c>
      <c r="G1600">
        <v>1341.9753418</v>
      </c>
      <c r="H1600">
        <v>1338.6441649999999</v>
      </c>
      <c r="I1600">
        <v>1324.1162108999999</v>
      </c>
      <c r="J1600">
        <v>1321.0646973</v>
      </c>
      <c r="K1600">
        <v>1650</v>
      </c>
      <c r="L1600">
        <v>0</v>
      </c>
      <c r="M1600">
        <v>0</v>
      </c>
      <c r="N1600">
        <v>1650</v>
      </c>
    </row>
    <row r="1601" spans="1:14" x14ac:dyDescent="0.25">
      <c r="A1601">
        <v>1103.664618</v>
      </c>
      <c r="B1601" s="1">
        <f>DATE(2013,5,8) + TIME(15,57,2)</f>
        <v>41402.664606481485</v>
      </c>
      <c r="C1601">
        <v>80</v>
      </c>
      <c r="D1601">
        <v>79.963523864999999</v>
      </c>
      <c r="E1601">
        <v>40</v>
      </c>
      <c r="F1601">
        <v>39.632801055999998</v>
      </c>
      <c r="G1601">
        <v>1341.9693603999999</v>
      </c>
      <c r="H1601">
        <v>1338.6419678</v>
      </c>
      <c r="I1601">
        <v>1324.1157227000001</v>
      </c>
      <c r="J1601">
        <v>1321.0638428</v>
      </c>
      <c r="K1601">
        <v>1650</v>
      </c>
      <c r="L1601">
        <v>0</v>
      </c>
      <c r="M1601">
        <v>0</v>
      </c>
      <c r="N1601">
        <v>1650</v>
      </c>
    </row>
    <row r="1602" spans="1:14" x14ac:dyDescent="0.25">
      <c r="A1602">
        <v>1103.924342</v>
      </c>
      <c r="B1602" s="1">
        <f>DATE(2013,5,8) + TIME(22,11,3)</f>
        <v>41402.924340277779</v>
      </c>
      <c r="C1602">
        <v>80</v>
      </c>
      <c r="D1602">
        <v>79.963661193999997</v>
      </c>
      <c r="E1602">
        <v>40</v>
      </c>
      <c r="F1602">
        <v>39.623313904</v>
      </c>
      <c r="G1602">
        <v>1341.9630127</v>
      </c>
      <c r="H1602">
        <v>1338.6395264</v>
      </c>
      <c r="I1602">
        <v>1324.1152344</v>
      </c>
      <c r="J1602">
        <v>1321.0628661999999</v>
      </c>
      <c r="K1602">
        <v>1650</v>
      </c>
      <c r="L1602">
        <v>0</v>
      </c>
      <c r="M1602">
        <v>0</v>
      </c>
      <c r="N1602">
        <v>1650</v>
      </c>
    </row>
    <row r="1603" spans="1:14" x14ac:dyDescent="0.25">
      <c r="A1603">
        <v>1104.19172</v>
      </c>
      <c r="B1603" s="1">
        <f>DATE(2013,5,9) + TIME(4,36,4)</f>
        <v>41403.191712962966</v>
      </c>
      <c r="C1603">
        <v>80</v>
      </c>
      <c r="D1603">
        <v>79.963768005000006</v>
      </c>
      <c r="E1603">
        <v>40</v>
      </c>
      <c r="F1603">
        <v>39.613609314000001</v>
      </c>
      <c r="G1603">
        <v>1341.9562988</v>
      </c>
      <c r="H1603">
        <v>1338.6368408000001</v>
      </c>
      <c r="I1603">
        <v>1324.1147461</v>
      </c>
      <c r="J1603">
        <v>1321.0620117000001</v>
      </c>
      <c r="K1603">
        <v>1650</v>
      </c>
      <c r="L1603">
        <v>0</v>
      </c>
      <c r="M1603">
        <v>0</v>
      </c>
      <c r="N1603">
        <v>1650</v>
      </c>
    </row>
    <row r="1604" spans="1:14" x14ac:dyDescent="0.25">
      <c r="A1604">
        <v>1104.466005</v>
      </c>
      <c r="B1604" s="1">
        <f>DATE(2013,5,9) + TIME(11,11,2)</f>
        <v>41403.465995370374</v>
      </c>
      <c r="C1604">
        <v>80</v>
      </c>
      <c r="D1604">
        <v>79.963844299000002</v>
      </c>
      <c r="E1604">
        <v>40</v>
      </c>
      <c r="F1604">
        <v>39.603713988999999</v>
      </c>
      <c r="G1604">
        <v>1341.9492187999999</v>
      </c>
      <c r="H1604">
        <v>1338.6340332</v>
      </c>
      <c r="I1604">
        <v>1324.1141356999999</v>
      </c>
      <c r="J1604">
        <v>1321.0610352000001</v>
      </c>
      <c r="K1604">
        <v>1650</v>
      </c>
      <c r="L1604">
        <v>0</v>
      </c>
      <c r="M1604">
        <v>0</v>
      </c>
      <c r="N1604">
        <v>1650</v>
      </c>
    </row>
    <row r="1605" spans="1:14" x14ac:dyDescent="0.25">
      <c r="A1605">
        <v>1104.741638</v>
      </c>
      <c r="B1605" s="1">
        <f>DATE(2013,5,9) + TIME(17,47,57)</f>
        <v>41403.741631944446</v>
      </c>
      <c r="C1605">
        <v>80</v>
      </c>
      <c r="D1605">
        <v>79.963905334000003</v>
      </c>
      <c r="E1605">
        <v>40</v>
      </c>
      <c r="F1605">
        <v>39.593799591</v>
      </c>
      <c r="G1605">
        <v>1341.9418945</v>
      </c>
      <c r="H1605">
        <v>1338.6311035000001</v>
      </c>
      <c r="I1605">
        <v>1324.1136475000001</v>
      </c>
      <c r="J1605">
        <v>1321.0600586</v>
      </c>
      <c r="K1605">
        <v>1650</v>
      </c>
      <c r="L1605">
        <v>0</v>
      </c>
      <c r="M1605">
        <v>0</v>
      </c>
      <c r="N1605">
        <v>1650</v>
      </c>
    </row>
    <row r="1606" spans="1:14" x14ac:dyDescent="0.25">
      <c r="A1606">
        <v>1105.019288</v>
      </c>
      <c r="B1606" s="1">
        <f>DATE(2013,5,10) + TIME(0,27,46)</f>
        <v>41404.019282407404</v>
      </c>
      <c r="C1606">
        <v>80</v>
      </c>
      <c r="D1606">
        <v>79.963943481000001</v>
      </c>
      <c r="E1606">
        <v>40</v>
      </c>
      <c r="F1606">
        <v>39.583847046000002</v>
      </c>
      <c r="G1606">
        <v>1341.9344481999999</v>
      </c>
      <c r="H1606">
        <v>1338.6280518000001</v>
      </c>
      <c r="I1606">
        <v>1324.1131591999999</v>
      </c>
      <c r="J1606">
        <v>1321.059082</v>
      </c>
      <c r="K1606">
        <v>1650</v>
      </c>
      <c r="L1606">
        <v>0</v>
      </c>
      <c r="M1606">
        <v>0</v>
      </c>
      <c r="N1606">
        <v>1650</v>
      </c>
    </row>
    <row r="1607" spans="1:14" x14ac:dyDescent="0.25">
      <c r="A1607">
        <v>1105.2996720000001</v>
      </c>
      <c r="B1607" s="1">
        <f>DATE(2013,5,10) + TIME(7,11,31)</f>
        <v>41404.299664351849</v>
      </c>
      <c r="C1607">
        <v>80</v>
      </c>
      <c r="D1607">
        <v>79.963966369999994</v>
      </c>
      <c r="E1607">
        <v>40</v>
      </c>
      <c r="F1607">
        <v>39.573844909999998</v>
      </c>
      <c r="G1607">
        <v>1341.9268798999999</v>
      </c>
      <c r="H1607">
        <v>1338.625</v>
      </c>
      <c r="I1607">
        <v>1324.1125488</v>
      </c>
      <c r="J1607">
        <v>1321.0581055</v>
      </c>
      <c r="K1607">
        <v>1650</v>
      </c>
      <c r="L1607">
        <v>0</v>
      </c>
      <c r="M1607">
        <v>0</v>
      </c>
      <c r="N1607">
        <v>1650</v>
      </c>
    </row>
    <row r="1608" spans="1:14" x14ac:dyDescent="0.25">
      <c r="A1608">
        <v>1105.5833990000001</v>
      </c>
      <c r="B1608" s="1">
        <f>DATE(2013,5,10) + TIME(14,0,5)</f>
        <v>41404.583391203705</v>
      </c>
      <c r="C1608">
        <v>80</v>
      </c>
      <c r="D1608">
        <v>79.963981627999999</v>
      </c>
      <c r="E1608">
        <v>40</v>
      </c>
      <c r="F1608">
        <v>39.563777924</v>
      </c>
      <c r="G1608">
        <v>1341.9191894999999</v>
      </c>
      <c r="H1608">
        <v>1338.6218262</v>
      </c>
      <c r="I1608">
        <v>1324.1119385</v>
      </c>
      <c r="J1608">
        <v>1321.0571289</v>
      </c>
      <c r="K1608">
        <v>1650</v>
      </c>
      <c r="L1608">
        <v>0</v>
      </c>
      <c r="M1608">
        <v>0</v>
      </c>
      <c r="N1608">
        <v>1650</v>
      </c>
    </row>
    <row r="1609" spans="1:14" x14ac:dyDescent="0.25">
      <c r="A1609">
        <v>1105.871075</v>
      </c>
      <c r="B1609" s="1">
        <f>DATE(2013,5,10) + TIME(20,54,20)</f>
        <v>41404.871064814812</v>
      </c>
      <c r="C1609">
        <v>80</v>
      </c>
      <c r="D1609">
        <v>79.963981627999999</v>
      </c>
      <c r="E1609">
        <v>40</v>
      </c>
      <c r="F1609">
        <v>39.553630828999999</v>
      </c>
      <c r="G1609">
        <v>1341.9113769999999</v>
      </c>
      <c r="H1609">
        <v>1338.6185303</v>
      </c>
      <c r="I1609">
        <v>1324.1114502</v>
      </c>
      <c r="J1609">
        <v>1321.0560303</v>
      </c>
      <c r="K1609">
        <v>1650</v>
      </c>
      <c r="L1609">
        <v>0</v>
      </c>
      <c r="M1609">
        <v>0</v>
      </c>
      <c r="N1609">
        <v>1650</v>
      </c>
    </row>
    <row r="1610" spans="1:14" x14ac:dyDescent="0.25">
      <c r="A1610">
        <v>1106.1633710000001</v>
      </c>
      <c r="B1610" s="1">
        <f>DATE(2013,5,11) + TIME(3,55,15)</f>
        <v>41405.163368055553</v>
      </c>
      <c r="C1610">
        <v>80</v>
      </c>
      <c r="D1610">
        <v>79.963973999000004</v>
      </c>
      <c r="E1610">
        <v>40</v>
      </c>
      <c r="F1610">
        <v>39.543384551999999</v>
      </c>
      <c r="G1610">
        <v>1341.9034423999999</v>
      </c>
      <c r="H1610">
        <v>1338.6152344</v>
      </c>
      <c r="I1610">
        <v>1324.1108397999999</v>
      </c>
      <c r="J1610">
        <v>1321.0550536999999</v>
      </c>
      <c r="K1610">
        <v>1650</v>
      </c>
      <c r="L1610">
        <v>0</v>
      </c>
      <c r="M1610">
        <v>0</v>
      </c>
      <c r="N1610">
        <v>1650</v>
      </c>
    </row>
    <row r="1611" spans="1:14" x14ac:dyDescent="0.25">
      <c r="A1611">
        <v>1106.460988</v>
      </c>
      <c r="B1611" s="1">
        <f>DATE(2013,5,11) + TIME(11,3,49)</f>
        <v>41405.4609837963</v>
      </c>
      <c r="C1611">
        <v>80</v>
      </c>
      <c r="D1611">
        <v>79.963966369999994</v>
      </c>
      <c r="E1611">
        <v>40</v>
      </c>
      <c r="F1611">
        <v>39.533027648999997</v>
      </c>
      <c r="G1611">
        <v>1341.8953856999999</v>
      </c>
      <c r="H1611">
        <v>1338.6119385</v>
      </c>
      <c r="I1611">
        <v>1324.1102295000001</v>
      </c>
      <c r="J1611">
        <v>1321.0539550999999</v>
      </c>
      <c r="K1611">
        <v>1650</v>
      </c>
      <c r="L1611">
        <v>0</v>
      </c>
      <c r="M1611">
        <v>0</v>
      </c>
      <c r="N1611">
        <v>1650</v>
      </c>
    </row>
    <row r="1612" spans="1:14" x14ac:dyDescent="0.25">
      <c r="A1612">
        <v>1106.764666</v>
      </c>
      <c r="B1612" s="1">
        <f>DATE(2013,5,11) + TIME(18,21,7)</f>
        <v>41405.764664351853</v>
      </c>
      <c r="C1612">
        <v>80</v>
      </c>
      <c r="D1612">
        <v>79.963951111</v>
      </c>
      <c r="E1612">
        <v>40</v>
      </c>
      <c r="F1612">
        <v>39.522537231000001</v>
      </c>
      <c r="G1612">
        <v>1341.887207</v>
      </c>
      <c r="H1612">
        <v>1338.6083983999999</v>
      </c>
      <c r="I1612">
        <v>1324.1096190999999</v>
      </c>
      <c r="J1612">
        <v>1321.0528564000001</v>
      </c>
      <c r="K1612">
        <v>1650</v>
      </c>
      <c r="L1612">
        <v>0</v>
      </c>
      <c r="M1612">
        <v>0</v>
      </c>
      <c r="N1612">
        <v>1650</v>
      </c>
    </row>
    <row r="1613" spans="1:14" x14ac:dyDescent="0.25">
      <c r="A1613">
        <v>1107.0755160000001</v>
      </c>
      <c r="B1613" s="1">
        <f>DATE(2013,5,12) + TIME(1,48,44)</f>
        <v>41406.075509259259</v>
      </c>
      <c r="C1613">
        <v>80</v>
      </c>
      <c r="D1613">
        <v>79.963928222999996</v>
      </c>
      <c r="E1613">
        <v>40</v>
      </c>
      <c r="F1613">
        <v>39.511882782000001</v>
      </c>
      <c r="G1613">
        <v>1341.8785399999999</v>
      </c>
      <c r="H1613">
        <v>1338.6047363</v>
      </c>
      <c r="I1613">
        <v>1324.1090088000001</v>
      </c>
      <c r="J1613">
        <v>1321.0517577999999</v>
      </c>
      <c r="K1613">
        <v>1650</v>
      </c>
      <c r="L1613">
        <v>0</v>
      </c>
      <c r="M1613">
        <v>0</v>
      </c>
      <c r="N1613">
        <v>1650</v>
      </c>
    </row>
    <row r="1614" spans="1:14" x14ac:dyDescent="0.25">
      <c r="A1614">
        <v>1107.3951320000001</v>
      </c>
      <c r="B1614" s="1">
        <f>DATE(2013,5,12) + TIME(9,28,59)</f>
        <v>41406.395127314812</v>
      </c>
      <c r="C1614">
        <v>80</v>
      </c>
      <c r="D1614">
        <v>79.963897704999994</v>
      </c>
      <c r="E1614">
        <v>40</v>
      </c>
      <c r="F1614">
        <v>39.501022339000002</v>
      </c>
      <c r="G1614">
        <v>1341.8698730000001</v>
      </c>
      <c r="H1614">
        <v>1338.6009521000001</v>
      </c>
      <c r="I1614">
        <v>1324.1083983999999</v>
      </c>
      <c r="J1614">
        <v>1321.0506591999999</v>
      </c>
      <c r="K1614">
        <v>1650</v>
      </c>
      <c r="L1614">
        <v>0</v>
      </c>
      <c r="M1614">
        <v>0</v>
      </c>
      <c r="N1614">
        <v>1650</v>
      </c>
    </row>
    <row r="1615" spans="1:14" x14ac:dyDescent="0.25">
      <c r="A1615">
        <v>1107.7246210000001</v>
      </c>
      <c r="B1615" s="1">
        <f>DATE(2013,5,12) + TIME(17,23,27)</f>
        <v>41406.724618055552</v>
      </c>
      <c r="C1615">
        <v>80</v>
      </c>
      <c r="D1615">
        <v>79.963867187999995</v>
      </c>
      <c r="E1615">
        <v>40</v>
      </c>
      <c r="F1615">
        <v>39.489929199000002</v>
      </c>
      <c r="G1615">
        <v>1341.8610839999999</v>
      </c>
      <c r="H1615">
        <v>1338.597168</v>
      </c>
      <c r="I1615">
        <v>1324.1076660000001</v>
      </c>
      <c r="J1615">
        <v>1321.0494385</v>
      </c>
      <c r="K1615">
        <v>1650</v>
      </c>
      <c r="L1615">
        <v>0</v>
      </c>
      <c r="M1615">
        <v>0</v>
      </c>
      <c r="N1615">
        <v>1650</v>
      </c>
    </row>
    <row r="1616" spans="1:14" x14ac:dyDescent="0.25">
      <c r="A1616">
        <v>1108.062872</v>
      </c>
      <c r="B1616" s="1">
        <f>DATE(2013,5,13) + TIME(1,30,32)</f>
        <v>41407.06287037037</v>
      </c>
      <c r="C1616">
        <v>80</v>
      </c>
      <c r="D1616">
        <v>79.963829040999997</v>
      </c>
      <c r="E1616">
        <v>40</v>
      </c>
      <c r="F1616">
        <v>39.478630066000001</v>
      </c>
      <c r="G1616">
        <v>1341.8520507999999</v>
      </c>
      <c r="H1616">
        <v>1338.5933838000001</v>
      </c>
      <c r="I1616">
        <v>1324.1070557</v>
      </c>
      <c r="J1616">
        <v>1321.0482178</v>
      </c>
      <c r="K1616">
        <v>1650</v>
      </c>
      <c r="L1616">
        <v>0</v>
      </c>
      <c r="M1616">
        <v>0</v>
      </c>
      <c r="N1616">
        <v>1650</v>
      </c>
    </row>
    <row r="1617" spans="1:14" x14ac:dyDescent="0.25">
      <c r="A1617">
        <v>1108.4072570000001</v>
      </c>
      <c r="B1617" s="1">
        <f>DATE(2013,5,13) + TIME(9,46,27)</f>
        <v>41407.407256944447</v>
      </c>
      <c r="C1617">
        <v>80</v>
      </c>
      <c r="D1617">
        <v>79.963790893999999</v>
      </c>
      <c r="E1617">
        <v>40</v>
      </c>
      <c r="F1617">
        <v>39.467197417999998</v>
      </c>
      <c r="G1617">
        <v>1341.8430175999999</v>
      </c>
      <c r="H1617">
        <v>1338.5894774999999</v>
      </c>
      <c r="I1617">
        <v>1324.1063231999999</v>
      </c>
      <c r="J1617">
        <v>1321.0469971</v>
      </c>
      <c r="K1617">
        <v>1650</v>
      </c>
      <c r="L1617">
        <v>0</v>
      </c>
      <c r="M1617">
        <v>0</v>
      </c>
      <c r="N1617">
        <v>1650</v>
      </c>
    </row>
    <row r="1618" spans="1:14" x14ac:dyDescent="0.25">
      <c r="A1618">
        <v>1108.7586080000001</v>
      </c>
      <c r="B1618" s="1">
        <f>DATE(2013,5,13) + TIME(18,12,23)</f>
        <v>41407.758599537039</v>
      </c>
      <c r="C1618">
        <v>80</v>
      </c>
      <c r="D1618">
        <v>79.963752747000001</v>
      </c>
      <c r="E1618">
        <v>40</v>
      </c>
      <c r="F1618">
        <v>39.455608368</v>
      </c>
      <c r="G1618">
        <v>1341.8339844</v>
      </c>
      <c r="H1618">
        <v>1338.5855713000001</v>
      </c>
      <c r="I1618">
        <v>1324.1055908000001</v>
      </c>
      <c r="J1618">
        <v>1321.0456543</v>
      </c>
      <c r="K1618">
        <v>1650</v>
      </c>
      <c r="L1618">
        <v>0</v>
      </c>
      <c r="M1618">
        <v>0</v>
      </c>
      <c r="N1618">
        <v>1650</v>
      </c>
    </row>
    <row r="1619" spans="1:14" x14ac:dyDescent="0.25">
      <c r="A1619">
        <v>1109.117753</v>
      </c>
      <c r="B1619" s="1">
        <f>DATE(2013,5,14) + TIME(2,49,33)</f>
        <v>41408.117743055554</v>
      </c>
      <c r="C1619">
        <v>80</v>
      </c>
      <c r="D1619">
        <v>79.963706970000004</v>
      </c>
      <c r="E1619">
        <v>40</v>
      </c>
      <c r="F1619">
        <v>39.443855286000002</v>
      </c>
      <c r="G1619">
        <v>1341.8248291</v>
      </c>
      <c r="H1619">
        <v>1338.5816649999999</v>
      </c>
      <c r="I1619">
        <v>1324.1048584</v>
      </c>
      <c r="J1619">
        <v>1321.0443115</v>
      </c>
      <c r="K1619">
        <v>1650</v>
      </c>
      <c r="L1619">
        <v>0</v>
      </c>
      <c r="M1619">
        <v>0</v>
      </c>
      <c r="N1619">
        <v>1650</v>
      </c>
    </row>
    <row r="1620" spans="1:14" x14ac:dyDescent="0.25">
      <c r="A1620">
        <v>1109.483573</v>
      </c>
      <c r="B1620" s="1">
        <f>DATE(2013,5,14) + TIME(11,36,20)</f>
        <v>41408.483564814815</v>
      </c>
      <c r="C1620">
        <v>80</v>
      </c>
      <c r="D1620">
        <v>79.963668823000006</v>
      </c>
      <c r="E1620">
        <v>40</v>
      </c>
      <c r="F1620">
        <v>39.431961059999999</v>
      </c>
      <c r="G1620">
        <v>1341.8156738</v>
      </c>
      <c r="H1620">
        <v>1338.5778809000001</v>
      </c>
      <c r="I1620">
        <v>1324.104126</v>
      </c>
      <c r="J1620">
        <v>1321.0429687999999</v>
      </c>
      <c r="K1620">
        <v>1650</v>
      </c>
      <c r="L1620">
        <v>0</v>
      </c>
      <c r="M1620">
        <v>0</v>
      </c>
      <c r="N1620">
        <v>1650</v>
      </c>
    </row>
    <row r="1621" spans="1:14" x14ac:dyDescent="0.25">
      <c r="A1621">
        <v>1109.855061</v>
      </c>
      <c r="B1621" s="1">
        <f>DATE(2013,5,14) + TIME(20,31,17)</f>
        <v>41408.855057870373</v>
      </c>
      <c r="C1621">
        <v>80</v>
      </c>
      <c r="D1621">
        <v>79.963623046999999</v>
      </c>
      <c r="E1621">
        <v>40</v>
      </c>
      <c r="F1621">
        <v>39.419960021999998</v>
      </c>
      <c r="G1621">
        <v>1341.8063964999999</v>
      </c>
      <c r="H1621">
        <v>1338.5739745999999</v>
      </c>
      <c r="I1621">
        <v>1324.1032714999999</v>
      </c>
      <c r="J1621">
        <v>1321.0415039</v>
      </c>
      <c r="K1621">
        <v>1650</v>
      </c>
      <c r="L1621">
        <v>0</v>
      </c>
      <c r="M1621">
        <v>0</v>
      </c>
      <c r="N1621">
        <v>1650</v>
      </c>
    </row>
    <row r="1622" spans="1:14" x14ac:dyDescent="0.25">
      <c r="A1622">
        <v>1110.2329629999999</v>
      </c>
      <c r="B1622" s="1">
        <f>DATE(2013,5,15) + TIME(5,35,27)</f>
        <v>41409.232951388891</v>
      </c>
      <c r="C1622">
        <v>80</v>
      </c>
      <c r="D1622">
        <v>79.963569641000007</v>
      </c>
      <c r="E1622">
        <v>40</v>
      </c>
      <c r="F1622">
        <v>39.407836914000001</v>
      </c>
      <c r="G1622">
        <v>1341.7972411999999</v>
      </c>
      <c r="H1622">
        <v>1338.5700684000001</v>
      </c>
      <c r="I1622">
        <v>1324.1024170000001</v>
      </c>
      <c r="J1622">
        <v>1321.0401611</v>
      </c>
      <c r="K1622">
        <v>1650</v>
      </c>
      <c r="L1622">
        <v>0</v>
      </c>
      <c r="M1622">
        <v>0</v>
      </c>
      <c r="N1622">
        <v>1650</v>
      </c>
    </row>
    <row r="1623" spans="1:14" x14ac:dyDescent="0.25">
      <c r="A1623">
        <v>1110.6181039999999</v>
      </c>
      <c r="B1623" s="1">
        <f>DATE(2013,5,15) + TIME(14,50,4)</f>
        <v>41409.618101851855</v>
      </c>
      <c r="C1623">
        <v>80</v>
      </c>
      <c r="D1623">
        <v>79.963523864999999</v>
      </c>
      <c r="E1623">
        <v>40</v>
      </c>
      <c r="F1623">
        <v>39.395576476999999</v>
      </c>
      <c r="G1623">
        <v>1341.7880858999999</v>
      </c>
      <c r="H1623">
        <v>1338.5662841999999</v>
      </c>
      <c r="I1623">
        <v>1324.1016846</v>
      </c>
      <c r="J1623">
        <v>1321.0385742000001</v>
      </c>
      <c r="K1623">
        <v>1650</v>
      </c>
      <c r="L1623">
        <v>0</v>
      </c>
      <c r="M1623">
        <v>0</v>
      </c>
      <c r="N1623">
        <v>1650</v>
      </c>
    </row>
    <row r="1624" spans="1:14" x14ac:dyDescent="0.25">
      <c r="A1624">
        <v>1111.0113690000001</v>
      </c>
      <c r="B1624" s="1">
        <f>DATE(2013,5,16) + TIME(0,16,22)</f>
        <v>41410.011365740742</v>
      </c>
      <c r="C1624">
        <v>80</v>
      </c>
      <c r="D1624">
        <v>79.963478088000002</v>
      </c>
      <c r="E1624">
        <v>40</v>
      </c>
      <c r="F1624">
        <v>39.383163451999998</v>
      </c>
      <c r="G1624">
        <v>1341.7789307</v>
      </c>
      <c r="H1624">
        <v>1338.5625</v>
      </c>
      <c r="I1624">
        <v>1324.1008300999999</v>
      </c>
      <c r="J1624">
        <v>1321.0371094</v>
      </c>
      <c r="K1624">
        <v>1650</v>
      </c>
      <c r="L1624">
        <v>0</v>
      </c>
      <c r="M1624">
        <v>0</v>
      </c>
      <c r="N1624">
        <v>1650</v>
      </c>
    </row>
    <row r="1625" spans="1:14" x14ac:dyDescent="0.25">
      <c r="A1625">
        <v>1111.413706</v>
      </c>
      <c r="B1625" s="1">
        <f>DATE(2013,5,16) + TIME(9,55,44)</f>
        <v>41410.413703703707</v>
      </c>
      <c r="C1625">
        <v>80</v>
      </c>
      <c r="D1625">
        <v>79.963424683</v>
      </c>
      <c r="E1625">
        <v>40</v>
      </c>
      <c r="F1625">
        <v>39.370571136000002</v>
      </c>
      <c r="G1625">
        <v>1341.7697754000001</v>
      </c>
      <c r="H1625">
        <v>1338.5585937999999</v>
      </c>
      <c r="I1625">
        <v>1324.0998535000001</v>
      </c>
      <c r="J1625">
        <v>1321.0355225000001</v>
      </c>
      <c r="K1625">
        <v>1650</v>
      </c>
      <c r="L1625">
        <v>0</v>
      </c>
      <c r="M1625">
        <v>0</v>
      </c>
      <c r="N1625">
        <v>1650</v>
      </c>
    </row>
    <row r="1626" spans="1:14" x14ac:dyDescent="0.25">
      <c r="A1626">
        <v>1111.826176</v>
      </c>
      <c r="B1626" s="1">
        <f>DATE(2013,5,16) + TIME(19,49,41)</f>
        <v>41410.826168981483</v>
      </c>
      <c r="C1626">
        <v>80</v>
      </c>
      <c r="D1626">
        <v>79.963371276999993</v>
      </c>
      <c r="E1626">
        <v>40</v>
      </c>
      <c r="F1626">
        <v>39.357776641999997</v>
      </c>
      <c r="G1626">
        <v>1341.7606201000001</v>
      </c>
      <c r="H1626">
        <v>1338.5548096</v>
      </c>
      <c r="I1626">
        <v>1324.098999</v>
      </c>
      <c r="J1626">
        <v>1321.0339355000001</v>
      </c>
      <c r="K1626">
        <v>1650</v>
      </c>
      <c r="L1626">
        <v>0</v>
      </c>
      <c r="M1626">
        <v>0</v>
      </c>
      <c r="N1626">
        <v>1650</v>
      </c>
    </row>
    <row r="1627" spans="1:14" x14ac:dyDescent="0.25">
      <c r="A1627">
        <v>1112.2506550000001</v>
      </c>
      <c r="B1627" s="1">
        <f>DATE(2013,5,17) + TIME(6,0,56)</f>
        <v>41411.250648148147</v>
      </c>
      <c r="C1627">
        <v>80</v>
      </c>
      <c r="D1627">
        <v>79.963325499999996</v>
      </c>
      <c r="E1627">
        <v>40</v>
      </c>
      <c r="F1627">
        <v>39.344745635999999</v>
      </c>
      <c r="G1627">
        <v>1341.7513428</v>
      </c>
      <c r="H1627">
        <v>1338.5509033000001</v>
      </c>
      <c r="I1627">
        <v>1324.0980225000001</v>
      </c>
      <c r="J1627">
        <v>1321.0322266000001</v>
      </c>
      <c r="K1627">
        <v>1650</v>
      </c>
      <c r="L1627">
        <v>0</v>
      </c>
      <c r="M1627">
        <v>0</v>
      </c>
      <c r="N1627">
        <v>1650</v>
      </c>
    </row>
    <row r="1628" spans="1:14" x14ac:dyDescent="0.25">
      <c r="A1628">
        <v>1112.688228</v>
      </c>
      <c r="B1628" s="1">
        <f>DATE(2013,5,17) + TIME(16,31,2)</f>
        <v>41411.688217592593</v>
      </c>
      <c r="C1628">
        <v>80</v>
      </c>
      <c r="D1628">
        <v>79.963272094999994</v>
      </c>
      <c r="E1628">
        <v>40</v>
      </c>
      <c r="F1628">
        <v>39.331447601000001</v>
      </c>
      <c r="G1628">
        <v>1341.7419434000001</v>
      </c>
      <c r="H1628">
        <v>1338.5471190999999</v>
      </c>
      <c r="I1628">
        <v>1324.0970459</v>
      </c>
      <c r="J1628">
        <v>1321.0305175999999</v>
      </c>
      <c r="K1628">
        <v>1650</v>
      </c>
      <c r="L1628">
        <v>0</v>
      </c>
      <c r="M1628">
        <v>0</v>
      </c>
      <c r="N1628">
        <v>1650</v>
      </c>
    </row>
    <row r="1629" spans="1:14" x14ac:dyDescent="0.25">
      <c r="A1629">
        <v>1113.1305789999999</v>
      </c>
      <c r="B1629" s="1">
        <f>DATE(2013,5,18) + TIME(3,8,2)</f>
        <v>41412.130578703705</v>
      </c>
      <c r="C1629">
        <v>80</v>
      </c>
      <c r="D1629">
        <v>79.963218689000001</v>
      </c>
      <c r="E1629">
        <v>40</v>
      </c>
      <c r="F1629">
        <v>39.318073273000003</v>
      </c>
      <c r="G1629">
        <v>1341.7324219</v>
      </c>
      <c r="H1629">
        <v>1338.5432129000001</v>
      </c>
      <c r="I1629">
        <v>1324.0960693</v>
      </c>
      <c r="J1629">
        <v>1321.0286865</v>
      </c>
      <c r="K1629">
        <v>1650</v>
      </c>
      <c r="L1629">
        <v>0</v>
      </c>
      <c r="M1629">
        <v>0</v>
      </c>
      <c r="N1629">
        <v>1650</v>
      </c>
    </row>
    <row r="1630" spans="1:14" x14ac:dyDescent="0.25">
      <c r="A1630">
        <v>1113.578921</v>
      </c>
      <c r="B1630" s="1">
        <f>DATE(2013,5,18) + TIME(13,53,38)</f>
        <v>41412.578912037039</v>
      </c>
      <c r="C1630">
        <v>80</v>
      </c>
      <c r="D1630">
        <v>79.963165282999995</v>
      </c>
      <c r="E1630">
        <v>40</v>
      </c>
      <c r="F1630">
        <v>39.304607390999998</v>
      </c>
      <c r="G1630">
        <v>1341.7230225000001</v>
      </c>
      <c r="H1630">
        <v>1338.5393065999999</v>
      </c>
      <c r="I1630">
        <v>1324.0949707</v>
      </c>
      <c r="J1630">
        <v>1321.0268555</v>
      </c>
      <c r="K1630">
        <v>1650</v>
      </c>
      <c r="L1630">
        <v>0</v>
      </c>
      <c r="M1630">
        <v>0</v>
      </c>
      <c r="N1630">
        <v>1650</v>
      </c>
    </row>
    <row r="1631" spans="1:14" x14ac:dyDescent="0.25">
      <c r="A1631">
        <v>1114.0354319999999</v>
      </c>
      <c r="B1631" s="1">
        <f>DATE(2013,5,19) + TIME(0,51,1)</f>
        <v>41413.035428240742</v>
      </c>
      <c r="C1631">
        <v>80</v>
      </c>
      <c r="D1631">
        <v>79.963111877000003</v>
      </c>
      <c r="E1631">
        <v>40</v>
      </c>
      <c r="F1631">
        <v>39.291011810000001</v>
      </c>
      <c r="G1631">
        <v>1341.7136230000001</v>
      </c>
      <c r="H1631">
        <v>1338.5354004000001</v>
      </c>
      <c r="I1631">
        <v>1324.0939940999999</v>
      </c>
      <c r="J1631">
        <v>1321.0249022999999</v>
      </c>
      <c r="K1631">
        <v>1650</v>
      </c>
      <c r="L1631">
        <v>0</v>
      </c>
      <c r="M1631">
        <v>0</v>
      </c>
      <c r="N1631">
        <v>1650</v>
      </c>
    </row>
    <row r="1632" spans="1:14" x14ac:dyDescent="0.25">
      <c r="A1632">
        <v>1114.4988599999999</v>
      </c>
      <c r="B1632" s="1">
        <f>DATE(2013,5,19) + TIME(11,58,21)</f>
        <v>41413.498854166668</v>
      </c>
      <c r="C1632">
        <v>80</v>
      </c>
      <c r="D1632">
        <v>79.963050842000001</v>
      </c>
      <c r="E1632">
        <v>40</v>
      </c>
      <c r="F1632">
        <v>39.277317046999997</v>
      </c>
      <c r="G1632">
        <v>1341.7042236</v>
      </c>
      <c r="H1632">
        <v>1338.5316161999999</v>
      </c>
      <c r="I1632">
        <v>1324.0928954999999</v>
      </c>
      <c r="J1632">
        <v>1321.0229492000001</v>
      </c>
      <c r="K1632">
        <v>1650</v>
      </c>
      <c r="L1632">
        <v>0</v>
      </c>
      <c r="M1632">
        <v>0</v>
      </c>
      <c r="N1632">
        <v>1650</v>
      </c>
    </row>
    <row r="1633" spans="1:14" x14ac:dyDescent="0.25">
      <c r="A1633">
        <v>1114.971759</v>
      </c>
      <c r="B1633" s="1">
        <f>DATE(2013,5,19) + TIME(23,19,20)</f>
        <v>41413.971759259257</v>
      </c>
      <c r="C1633">
        <v>80</v>
      </c>
      <c r="D1633">
        <v>79.962997436999999</v>
      </c>
      <c r="E1633">
        <v>40</v>
      </c>
      <c r="F1633">
        <v>39.263481140000003</v>
      </c>
      <c r="G1633">
        <v>1341.6949463000001</v>
      </c>
      <c r="H1633">
        <v>1338.527832</v>
      </c>
      <c r="I1633">
        <v>1324.0916748</v>
      </c>
      <c r="J1633">
        <v>1321.0209961</v>
      </c>
      <c r="K1633">
        <v>1650</v>
      </c>
      <c r="L1633">
        <v>0</v>
      </c>
      <c r="M1633">
        <v>0</v>
      </c>
      <c r="N1633">
        <v>1650</v>
      </c>
    </row>
    <row r="1634" spans="1:14" x14ac:dyDescent="0.25">
      <c r="A1634">
        <v>1115.4561510000001</v>
      </c>
      <c r="B1634" s="1">
        <f>DATE(2013,5,20) + TIME(10,56,51)</f>
        <v>41414.456145833334</v>
      </c>
      <c r="C1634">
        <v>80</v>
      </c>
      <c r="D1634">
        <v>79.962944031000006</v>
      </c>
      <c r="E1634">
        <v>40</v>
      </c>
      <c r="F1634">
        <v>39.249458312999998</v>
      </c>
      <c r="G1634">
        <v>1341.6856689000001</v>
      </c>
      <c r="H1634">
        <v>1338.5240478999999</v>
      </c>
      <c r="I1634">
        <v>1324.0905762</v>
      </c>
      <c r="J1634">
        <v>1321.0189209</v>
      </c>
      <c r="K1634">
        <v>1650</v>
      </c>
      <c r="L1634">
        <v>0</v>
      </c>
      <c r="M1634">
        <v>0</v>
      </c>
      <c r="N1634">
        <v>1650</v>
      </c>
    </row>
    <row r="1635" spans="1:14" x14ac:dyDescent="0.25">
      <c r="A1635">
        <v>1115.9537069999999</v>
      </c>
      <c r="B1635" s="1">
        <f>DATE(2013,5,20) + TIME(22,53,20)</f>
        <v>41414.953703703701</v>
      </c>
      <c r="C1635">
        <v>80</v>
      </c>
      <c r="D1635">
        <v>79.962890625</v>
      </c>
      <c r="E1635">
        <v>40</v>
      </c>
      <c r="F1635">
        <v>39.235221863</v>
      </c>
      <c r="G1635">
        <v>1341.6762695</v>
      </c>
      <c r="H1635">
        <v>1338.5202637</v>
      </c>
      <c r="I1635">
        <v>1324.0893555</v>
      </c>
      <c r="J1635">
        <v>1321.0167236</v>
      </c>
      <c r="K1635">
        <v>1650</v>
      </c>
      <c r="L1635">
        <v>0</v>
      </c>
      <c r="M1635">
        <v>0</v>
      </c>
      <c r="N1635">
        <v>1650</v>
      </c>
    </row>
    <row r="1636" spans="1:14" x14ac:dyDescent="0.25">
      <c r="A1636">
        <v>1116.4662579999999</v>
      </c>
      <c r="B1636" s="1">
        <f>DATE(2013,5,21) + TIME(11,11,24)</f>
        <v>41415.466249999998</v>
      </c>
      <c r="C1636">
        <v>80</v>
      </c>
      <c r="D1636">
        <v>79.962837218999994</v>
      </c>
      <c r="E1636">
        <v>40</v>
      </c>
      <c r="F1636">
        <v>39.220729828000003</v>
      </c>
      <c r="G1636">
        <v>1341.6668701000001</v>
      </c>
      <c r="H1636">
        <v>1338.5164795000001</v>
      </c>
      <c r="I1636">
        <v>1324.0881348</v>
      </c>
      <c r="J1636">
        <v>1321.0145264</v>
      </c>
      <c r="K1636">
        <v>1650</v>
      </c>
      <c r="L1636">
        <v>0</v>
      </c>
      <c r="M1636">
        <v>0</v>
      </c>
      <c r="N1636">
        <v>1650</v>
      </c>
    </row>
    <row r="1637" spans="1:14" x14ac:dyDescent="0.25">
      <c r="A1637">
        <v>1116.9959240000001</v>
      </c>
      <c r="B1637" s="1">
        <f>DATE(2013,5,21) + TIME(23,54,7)</f>
        <v>41415.99591435185</v>
      </c>
      <c r="C1637">
        <v>80</v>
      </c>
      <c r="D1637">
        <v>79.962776184000006</v>
      </c>
      <c r="E1637">
        <v>40</v>
      </c>
      <c r="F1637">
        <v>39.205944060999997</v>
      </c>
      <c r="G1637">
        <v>1341.6573486</v>
      </c>
      <c r="H1637">
        <v>1338.5126952999999</v>
      </c>
      <c r="I1637">
        <v>1324.0867920000001</v>
      </c>
      <c r="J1637">
        <v>1321.012207</v>
      </c>
      <c r="K1637">
        <v>1650</v>
      </c>
      <c r="L1637">
        <v>0</v>
      </c>
      <c r="M1637">
        <v>0</v>
      </c>
      <c r="N1637">
        <v>1650</v>
      </c>
    </row>
    <row r="1638" spans="1:14" x14ac:dyDescent="0.25">
      <c r="A1638">
        <v>1117.5349140000001</v>
      </c>
      <c r="B1638" s="1">
        <f>DATE(2013,5,22) + TIME(12,50,16)</f>
        <v>41416.534907407404</v>
      </c>
      <c r="C1638">
        <v>80</v>
      </c>
      <c r="D1638">
        <v>79.962722778</v>
      </c>
      <c r="E1638">
        <v>40</v>
      </c>
      <c r="F1638">
        <v>39.191009520999998</v>
      </c>
      <c r="G1638">
        <v>1341.6477050999999</v>
      </c>
      <c r="H1638">
        <v>1338.5087891000001</v>
      </c>
      <c r="I1638">
        <v>1324.0854492000001</v>
      </c>
      <c r="J1638">
        <v>1321.0097656</v>
      </c>
      <c r="K1638">
        <v>1650</v>
      </c>
      <c r="L1638">
        <v>0</v>
      </c>
      <c r="M1638">
        <v>0</v>
      </c>
      <c r="N1638">
        <v>1650</v>
      </c>
    </row>
    <row r="1639" spans="1:14" x14ac:dyDescent="0.25">
      <c r="A1639">
        <v>1118.0771999999999</v>
      </c>
      <c r="B1639" s="1">
        <f>DATE(2013,5,23) + TIME(1,51,10)</f>
        <v>41417.077199074076</v>
      </c>
      <c r="C1639">
        <v>80</v>
      </c>
      <c r="D1639">
        <v>79.962661742999998</v>
      </c>
      <c r="E1639">
        <v>40</v>
      </c>
      <c r="F1639">
        <v>39.176067351999997</v>
      </c>
      <c r="G1639">
        <v>1341.6378173999999</v>
      </c>
      <c r="H1639">
        <v>1338.5048827999999</v>
      </c>
      <c r="I1639">
        <v>1324.0841064000001</v>
      </c>
      <c r="J1639">
        <v>1321.0072021000001</v>
      </c>
      <c r="K1639">
        <v>1650</v>
      </c>
      <c r="L1639">
        <v>0</v>
      </c>
      <c r="M1639">
        <v>0</v>
      </c>
      <c r="N1639">
        <v>1650</v>
      </c>
    </row>
    <row r="1640" spans="1:14" x14ac:dyDescent="0.25">
      <c r="A1640">
        <v>1118.6241199999999</v>
      </c>
      <c r="B1640" s="1">
        <f>DATE(2013,5,23) + TIME(14,58,43)</f>
        <v>41417.624108796299</v>
      </c>
      <c r="C1640">
        <v>80</v>
      </c>
      <c r="D1640">
        <v>79.962608337000006</v>
      </c>
      <c r="E1640">
        <v>40</v>
      </c>
      <c r="F1640">
        <v>39.161117554</v>
      </c>
      <c r="G1640">
        <v>1341.6281738</v>
      </c>
      <c r="H1640">
        <v>1338.5008545000001</v>
      </c>
      <c r="I1640">
        <v>1324.0826416</v>
      </c>
      <c r="J1640">
        <v>1321.0046387</v>
      </c>
      <c r="K1640">
        <v>1650</v>
      </c>
      <c r="L1640">
        <v>0</v>
      </c>
      <c r="M1640">
        <v>0</v>
      </c>
      <c r="N1640">
        <v>1650</v>
      </c>
    </row>
    <row r="1641" spans="1:14" x14ac:dyDescent="0.25">
      <c r="A1641">
        <v>1119.177089</v>
      </c>
      <c r="B1641" s="1">
        <f>DATE(2013,5,24) + TIME(4,15,0)</f>
        <v>41418.177083333336</v>
      </c>
      <c r="C1641">
        <v>80</v>
      </c>
      <c r="D1641">
        <v>79.962554932000003</v>
      </c>
      <c r="E1641">
        <v>40</v>
      </c>
      <c r="F1641">
        <v>39.146144866999997</v>
      </c>
      <c r="G1641">
        <v>1341.6185303</v>
      </c>
      <c r="H1641">
        <v>1338.4969481999999</v>
      </c>
      <c r="I1641">
        <v>1324.0811768000001</v>
      </c>
      <c r="J1641">
        <v>1321.0020752</v>
      </c>
      <c r="K1641">
        <v>1650</v>
      </c>
      <c r="L1641">
        <v>0</v>
      </c>
      <c r="M1641">
        <v>0</v>
      </c>
      <c r="N1641">
        <v>1650</v>
      </c>
    </row>
    <row r="1642" spans="1:14" x14ac:dyDescent="0.25">
      <c r="A1642">
        <v>1119.7374520000001</v>
      </c>
      <c r="B1642" s="1">
        <f>DATE(2013,5,24) + TIME(17,41,55)</f>
        <v>41418.737442129626</v>
      </c>
      <c r="C1642">
        <v>80</v>
      </c>
      <c r="D1642">
        <v>79.962493895999998</v>
      </c>
      <c r="E1642">
        <v>40</v>
      </c>
      <c r="F1642">
        <v>39.131137848000002</v>
      </c>
      <c r="G1642">
        <v>1341.6088867000001</v>
      </c>
      <c r="H1642">
        <v>1338.4931641000001</v>
      </c>
      <c r="I1642">
        <v>1324.0797118999999</v>
      </c>
      <c r="J1642">
        <v>1320.9993896000001</v>
      </c>
      <c r="K1642">
        <v>1650</v>
      </c>
      <c r="L1642">
        <v>0</v>
      </c>
      <c r="M1642">
        <v>0</v>
      </c>
      <c r="N1642">
        <v>1650</v>
      </c>
    </row>
    <row r="1643" spans="1:14" x14ac:dyDescent="0.25">
      <c r="A1643">
        <v>1120.3064119999999</v>
      </c>
      <c r="B1643" s="1">
        <f>DATE(2013,5,25) + TIME(7,21,14)</f>
        <v>41419.30641203704</v>
      </c>
      <c r="C1643">
        <v>80</v>
      </c>
      <c r="D1643">
        <v>79.962440490999995</v>
      </c>
      <c r="E1643">
        <v>40</v>
      </c>
      <c r="F1643">
        <v>39.116081238</v>
      </c>
      <c r="G1643">
        <v>1341.5993652</v>
      </c>
      <c r="H1643">
        <v>1338.4892577999999</v>
      </c>
      <c r="I1643">
        <v>1324.078125</v>
      </c>
      <c r="J1643">
        <v>1320.996582</v>
      </c>
      <c r="K1643">
        <v>1650</v>
      </c>
      <c r="L1643">
        <v>0</v>
      </c>
      <c r="M1643">
        <v>0</v>
      </c>
      <c r="N1643">
        <v>1650</v>
      </c>
    </row>
    <row r="1644" spans="1:14" x14ac:dyDescent="0.25">
      <c r="A1644">
        <v>1120.8853979999999</v>
      </c>
      <c r="B1644" s="1">
        <f>DATE(2013,5,25) + TIME(21,14,58)</f>
        <v>41419.885393518518</v>
      </c>
      <c r="C1644">
        <v>80</v>
      </c>
      <c r="D1644">
        <v>79.962387085000003</v>
      </c>
      <c r="E1644">
        <v>40</v>
      </c>
      <c r="F1644">
        <v>39.100955962999997</v>
      </c>
      <c r="G1644">
        <v>1341.5899658000001</v>
      </c>
      <c r="H1644">
        <v>1338.4854736</v>
      </c>
      <c r="I1644">
        <v>1324.0765381000001</v>
      </c>
      <c r="J1644">
        <v>1320.9937743999999</v>
      </c>
      <c r="K1644">
        <v>1650</v>
      </c>
      <c r="L1644">
        <v>0</v>
      </c>
      <c r="M1644">
        <v>0</v>
      </c>
      <c r="N1644">
        <v>1650</v>
      </c>
    </row>
    <row r="1645" spans="1:14" x14ac:dyDescent="0.25">
      <c r="A1645">
        <v>1121.4761430000001</v>
      </c>
      <c r="B1645" s="1">
        <f>DATE(2013,5,26) + TIME(11,25,38)</f>
        <v>41420.476134259261</v>
      </c>
      <c r="C1645">
        <v>80</v>
      </c>
      <c r="D1645">
        <v>79.962326050000001</v>
      </c>
      <c r="E1645">
        <v>40</v>
      </c>
      <c r="F1645">
        <v>39.085735321000001</v>
      </c>
      <c r="G1645">
        <v>1341.5805664</v>
      </c>
      <c r="H1645">
        <v>1338.4816894999999</v>
      </c>
      <c r="I1645">
        <v>1324.0749512</v>
      </c>
      <c r="J1645">
        <v>1320.9908447</v>
      </c>
      <c r="K1645">
        <v>1650</v>
      </c>
      <c r="L1645">
        <v>0</v>
      </c>
      <c r="M1645">
        <v>0</v>
      </c>
      <c r="N1645">
        <v>1650</v>
      </c>
    </row>
    <row r="1646" spans="1:14" x14ac:dyDescent="0.25">
      <c r="A1646">
        <v>1122.0829779999999</v>
      </c>
      <c r="B1646" s="1">
        <f>DATE(2013,5,27) + TIME(1,59,29)</f>
        <v>41421.082974537036</v>
      </c>
      <c r="C1646">
        <v>80</v>
      </c>
      <c r="D1646">
        <v>79.962272643999995</v>
      </c>
      <c r="E1646">
        <v>40</v>
      </c>
      <c r="F1646">
        <v>39.070346831999998</v>
      </c>
      <c r="G1646">
        <v>1341.5710449000001</v>
      </c>
      <c r="H1646">
        <v>1338.4779053</v>
      </c>
      <c r="I1646">
        <v>1324.0732422000001</v>
      </c>
      <c r="J1646">
        <v>1320.987793</v>
      </c>
      <c r="K1646">
        <v>1650</v>
      </c>
      <c r="L1646">
        <v>0</v>
      </c>
      <c r="M1646">
        <v>0</v>
      </c>
      <c r="N1646">
        <v>1650</v>
      </c>
    </row>
    <row r="1647" spans="1:14" x14ac:dyDescent="0.25">
      <c r="A1647">
        <v>1122.6955840000001</v>
      </c>
      <c r="B1647" s="1">
        <f>DATE(2013,5,27) + TIME(16,41,38)</f>
        <v>41421.6955787037</v>
      </c>
      <c r="C1647">
        <v>80</v>
      </c>
      <c r="D1647">
        <v>79.962219238000003</v>
      </c>
      <c r="E1647">
        <v>40</v>
      </c>
      <c r="F1647">
        <v>39.054962158000002</v>
      </c>
      <c r="G1647">
        <v>1341.5615233999999</v>
      </c>
      <c r="H1647">
        <v>1338.473999</v>
      </c>
      <c r="I1647">
        <v>1324.0715332</v>
      </c>
      <c r="J1647">
        <v>1320.9846190999999</v>
      </c>
      <c r="K1647">
        <v>1650</v>
      </c>
      <c r="L1647">
        <v>0</v>
      </c>
      <c r="M1647">
        <v>0</v>
      </c>
      <c r="N1647">
        <v>1650</v>
      </c>
    </row>
    <row r="1648" spans="1:14" x14ac:dyDescent="0.25">
      <c r="A1648">
        <v>1123.3157000000001</v>
      </c>
      <c r="B1648" s="1">
        <f>DATE(2013,5,28) + TIME(7,34,36)</f>
        <v>41422.315694444442</v>
      </c>
      <c r="C1648">
        <v>80</v>
      </c>
      <c r="D1648">
        <v>79.962165833</v>
      </c>
      <c r="E1648">
        <v>40</v>
      </c>
      <c r="F1648">
        <v>39.039573668999999</v>
      </c>
      <c r="G1648">
        <v>1341.552124</v>
      </c>
      <c r="H1648">
        <v>1338.4702147999999</v>
      </c>
      <c r="I1648">
        <v>1324.0698242000001</v>
      </c>
      <c r="J1648">
        <v>1320.9813231999999</v>
      </c>
      <c r="K1648">
        <v>1650</v>
      </c>
      <c r="L1648">
        <v>0</v>
      </c>
      <c r="M1648">
        <v>0</v>
      </c>
      <c r="N1648">
        <v>1650</v>
      </c>
    </row>
    <row r="1649" spans="1:14" x14ac:dyDescent="0.25">
      <c r="A1649">
        <v>1123.9484319999999</v>
      </c>
      <c r="B1649" s="1">
        <f>DATE(2013,5,28) + TIME(22,45,44)</f>
        <v>41422.948425925926</v>
      </c>
      <c r="C1649">
        <v>80</v>
      </c>
      <c r="D1649">
        <v>79.962104796999995</v>
      </c>
      <c r="E1649">
        <v>40</v>
      </c>
      <c r="F1649">
        <v>39.024120330999999</v>
      </c>
      <c r="G1649">
        <v>1341.5427245999999</v>
      </c>
      <c r="H1649">
        <v>1338.4665527</v>
      </c>
      <c r="I1649">
        <v>1324.0679932</v>
      </c>
      <c r="J1649">
        <v>1320.9780272999999</v>
      </c>
      <c r="K1649">
        <v>1650</v>
      </c>
      <c r="L1649">
        <v>0</v>
      </c>
      <c r="M1649">
        <v>0</v>
      </c>
      <c r="N1649">
        <v>1650</v>
      </c>
    </row>
    <row r="1650" spans="1:14" x14ac:dyDescent="0.25">
      <c r="A1650">
        <v>1124.596276</v>
      </c>
      <c r="B1650" s="1">
        <f>DATE(2013,5,29) + TIME(14,18,38)</f>
        <v>41423.596273148149</v>
      </c>
      <c r="C1650">
        <v>80</v>
      </c>
      <c r="D1650">
        <v>79.962051392000006</v>
      </c>
      <c r="E1650">
        <v>40</v>
      </c>
      <c r="F1650">
        <v>39.008563995000003</v>
      </c>
      <c r="G1650">
        <v>1341.5334473</v>
      </c>
      <c r="H1650">
        <v>1338.4627685999999</v>
      </c>
      <c r="I1650">
        <v>1324.0660399999999</v>
      </c>
      <c r="J1650">
        <v>1320.9744873</v>
      </c>
      <c r="K1650">
        <v>1650</v>
      </c>
      <c r="L1650">
        <v>0</v>
      </c>
      <c r="M1650">
        <v>0</v>
      </c>
      <c r="N1650">
        <v>1650</v>
      </c>
    </row>
    <row r="1651" spans="1:14" x14ac:dyDescent="0.25">
      <c r="A1651">
        <v>1125.261782</v>
      </c>
      <c r="B1651" s="1">
        <f>DATE(2013,5,30) + TIME(6,16,57)</f>
        <v>41424.261770833335</v>
      </c>
      <c r="C1651">
        <v>80</v>
      </c>
      <c r="D1651">
        <v>79.961997986</v>
      </c>
      <c r="E1651">
        <v>40</v>
      </c>
      <c r="F1651">
        <v>38.992866515999999</v>
      </c>
      <c r="G1651">
        <v>1341.5240478999999</v>
      </c>
      <c r="H1651">
        <v>1338.4589844</v>
      </c>
      <c r="I1651">
        <v>1324.0640868999999</v>
      </c>
      <c r="J1651">
        <v>1320.9709473</v>
      </c>
      <c r="K1651">
        <v>1650</v>
      </c>
      <c r="L1651">
        <v>0</v>
      </c>
      <c r="M1651">
        <v>0</v>
      </c>
      <c r="N1651">
        <v>1650</v>
      </c>
    </row>
    <row r="1652" spans="1:14" x14ac:dyDescent="0.25">
      <c r="A1652">
        <v>1125.9477059999999</v>
      </c>
      <c r="B1652" s="1">
        <f>DATE(2013,5,30) + TIME(22,44,41)</f>
        <v>41424.947696759256</v>
      </c>
      <c r="C1652">
        <v>80</v>
      </c>
      <c r="D1652">
        <v>79.961944579999994</v>
      </c>
      <c r="E1652">
        <v>40</v>
      </c>
      <c r="F1652">
        <v>38.976989746000001</v>
      </c>
      <c r="G1652">
        <v>1341.5145264</v>
      </c>
      <c r="H1652">
        <v>1338.4552002</v>
      </c>
      <c r="I1652">
        <v>1324.0620117000001</v>
      </c>
      <c r="J1652">
        <v>1320.9671631000001</v>
      </c>
      <c r="K1652">
        <v>1650</v>
      </c>
      <c r="L1652">
        <v>0</v>
      </c>
      <c r="M1652">
        <v>0</v>
      </c>
      <c r="N1652">
        <v>1650</v>
      </c>
    </row>
    <row r="1653" spans="1:14" x14ac:dyDescent="0.25">
      <c r="A1653">
        <v>1126.6571719999999</v>
      </c>
      <c r="B1653" s="1">
        <f>DATE(2013,5,31) + TIME(15,46,19)</f>
        <v>41425.657164351855</v>
      </c>
      <c r="C1653">
        <v>80</v>
      </c>
      <c r="D1653">
        <v>79.961883545000006</v>
      </c>
      <c r="E1653">
        <v>40</v>
      </c>
      <c r="F1653">
        <v>38.960899353000002</v>
      </c>
      <c r="G1653">
        <v>1341.5048827999999</v>
      </c>
      <c r="H1653">
        <v>1338.4512939000001</v>
      </c>
      <c r="I1653">
        <v>1324.0599365</v>
      </c>
      <c r="J1653">
        <v>1320.9632568</v>
      </c>
      <c r="K1653">
        <v>1650</v>
      </c>
      <c r="L1653">
        <v>0</v>
      </c>
      <c r="M1653">
        <v>0</v>
      </c>
      <c r="N1653">
        <v>1650</v>
      </c>
    </row>
    <row r="1654" spans="1:14" x14ac:dyDescent="0.25">
      <c r="A1654">
        <v>1127</v>
      </c>
      <c r="B1654" s="1">
        <f>DATE(2013,6,1) + TIME(0,0,0)</f>
        <v>41426</v>
      </c>
      <c r="C1654">
        <v>80</v>
      </c>
      <c r="D1654">
        <v>79.961845397999994</v>
      </c>
      <c r="E1654">
        <v>40</v>
      </c>
      <c r="F1654">
        <v>38.951431274000001</v>
      </c>
      <c r="G1654">
        <v>1341.4951172000001</v>
      </c>
      <c r="H1654">
        <v>1338.4473877</v>
      </c>
      <c r="I1654">
        <v>1324.0577393000001</v>
      </c>
      <c r="J1654">
        <v>1320.9595947</v>
      </c>
      <c r="K1654">
        <v>1650</v>
      </c>
      <c r="L1654">
        <v>0</v>
      </c>
      <c r="M1654">
        <v>0</v>
      </c>
      <c r="N1654">
        <v>1650</v>
      </c>
    </row>
    <row r="1655" spans="1:14" x14ac:dyDescent="0.25">
      <c r="A1655">
        <v>1127.7365480000001</v>
      </c>
      <c r="B1655" s="1">
        <f>DATE(2013,6,1) + TIME(17,40,37)</f>
        <v>41426.736539351848</v>
      </c>
      <c r="C1655">
        <v>80</v>
      </c>
      <c r="D1655">
        <v>79.961799622000001</v>
      </c>
      <c r="E1655">
        <v>40</v>
      </c>
      <c r="F1655">
        <v>38.935821533000002</v>
      </c>
      <c r="G1655">
        <v>1341.4906006000001</v>
      </c>
      <c r="H1655">
        <v>1338.4455565999999</v>
      </c>
      <c r="I1655">
        <v>1324.0565185999999</v>
      </c>
      <c r="J1655">
        <v>1320.9569091999999</v>
      </c>
      <c r="K1655">
        <v>1650</v>
      </c>
      <c r="L1655">
        <v>0</v>
      </c>
      <c r="M1655">
        <v>0</v>
      </c>
      <c r="N1655">
        <v>1650</v>
      </c>
    </row>
    <row r="1656" spans="1:14" x14ac:dyDescent="0.25">
      <c r="A1656">
        <v>1128.1249580000001</v>
      </c>
      <c r="B1656" s="1">
        <f>DATE(2013,6,2) + TIME(2,59,56)</f>
        <v>41427.1249537037</v>
      </c>
      <c r="C1656">
        <v>80</v>
      </c>
      <c r="D1656">
        <v>79.961761475000003</v>
      </c>
      <c r="E1656">
        <v>40</v>
      </c>
      <c r="F1656">
        <v>38.925804137999997</v>
      </c>
      <c r="G1656">
        <v>1341.4807129000001</v>
      </c>
      <c r="H1656">
        <v>1338.4416504000001</v>
      </c>
      <c r="I1656">
        <v>1324.0541992000001</v>
      </c>
      <c r="J1656">
        <v>1320.9530029</v>
      </c>
      <c r="K1656">
        <v>1650</v>
      </c>
      <c r="L1656">
        <v>0</v>
      </c>
      <c r="M1656">
        <v>0</v>
      </c>
      <c r="N1656">
        <v>1650</v>
      </c>
    </row>
    <row r="1657" spans="1:14" x14ac:dyDescent="0.25">
      <c r="A1657">
        <v>1128.513367</v>
      </c>
      <c r="B1657" s="1">
        <f>DATE(2013,6,2) + TIME(12,19,14)</f>
        <v>41427.513356481482</v>
      </c>
      <c r="C1657">
        <v>80</v>
      </c>
      <c r="D1657">
        <v>79.961723328000005</v>
      </c>
      <c r="E1657">
        <v>40</v>
      </c>
      <c r="F1657">
        <v>38.916217803999999</v>
      </c>
      <c r="G1657">
        <v>1341.4755858999999</v>
      </c>
      <c r="H1657">
        <v>1338.4395752</v>
      </c>
      <c r="I1657">
        <v>1324.0529785000001</v>
      </c>
      <c r="J1657">
        <v>1320.9505615</v>
      </c>
      <c r="K1657">
        <v>1650</v>
      </c>
      <c r="L1657">
        <v>0</v>
      </c>
      <c r="M1657">
        <v>0</v>
      </c>
      <c r="N1657">
        <v>1650</v>
      </c>
    </row>
    <row r="1658" spans="1:14" x14ac:dyDescent="0.25">
      <c r="A1658">
        <v>1128.901777</v>
      </c>
      <c r="B1658" s="1">
        <f>DATE(2013,6,2) + TIME(21,38,33)</f>
        <v>41427.901770833334</v>
      </c>
      <c r="C1658">
        <v>80</v>
      </c>
      <c r="D1658">
        <v>79.961692810000002</v>
      </c>
      <c r="E1658">
        <v>40</v>
      </c>
      <c r="F1658">
        <v>38.906982421999999</v>
      </c>
      <c r="G1658">
        <v>1341.4705810999999</v>
      </c>
      <c r="H1658">
        <v>1338.4375</v>
      </c>
      <c r="I1658">
        <v>1324.0516356999999</v>
      </c>
      <c r="J1658">
        <v>1320.9479980000001</v>
      </c>
      <c r="K1658">
        <v>1650</v>
      </c>
      <c r="L1658">
        <v>0</v>
      </c>
      <c r="M1658">
        <v>0</v>
      </c>
      <c r="N1658">
        <v>1650</v>
      </c>
    </row>
    <row r="1659" spans="1:14" x14ac:dyDescent="0.25">
      <c r="A1659">
        <v>1129.2901870000001</v>
      </c>
      <c r="B1659" s="1">
        <f>DATE(2013,6,3) + TIME(6,57,52)</f>
        <v>41428.290185185186</v>
      </c>
      <c r="C1659">
        <v>80</v>
      </c>
      <c r="D1659">
        <v>79.961654663000004</v>
      </c>
      <c r="E1659">
        <v>40</v>
      </c>
      <c r="F1659">
        <v>38.898040770999998</v>
      </c>
      <c r="G1659">
        <v>1341.4655762</v>
      </c>
      <c r="H1659">
        <v>1338.4355469</v>
      </c>
      <c r="I1659">
        <v>1324.050293</v>
      </c>
      <c r="J1659">
        <v>1320.9455565999999</v>
      </c>
      <c r="K1659">
        <v>1650</v>
      </c>
      <c r="L1659">
        <v>0</v>
      </c>
      <c r="M1659">
        <v>0</v>
      </c>
      <c r="N1659">
        <v>1650</v>
      </c>
    </row>
    <row r="1660" spans="1:14" x14ac:dyDescent="0.25">
      <c r="A1660">
        <v>1130.067006</v>
      </c>
      <c r="B1660" s="1">
        <f>DATE(2013,6,4) + TIME(1,36,29)</f>
        <v>41429.067002314812</v>
      </c>
      <c r="C1660">
        <v>80</v>
      </c>
      <c r="D1660">
        <v>79.961616516000007</v>
      </c>
      <c r="E1660">
        <v>40</v>
      </c>
      <c r="F1660">
        <v>38.883956908999998</v>
      </c>
      <c r="G1660">
        <v>1341.4608154</v>
      </c>
      <c r="H1660">
        <v>1338.4335937999999</v>
      </c>
      <c r="I1660">
        <v>1324.0488281</v>
      </c>
      <c r="J1660">
        <v>1320.9426269999999</v>
      </c>
      <c r="K1660">
        <v>1650</v>
      </c>
      <c r="L1660">
        <v>0</v>
      </c>
      <c r="M1660">
        <v>0</v>
      </c>
      <c r="N1660">
        <v>1650</v>
      </c>
    </row>
    <row r="1661" spans="1:14" x14ac:dyDescent="0.25">
      <c r="A1661">
        <v>1130.844474</v>
      </c>
      <c r="B1661" s="1">
        <f>DATE(2013,6,4) + TIME(20,16,2)</f>
        <v>41429.844467592593</v>
      </c>
      <c r="C1661">
        <v>80</v>
      </c>
      <c r="D1661">
        <v>79.961570739999999</v>
      </c>
      <c r="E1661">
        <v>40</v>
      </c>
      <c r="F1661">
        <v>38.869308472</v>
      </c>
      <c r="G1661">
        <v>1341.4510498</v>
      </c>
      <c r="H1661">
        <v>1338.4296875</v>
      </c>
      <c r="I1661">
        <v>1324.0463867000001</v>
      </c>
      <c r="J1661">
        <v>1320.9379882999999</v>
      </c>
      <c r="K1661">
        <v>1650</v>
      </c>
      <c r="L1661">
        <v>0</v>
      </c>
      <c r="M1661">
        <v>0</v>
      </c>
      <c r="N1661">
        <v>1650</v>
      </c>
    </row>
    <row r="1662" spans="1:14" x14ac:dyDescent="0.25">
      <c r="A1662">
        <v>1131.626391</v>
      </c>
      <c r="B1662" s="1">
        <f>DATE(2013,6,5) + TIME(15,2,0)</f>
        <v>41430.626388888886</v>
      </c>
      <c r="C1662">
        <v>80</v>
      </c>
      <c r="D1662">
        <v>79.961524963000002</v>
      </c>
      <c r="E1662">
        <v>40</v>
      </c>
      <c r="F1662">
        <v>38.854415893999999</v>
      </c>
      <c r="G1662">
        <v>1341.4414062000001</v>
      </c>
      <c r="H1662">
        <v>1338.4259033000001</v>
      </c>
      <c r="I1662">
        <v>1324.0437012</v>
      </c>
      <c r="J1662">
        <v>1320.9332274999999</v>
      </c>
      <c r="K1662">
        <v>1650</v>
      </c>
      <c r="L1662">
        <v>0</v>
      </c>
      <c r="M1662">
        <v>0</v>
      </c>
      <c r="N1662">
        <v>1650</v>
      </c>
    </row>
    <row r="1663" spans="1:14" x14ac:dyDescent="0.25">
      <c r="A1663">
        <v>1132.414818</v>
      </c>
      <c r="B1663" s="1">
        <f>DATE(2013,6,6) + TIME(9,57,20)</f>
        <v>41431.414814814816</v>
      </c>
      <c r="C1663">
        <v>80</v>
      </c>
      <c r="D1663">
        <v>79.961471558</v>
      </c>
      <c r="E1663">
        <v>40</v>
      </c>
      <c r="F1663">
        <v>38.839481354</v>
      </c>
      <c r="G1663">
        <v>1341.4320068</v>
      </c>
      <c r="H1663">
        <v>1338.4221190999999</v>
      </c>
      <c r="I1663">
        <v>1324.0411377</v>
      </c>
      <c r="J1663">
        <v>1320.9282227000001</v>
      </c>
      <c r="K1663">
        <v>1650</v>
      </c>
      <c r="L1663">
        <v>0</v>
      </c>
      <c r="M1663">
        <v>0</v>
      </c>
      <c r="N1663">
        <v>1650</v>
      </c>
    </row>
    <row r="1664" spans="1:14" x14ac:dyDescent="0.25">
      <c r="A1664">
        <v>1133.211861</v>
      </c>
      <c r="B1664" s="1">
        <f>DATE(2013,6,7) + TIME(5,5,4)</f>
        <v>41432.211851851855</v>
      </c>
      <c r="C1664">
        <v>80</v>
      </c>
      <c r="D1664">
        <v>79.961418151999993</v>
      </c>
      <c r="E1664">
        <v>40</v>
      </c>
      <c r="F1664">
        <v>38.824619292999998</v>
      </c>
      <c r="G1664">
        <v>1341.4226074000001</v>
      </c>
      <c r="H1664">
        <v>1338.4183350000001</v>
      </c>
      <c r="I1664">
        <v>1324.0383300999999</v>
      </c>
      <c r="J1664">
        <v>1320.9230957</v>
      </c>
      <c r="K1664">
        <v>1650</v>
      </c>
      <c r="L1664">
        <v>0</v>
      </c>
      <c r="M1664">
        <v>0</v>
      </c>
      <c r="N1664">
        <v>1650</v>
      </c>
    </row>
    <row r="1665" spans="1:14" x14ac:dyDescent="0.25">
      <c r="A1665">
        <v>1134.0199110000001</v>
      </c>
      <c r="B1665" s="1">
        <f>DATE(2013,6,8) + TIME(0,28,40)</f>
        <v>41433.019907407404</v>
      </c>
      <c r="C1665">
        <v>80</v>
      </c>
      <c r="D1665">
        <v>79.961364746000001</v>
      </c>
      <c r="E1665">
        <v>40</v>
      </c>
      <c r="F1665">
        <v>38.809898376</v>
      </c>
      <c r="G1665">
        <v>1341.4133300999999</v>
      </c>
      <c r="H1665">
        <v>1338.4145507999999</v>
      </c>
      <c r="I1665">
        <v>1324.0355225000001</v>
      </c>
      <c r="J1665">
        <v>1320.9177245999999</v>
      </c>
      <c r="K1665">
        <v>1650</v>
      </c>
      <c r="L1665">
        <v>0</v>
      </c>
      <c r="M1665">
        <v>0</v>
      </c>
      <c r="N1665">
        <v>1650</v>
      </c>
    </row>
    <row r="1666" spans="1:14" x14ac:dyDescent="0.25">
      <c r="A1666">
        <v>1134.841439</v>
      </c>
      <c r="B1666" s="1">
        <f>DATE(2013,6,8) + TIME(20,11,40)</f>
        <v>41433.841435185182</v>
      </c>
      <c r="C1666">
        <v>80</v>
      </c>
      <c r="D1666">
        <v>79.961311339999995</v>
      </c>
      <c r="E1666">
        <v>40</v>
      </c>
      <c r="F1666">
        <v>38.795356750000003</v>
      </c>
      <c r="G1666">
        <v>1341.4040527</v>
      </c>
      <c r="H1666">
        <v>1338.4108887</v>
      </c>
      <c r="I1666">
        <v>1324.0325928</v>
      </c>
      <c r="J1666">
        <v>1320.9122314000001</v>
      </c>
      <c r="K1666">
        <v>1650</v>
      </c>
      <c r="L1666">
        <v>0</v>
      </c>
      <c r="M1666">
        <v>0</v>
      </c>
      <c r="N1666">
        <v>1650</v>
      </c>
    </row>
    <row r="1667" spans="1:14" x14ac:dyDescent="0.25">
      <c r="A1667">
        <v>1135.6795070000001</v>
      </c>
      <c r="B1667" s="1">
        <f>DATE(2013,6,9) + TIME(16,18,29)</f>
        <v>41434.679502314815</v>
      </c>
      <c r="C1667">
        <v>80</v>
      </c>
      <c r="D1667">
        <v>79.961265564000001</v>
      </c>
      <c r="E1667">
        <v>40</v>
      </c>
      <c r="F1667">
        <v>38.781017302999999</v>
      </c>
      <c r="G1667">
        <v>1341.3948975000001</v>
      </c>
      <c r="H1667">
        <v>1338.4071045000001</v>
      </c>
      <c r="I1667">
        <v>1324.0296631000001</v>
      </c>
      <c r="J1667">
        <v>1320.9066161999999</v>
      </c>
      <c r="K1667">
        <v>1650</v>
      </c>
      <c r="L1667">
        <v>0</v>
      </c>
      <c r="M1667">
        <v>0</v>
      </c>
      <c r="N1667">
        <v>1650</v>
      </c>
    </row>
    <row r="1668" spans="1:14" x14ac:dyDescent="0.25">
      <c r="A1668">
        <v>1136.542989</v>
      </c>
      <c r="B1668" s="1">
        <f>DATE(2013,6,10) + TIME(13,1,54)</f>
        <v>41435.542986111112</v>
      </c>
      <c r="C1668">
        <v>80</v>
      </c>
      <c r="D1668">
        <v>79.961212157999995</v>
      </c>
      <c r="E1668">
        <v>40</v>
      </c>
      <c r="F1668">
        <v>38.766834258999999</v>
      </c>
      <c r="G1668">
        <v>1341.3856201000001</v>
      </c>
      <c r="H1668">
        <v>1338.4033202999999</v>
      </c>
      <c r="I1668">
        <v>1324.0266113</v>
      </c>
      <c r="J1668">
        <v>1320.9007568</v>
      </c>
      <c r="K1668">
        <v>1650</v>
      </c>
      <c r="L1668">
        <v>0</v>
      </c>
      <c r="M1668">
        <v>0</v>
      </c>
      <c r="N1668">
        <v>1650</v>
      </c>
    </row>
    <row r="1669" spans="1:14" x14ac:dyDescent="0.25">
      <c r="A1669">
        <v>1137.4348480000001</v>
      </c>
      <c r="B1669" s="1">
        <f>DATE(2013,6,11) + TIME(10,26,10)</f>
        <v>41436.434837962966</v>
      </c>
      <c r="C1669">
        <v>80</v>
      </c>
      <c r="D1669">
        <v>79.961158752000003</v>
      </c>
      <c r="E1669">
        <v>40</v>
      </c>
      <c r="F1669">
        <v>38.752822876000003</v>
      </c>
      <c r="G1669">
        <v>1341.3762207</v>
      </c>
      <c r="H1669">
        <v>1338.3995361</v>
      </c>
      <c r="I1669">
        <v>1324.0233154</v>
      </c>
      <c r="J1669">
        <v>1320.8946533000001</v>
      </c>
      <c r="K1669">
        <v>1650</v>
      </c>
      <c r="L1669">
        <v>0</v>
      </c>
      <c r="M1669">
        <v>0</v>
      </c>
      <c r="N1669">
        <v>1650</v>
      </c>
    </row>
    <row r="1670" spans="1:14" x14ac:dyDescent="0.25">
      <c r="A1670">
        <v>1138.349344</v>
      </c>
      <c r="B1670" s="1">
        <f>DATE(2013,6,12) + TIME(8,23,3)</f>
        <v>41437.349340277775</v>
      </c>
      <c r="C1670">
        <v>80</v>
      </c>
      <c r="D1670">
        <v>79.961112975999995</v>
      </c>
      <c r="E1670">
        <v>40</v>
      </c>
      <c r="F1670">
        <v>38.739086151000002</v>
      </c>
      <c r="G1670">
        <v>1341.3668213000001</v>
      </c>
      <c r="H1670">
        <v>1338.3956298999999</v>
      </c>
      <c r="I1670">
        <v>1324.0200195</v>
      </c>
      <c r="J1670">
        <v>1320.8883057</v>
      </c>
      <c r="K1670">
        <v>1650</v>
      </c>
      <c r="L1670">
        <v>0</v>
      </c>
      <c r="M1670">
        <v>0</v>
      </c>
      <c r="N1670">
        <v>1650</v>
      </c>
    </row>
    <row r="1671" spans="1:14" x14ac:dyDescent="0.25">
      <c r="A1671">
        <v>1139.290737</v>
      </c>
      <c r="B1671" s="1">
        <f>DATE(2013,6,13) + TIME(6,58,39)</f>
        <v>41438.290729166663</v>
      </c>
      <c r="C1671">
        <v>80</v>
      </c>
      <c r="D1671">
        <v>79.961059570000003</v>
      </c>
      <c r="E1671">
        <v>40</v>
      </c>
      <c r="F1671">
        <v>38.725666046000001</v>
      </c>
      <c r="G1671">
        <v>1341.3572998</v>
      </c>
      <c r="H1671">
        <v>1338.3917236</v>
      </c>
      <c r="I1671">
        <v>1324.0166016000001</v>
      </c>
      <c r="J1671">
        <v>1320.8815918</v>
      </c>
      <c r="K1671">
        <v>1650</v>
      </c>
      <c r="L1671">
        <v>0</v>
      </c>
      <c r="M1671">
        <v>0</v>
      </c>
      <c r="N1671">
        <v>1650</v>
      </c>
    </row>
    <row r="1672" spans="1:14" x14ac:dyDescent="0.25">
      <c r="A1672">
        <v>1140.2634860000001</v>
      </c>
      <c r="B1672" s="1">
        <f>DATE(2013,6,14) + TIME(6,19,25)</f>
        <v>41439.263483796298</v>
      </c>
      <c r="C1672">
        <v>80</v>
      </c>
      <c r="D1672">
        <v>79.961006165000001</v>
      </c>
      <c r="E1672">
        <v>40</v>
      </c>
      <c r="F1672">
        <v>38.712604523000003</v>
      </c>
      <c r="G1672">
        <v>1341.3476562000001</v>
      </c>
      <c r="H1672">
        <v>1338.3876952999999</v>
      </c>
      <c r="I1672">
        <v>1324.0129394999999</v>
      </c>
      <c r="J1672">
        <v>1320.8746338000001</v>
      </c>
      <c r="K1672">
        <v>1650</v>
      </c>
      <c r="L1672">
        <v>0</v>
      </c>
      <c r="M1672">
        <v>0</v>
      </c>
      <c r="N1672">
        <v>1650</v>
      </c>
    </row>
    <row r="1673" spans="1:14" x14ac:dyDescent="0.25">
      <c r="A1673">
        <v>1141.2727010000001</v>
      </c>
      <c r="B1673" s="1">
        <f>DATE(2013,6,15) + TIME(6,32,41)</f>
        <v>41440.272696759261</v>
      </c>
      <c r="C1673">
        <v>80</v>
      </c>
      <c r="D1673">
        <v>79.960952758999994</v>
      </c>
      <c r="E1673">
        <v>40</v>
      </c>
      <c r="F1673">
        <v>38.699951171999999</v>
      </c>
      <c r="G1673">
        <v>1341.3377685999999</v>
      </c>
      <c r="H1673">
        <v>1338.3836670000001</v>
      </c>
      <c r="I1673">
        <v>1324.0091553</v>
      </c>
      <c r="J1673">
        <v>1320.8673096</v>
      </c>
      <c r="K1673">
        <v>1650</v>
      </c>
      <c r="L1673">
        <v>0</v>
      </c>
      <c r="M1673">
        <v>0</v>
      </c>
      <c r="N1673">
        <v>1650</v>
      </c>
    </row>
    <row r="1674" spans="1:14" x14ac:dyDescent="0.25">
      <c r="A1674">
        <v>1142.3242540000001</v>
      </c>
      <c r="B1674" s="1">
        <f>DATE(2013,6,16) + TIME(7,46,55)</f>
        <v>41441.324247685188</v>
      </c>
      <c r="C1674">
        <v>80</v>
      </c>
      <c r="D1674">
        <v>79.960906981999997</v>
      </c>
      <c r="E1674">
        <v>40</v>
      </c>
      <c r="F1674">
        <v>38.687778473000002</v>
      </c>
      <c r="G1674">
        <v>1341.3278809000001</v>
      </c>
      <c r="H1674">
        <v>1338.3796387</v>
      </c>
      <c r="I1674">
        <v>1324.005249</v>
      </c>
      <c r="J1674">
        <v>1320.8596190999999</v>
      </c>
      <c r="K1674">
        <v>1650</v>
      </c>
      <c r="L1674">
        <v>0</v>
      </c>
      <c r="M1674">
        <v>0</v>
      </c>
      <c r="N1674">
        <v>1650</v>
      </c>
    </row>
    <row r="1675" spans="1:14" x14ac:dyDescent="0.25">
      <c r="A1675">
        <v>1142.8511410000001</v>
      </c>
      <c r="B1675" s="1">
        <f>DATE(2013,6,16) + TIME(20,25,38)</f>
        <v>41441.851134259261</v>
      </c>
      <c r="C1675">
        <v>80</v>
      </c>
      <c r="D1675">
        <v>79.960861206000004</v>
      </c>
      <c r="E1675">
        <v>40</v>
      </c>
      <c r="F1675">
        <v>38.680427551000001</v>
      </c>
      <c r="G1675">
        <v>1341.3176269999999</v>
      </c>
      <c r="H1675">
        <v>1338.3753661999999</v>
      </c>
      <c r="I1675">
        <v>1324.0014647999999</v>
      </c>
      <c r="J1675">
        <v>1320.8524170000001</v>
      </c>
      <c r="K1675">
        <v>1650</v>
      </c>
      <c r="L1675">
        <v>0</v>
      </c>
      <c r="M1675">
        <v>0</v>
      </c>
      <c r="N1675">
        <v>1650</v>
      </c>
    </row>
    <row r="1676" spans="1:14" x14ac:dyDescent="0.25">
      <c r="A1676">
        <v>1143.903309</v>
      </c>
      <c r="B1676" s="1">
        <f>DATE(2013,6,17) + TIME(21,40,45)</f>
        <v>41442.903298611112</v>
      </c>
      <c r="C1676">
        <v>80</v>
      </c>
      <c r="D1676">
        <v>79.960823059000006</v>
      </c>
      <c r="E1676">
        <v>40</v>
      </c>
      <c r="F1676">
        <v>38.670360565000003</v>
      </c>
      <c r="G1676">
        <v>1341.3126221</v>
      </c>
      <c r="H1676">
        <v>1338.3732910000001</v>
      </c>
      <c r="I1676">
        <v>1323.9987793</v>
      </c>
      <c r="J1676">
        <v>1320.8470459</v>
      </c>
      <c r="K1676">
        <v>1650</v>
      </c>
      <c r="L1676">
        <v>0</v>
      </c>
      <c r="M1676">
        <v>0</v>
      </c>
      <c r="N1676">
        <v>1650</v>
      </c>
    </row>
    <row r="1677" spans="1:14" x14ac:dyDescent="0.25">
      <c r="A1677">
        <v>1144.9558890000001</v>
      </c>
      <c r="B1677" s="1">
        <f>DATE(2013,6,18) + TIME(22,56,28)</f>
        <v>41443.955879629626</v>
      </c>
      <c r="C1677">
        <v>80</v>
      </c>
      <c r="D1677">
        <v>79.960769653</v>
      </c>
      <c r="E1677">
        <v>40</v>
      </c>
      <c r="F1677">
        <v>38.661014557000001</v>
      </c>
      <c r="G1677">
        <v>1341.3027344</v>
      </c>
      <c r="H1677">
        <v>1338.3691406</v>
      </c>
      <c r="I1677">
        <v>1323.994751</v>
      </c>
      <c r="J1677">
        <v>1320.8389893000001</v>
      </c>
      <c r="K1677">
        <v>1650</v>
      </c>
      <c r="L1677">
        <v>0</v>
      </c>
      <c r="M1677">
        <v>0</v>
      </c>
      <c r="N1677">
        <v>1650</v>
      </c>
    </row>
    <row r="1678" spans="1:14" x14ac:dyDescent="0.25">
      <c r="A1678">
        <v>1146.0122269999999</v>
      </c>
      <c r="B1678" s="1">
        <f>DATE(2013,6,20) + TIME(0,17,36)</f>
        <v>41445.01222222222</v>
      </c>
      <c r="C1678">
        <v>80</v>
      </c>
      <c r="D1678">
        <v>79.960723877000007</v>
      </c>
      <c r="E1678">
        <v>40</v>
      </c>
      <c r="F1678">
        <v>38.652637482000003</v>
      </c>
      <c r="G1678">
        <v>1341.2929687999999</v>
      </c>
      <c r="H1678">
        <v>1338.3649902</v>
      </c>
      <c r="I1678">
        <v>1323.9904785000001</v>
      </c>
      <c r="J1678">
        <v>1320.8306885</v>
      </c>
      <c r="K1678">
        <v>1650</v>
      </c>
      <c r="L1678">
        <v>0</v>
      </c>
      <c r="M1678">
        <v>0</v>
      </c>
      <c r="N1678">
        <v>1650</v>
      </c>
    </row>
    <row r="1679" spans="1:14" x14ac:dyDescent="0.25">
      <c r="A1679">
        <v>1147.075885</v>
      </c>
      <c r="B1679" s="1">
        <f>DATE(2013,6,21) + TIME(1,49,16)</f>
        <v>41446.075879629629</v>
      </c>
      <c r="C1679">
        <v>80</v>
      </c>
      <c r="D1679">
        <v>79.960678100999999</v>
      </c>
      <c r="E1679">
        <v>40</v>
      </c>
      <c r="F1679">
        <v>38.645393372000001</v>
      </c>
      <c r="G1679">
        <v>1341.2834473</v>
      </c>
      <c r="H1679">
        <v>1338.3609618999999</v>
      </c>
      <c r="I1679">
        <v>1323.9862060999999</v>
      </c>
      <c r="J1679">
        <v>1320.8222656</v>
      </c>
      <c r="K1679">
        <v>1650</v>
      </c>
      <c r="L1679">
        <v>0</v>
      </c>
      <c r="M1679">
        <v>0</v>
      </c>
      <c r="N1679">
        <v>1650</v>
      </c>
    </row>
    <row r="1680" spans="1:14" x14ac:dyDescent="0.25">
      <c r="A1680">
        <v>1148.150408</v>
      </c>
      <c r="B1680" s="1">
        <f>DATE(2013,6,22) + TIME(3,36,35)</f>
        <v>41447.150405092594</v>
      </c>
      <c r="C1680">
        <v>80</v>
      </c>
      <c r="D1680">
        <v>79.960632324000002</v>
      </c>
      <c r="E1680">
        <v>40</v>
      </c>
      <c r="F1680">
        <v>38.639400481999999</v>
      </c>
      <c r="G1680">
        <v>1341.2739257999999</v>
      </c>
      <c r="H1680">
        <v>1338.3569336</v>
      </c>
      <c r="I1680">
        <v>1323.9819336</v>
      </c>
      <c r="J1680">
        <v>1320.8135986</v>
      </c>
      <c r="K1680">
        <v>1650</v>
      </c>
      <c r="L1680">
        <v>0</v>
      </c>
      <c r="M1680">
        <v>0</v>
      </c>
      <c r="N1680">
        <v>1650</v>
      </c>
    </row>
    <row r="1681" spans="1:14" x14ac:dyDescent="0.25">
      <c r="A1681">
        <v>1149.2371639999999</v>
      </c>
      <c r="B1681" s="1">
        <f>DATE(2013,6,23) + TIME(5,41,30)</f>
        <v>41448.23715277778</v>
      </c>
      <c r="C1681">
        <v>80</v>
      </c>
      <c r="D1681">
        <v>79.960586547999995</v>
      </c>
      <c r="E1681">
        <v>40</v>
      </c>
      <c r="F1681">
        <v>38.634780884000001</v>
      </c>
      <c r="G1681">
        <v>1341.2644043</v>
      </c>
      <c r="H1681">
        <v>1338.3529053</v>
      </c>
      <c r="I1681">
        <v>1323.9775391000001</v>
      </c>
      <c r="J1681">
        <v>1320.8046875</v>
      </c>
      <c r="K1681">
        <v>1650</v>
      </c>
      <c r="L1681">
        <v>0</v>
      </c>
      <c r="M1681">
        <v>0</v>
      </c>
      <c r="N1681">
        <v>1650</v>
      </c>
    </row>
    <row r="1682" spans="1:14" x14ac:dyDescent="0.25">
      <c r="A1682">
        <v>1150.3421599999999</v>
      </c>
      <c r="B1682" s="1">
        <f>DATE(2013,6,24) + TIME(8,12,42)</f>
        <v>41449.342152777775</v>
      </c>
      <c r="C1682">
        <v>80</v>
      </c>
      <c r="D1682">
        <v>79.960540770999998</v>
      </c>
      <c r="E1682">
        <v>40</v>
      </c>
      <c r="F1682">
        <v>38.631652832</v>
      </c>
      <c r="G1682">
        <v>1341.2551269999999</v>
      </c>
      <c r="H1682">
        <v>1338.3488769999999</v>
      </c>
      <c r="I1682">
        <v>1323.9730225000001</v>
      </c>
      <c r="J1682">
        <v>1320.7956543</v>
      </c>
      <c r="K1682">
        <v>1650</v>
      </c>
      <c r="L1682">
        <v>0</v>
      </c>
      <c r="M1682">
        <v>0</v>
      </c>
      <c r="N1682">
        <v>1650</v>
      </c>
    </row>
    <row r="1683" spans="1:14" x14ac:dyDescent="0.25">
      <c r="A1683">
        <v>1151.4781390000001</v>
      </c>
      <c r="B1683" s="1">
        <f>DATE(2013,6,25) + TIME(11,28,31)</f>
        <v>41450.478136574071</v>
      </c>
      <c r="C1683">
        <v>80</v>
      </c>
      <c r="D1683">
        <v>79.960494995000005</v>
      </c>
      <c r="E1683">
        <v>40</v>
      </c>
      <c r="F1683">
        <v>38.630157470999997</v>
      </c>
      <c r="G1683">
        <v>1341.2457274999999</v>
      </c>
      <c r="H1683">
        <v>1338.3447266000001</v>
      </c>
      <c r="I1683">
        <v>1323.9683838000001</v>
      </c>
      <c r="J1683">
        <v>1320.7863769999999</v>
      </c>
      <c r="K1683">
        <v>1650</v>
      </c>
      <c r="L1683">
        <v>0</v>
      </c>
      <c r="M1683">
        <v>0</v>
      </c>
      <c r="N1683">
        <v>1650</v>
      </c>
    </row>
    <row r="1684" spans="1:14" x14ac:dyDescent="0.25">
      <c r="A1684">
        <v>1152.650697</v>
      </c>
      <c r="B1684" s="1">
        <f>DATE(2013,6,26) + TIME(15,37,0)</f>
        <v>41451.650694444441</v>
      </c>
      <c r="C1684">
        <v>80</v>
      </c>
      <c r="D1684">
        <v>79.960449218999997</v>
      </c>
      <c r="E1684">
        <v>40</v>
      </c>
      <c r="F1684">
        <v>38.630493164000001</v>
      </c>
      <c r="G1684">
        <v>1341.2363281</v>
      </c>
      <c r="H1684">
        <v>1338.3406981999999</v>
      </c>
      <c r="I1684">
        <v>1323.9637451000001</v>
      </c>
      <c r="J1684">
        <v>1320.7767334</v>
      </c>
      <c r="K1684">
        <v>1650</v>
      </c>
      <c r="L1684">
        <v>0</v>
      </c>
      <c r="M1684">
        <v>0</v>
      </c>
      <c r="N1684">
        <v>1650</v>
      </c>
    </row>
    <row r="1685" spans="1:14" x14ac:dyDescent="0.25">
      <c r="A1685">
        <v>1153.8664200000001</v>
      </c>
      <c r="B1685" s="1">
        <f>DATE(2013,6,27) + TIME(20,47,38)</f>
        <v>41452.866412037038</v>
      </c>
      <c r="C1685">
        <v>80</v>
      </c>
      <c r="D1685">
        <v>79.960403442</v>
      </c>
      <c r="E1685">
        <v>40</v>
      </c>
      <c r="F1685">
        <v>38.632930756</v>
      </c>
      <c r="G1685">
        <v>1341.2266846</v>
      </c>
      <c r="H1685">
        <v>1338.3364257999999</v>
      </c>
      <c r="I1685">
        <v>1323.9588623</v>
      </c>
      <c r="J1685">
        <v>1320.7667236</v>
      </c>
      <c r="K1685">
        <v>1650</v>
      </c>
      <c r="L1685">
        <v>0</v>
      </c>
      <c r="M1685">
        <v>0</v>
      </c>
      <c r="N1685">
        <v>1650</v>
      </c>
    </row>
    <row r="1686" spans="1:14" x14ac:dyDescent="0.25">
      <c r="A1686">
        <v>1155.1205769999999</v>
      </c>
      <c r="B1686" s="1">
        <f>DATE(2013,6,29) + TIME(2,53,37)</f>
        <v>41454.120567129627</v>
      </c>
      <c r="C1686">
        <v>80</v>
      </c>
      <c r="D1686">
        <v>79.960357665999993</v>
      </c>
      <c r="E1686">
        <v>40</v>
      </c>
      <c r="F1686">
        <v>38.637783051</v>
      </c>
      <c r="G1686">
        <v>1341.2169189000001</v>
      </c>
      <c r="H1686">
        <v>1338.3321533000001</v>
      </c>
      <c r="I1686">
        <v>1323.9538574000001</v>
      </c>
      <c r="J1686">
        <v>1320.7563477000001</v>
      </c>
      <c r="K1686">
        <v>1650</v>
      </c>
      <c r="L1686">
        <v>0</v>
      </c>
      <c r="M1686">
        <v>0</v>
      </c>
      <c r="N1686">
        <v>1650</v>
      </c>
    </row>
    <row r="1687" spans="1:14" x14ac:dyDescent="0.25">
      <c r="A1687">
        <v>1156.398091</v>
      </c>
      <c r="B1687" s="1">
        <f>DATE(2013,6,30) + TIME(9,33,15)</f>
        <v>41455.398090277777</v>
      </c>
      <c r="C1687">
        <v>80</v>
      </c>
      <c r="D1687">
        <v>79.960319518999995</v>
      </c>
      <c r="E1687">
        <v>40</v>
      </c>
      <c r="F1687">
        <v>38.645359038999999</v>
      </c>
      <c r="G1687">
        <v>1341.2069091999999</v>
      </c>
      <c r="H1687">
        <v>1338.3277588000001</v>
      </c>
      <c r="I1687">
        <v>1323.9487305</v>
      </c>
      <c r="J1687">
        <v>1320.7456055</v>
      </c>
      <c r="K1687">
        <v>1650</v>
      </c>
      <c r="L1687">
        <v>0</v>
      </c>
      <c r="M1687">
        <v>0</v>
      </c>
      <c r="N1687">
        <v>1650</v>
      </c>
    </row>
    <row r="1688" spans="1:14" x14ac:dyDescent="0.25">
      <c r="A1688">
        <v>1157</v>
      </c>
      <c r="B1688" s="1">
        <f>DATE(2013,7,1) + TIME(0,0,0)</f>
        <v>41456</v>
      </c>
      <c r="C1688">
        <v>80</v>
      </c>
      <c r="D1688">
        <v>79.960273743000002</v>
      </c>
      <c r="E1688">
        <v>40</v>
      </c>
      <c r="F1688">
        <v>38.652122497999997</v>
      </c>
      <c r="G1688">
        <v>1341.1970214999999</v>
      </c>
      <c r="H1688">
        <v>1338.3233643000001</v>
      </c>
      <c r="I1688">
        <v>1323.9444579999999</v>
      </c>
      <c r="J1688">
        <v>1320.7358397999999</v>
      </c>
      <c r="K1688">
        <v>1650</v>
      </c>
      <c r="L1688">
        <v>0</v>
      </c>
      <c r="M1688">
        <v>0</v>
      </c>
      <c r="N1688">
        <v>1650</v>
      </c>
    </row>
    <row r="1689" spans="1:14" x14ac:dyDescent="0.25">
      <c r="A1689">
        <v>1158.3178700000001</v>
      </c>
      <c r="B1689" s="1">
        <f>DATE(2013,7,2) + TIME(7,37,43)</f>
        <v>41457.317858796298</v>
      </c>
      <c r="C1689">
        <v>80</v>
      </c>
      <c r="D1689">
        <v>79.960243224999999</v>
      </c>
      <c r="E1689">
        <v>40</v>
      </c>
      <c r="F1689">
        <v>38.663303374999998</v>
      </c>
      <c r="G1689">
        <v>1341.1923827999999</v>
      </c>
      <c r="H1689">
        <v>1338.3212891000001</v>
      </c>
      <c r="I1689">
        <v>1323.9405518000001</v>
      </c>
      <c r="J1689">
        <v>1320.7286377</v>
      </c>
      <c r="K1689">
        <v>1650</v>
      </c>
      <c r="L1689">
        <v>0</v>
      </c>
      <c r="M1689">
        <v>0</v>
      </c>
      <c r="N1689">
        <v>1650</v>
      </c>
    </row>
    <row r="1690" spans="1:14" x14ac:dyDescent="0.25">
      <c r="A1690">
        <v>1159.6507919999999</v>
      </c>
      <c r="B1690" s="1">
        <f>DATE(2013,7,3) + TIME(15,37,8)</f>
        <v>41458.650787037041</v>
      </c>
      <c r="C1690">
        <v>80</v>
      </c>
      <c r="D1690">
        <v>79.960205078000001</v>
      </c>
      <c r="E1690">
        <v>40</v>
      </c>
      <c r="F1690">
        <v>38.678451537999997</v>
      </c>
      <c r="G1690">
        <v>1341.1824951000001</v>
      </c>
      <c r="H1690">
        <v>1338.3167725000001</v>
      </c>
      <c r="I1690">
        <v>1323.9354248</v>
      </c>
      <c r="J1690">
        <v>1320.7175293</v>
      </c>
      <c r="K1690">
        <v>1650</v>
      </c>
      <c r="L1690">
        <v>0</v>
      </c>
      <c r="M1690">
        <v>0</v>
      </c>
      <c r="N1690">
        <v>1650</v>
      </c>
    </row>
    <row r="1691" spans="1:14" x14ac:dyDescent="0.25">
      <c r="A1691">
        <v>1160.984312</v>
      </c>
      <c r="B1691" s="1">
        <f>DATE(2013,7,4) + TIME(23,37,24)</f>
        <v>41459.984305555554</v>
      </c>
      <c r="C1691">
        <v>80</v>
      </c>
      <c r="D1691">
        <v>79.960166931000003</v>
      </c>
      <c r="E1691">
        <v>40</v>
      </c>
      <c r="F1691">
        <v>38.697505950999997</v>
      </c>
      <c r="G1691">
        <v>1341.1724853999999</v>
      </c>
      <c r="H1691">
        <v>1338.3122559000001</v>
      </c>
      <c r="I1691">
        <v>1323.9301757999999</v>
      </c>
      <c r="J1691">
        <v>1320.7061768000001</v>
      </c>
      <c r="K1691">
        <v>1650</v>
      </c>
      <c r="L1691">
        <v>0</v>
      </c>
      <c r="M1691">
        <v>0</v>
      </c>
      <c r="N1691">
        <v>1650</v>
      </c>
    </row>
    <row r="1692" spans="1:14" x14ac:dyDescent="0.25">
      <c r="A1692">
        <v>1162.324523</v>
      </c>
      <c r="B1692" s="1">
        <f>DATE(2013,7,6) + TIME(7,47,18)</f>
        <v>41461.324513888889</v>
      </c>
      <c r="C1692">
        <v>80</v>
      </c>
      <c r="D1692">
        <v>79.960128784000005</v>
      </c>
      <c r="E1692">
        <v>40</v>
      </c>
      <c r="F1692">
        <v>38.720561981000003</v>
      </c>
      <c r="G1692">
        <v>1341.1627197</v>
      </c>
      <c r="H1692">
        <v>1338.3078613</v>
      </c>
      <c r="I1692">
        <v>1323.9249268000001</v>
      </c>
      <c r="J1692">
        <v>1320.6945800999999</v>
      </c>
      <c r="K1692">
        <v>1650</v>
      </c>
      <c r="L1692">
        <v>0</v>
      </c>
      <c r="M1692">
        <v>0</v>
      </c>
      <c r="N1692">
        <v>1650</v>
      </c>
    </row>
    <row r="1693" spans="1:14" x14ac:dyDescent="0.25">
      <c r="A1693">
        <v>1163.6774399999999</v>
      </c>
      <c r="B1693" s="1">
        <f>DATE(2013,7,7) + TIME(16,15,30)</f>
        <v>41462.677430555559</v>
      </c>
      <c r="C1693">
        <v>80</v>
      </c>
      <c r="D1693">
        <v>79.960083007999998</v>
      </c>
      <c r="E1693">
        <v>40</v>
      </c>
      <c r="F1693">
        <v>38.747882842999999</v>
      </c>
      <c r="G1693">
        <v>1341.1530762</v>
      </c>
      <c r="H1693">
        <v>1338.3034668</v>
      </c>
      <c r="I1693">
        <v>1323.9196777</v>
      </c>
      <c r="J1693">
        <v>1320.6829834</v>
      </c>
      <c r="K1693">
        <v>1650</v>
      </c>
      <c r="L1693">
        <v>0</v>
      </c>
      <c r="M1693">
        <v>0</v>
      </c>
      <c r="N1693">
        <v>1650</v>
      </c>
    </row>
    <row r="1694" spans="1:14" x14ac:dyDescent="0.25">
      <c r="A1694">
        <v>1165.0493389999999</v>
      </c>
      <c r="B1694" s="1">
        <f>DATE(2013,7,9) + TIME(1,11,2)</f>
        <v>41464.049328703702</v>
      </c>
      <c r="C1694">
        <v>80</v>
      </c>
      <c r="D1694">
        <v>79.960044861</v>
      </c>
      <c r="E1694">
        <v>40</v>
      </c>
      <c r="F1694">
        <v>38.779850005999997</v>
      </c>
      <c r="G1694">
        <v>1341.1435547000001</v>
      </c>
      <c r="H1694">
        <v>1338.2989502</v>
      </c>
      <c r="I1694">
        <v>1323.9144286999999</v>
      </c>
      <c r="J1694">
        <v>1320.6712646000001</v>
      </c>
      <c r="K1694">
        <v>1650</v>
      </c>
      <c r="L1694">
        <v>0</v>
      </c>
      <c r="M1694">
        <v>0</v>
      </c>
      <c r="N1694">
        <v>1650</v>
      </c>
    </row>
    <row r="1695" spans="1:14" x14ac:dyDescent="0.25">
      <c r="A1695">
        <v>1166.4538669999999</v>
      </c>
      <c r="B1695" s="1">
        <f>DATE(2013,7,10) + TIME(10,53,34)</f>
        <v>41465.453865740739</v>
      </c>
      <c r="C1695">
        <v>80</v>
      </c>
      <c r="D1695">
        <v>79.960014342999997</v>
      </c>
      <c r="E1695">
        <v>40</v>
      </c>
      <c r="F1695">
        <v>38.817058563000003</v>
      </c>
      <c r="G1695">
        <v>1341.1340332</v>
      </c>
      <c r="H1695">
        <v>1338.2945557</v>
      </c>
      <c r="I1695">
        <v>1323.9090576000001</v>
      </c>
      <c r="J1695">
        <v>1320.6593018000001</v>
      </c>
      <c r="K1695">
        <v>1650</v>
      </c>
      <c r="L1695">
        <v>0</v>
      </c>
      <c r="M1695">
        <v>0</v>
      </c>
      <c r="N1695">
        <v>1650</v>
      </c>
    </row>
    <row r="1696" spans="1:14" x14ac:dyDescent="0.25">
      <c r="A1696">
        <v>1167.9062249999999</v>
      </c>
      <c r="B1696" s="1">
        <f>DATE(2013,7,11) + TIME(21,44,57)</f>
        <v>41466.906215277777</v>
      </c>
      <c r="C1696">
        <v>80</v>
      </c>
      <c r="D1696">
        <v>79.959976196</v>
      </c>
      <c r="E1696">
        <v>40</v>
      </c>
      <c r="F1696">
        <v>38.860359191999997</v>
      </c>
      <c r="G1696">
        <v>1341.1243896000001</v>
      </c>
      <c r="H1696">
        <v>1338.2900391000001</v>
      </c>
      <c r="I1696">
        <v>1323.9038086</v>
      </c>
      <c r="J1696">
        <v>1320.6473389</v>
      </c>
      <c r="K1696">
        <v>1650</v>
      </c>
      <c r="L1696">
        <v>0</v>
      </c>
      <c r="M1696">
        <v>0</v>
      </c>
      <c r="N1696">
        <v>1650</v>
      </c>
    </row>
    <row r="1697" spans="1:14" x14ac:dyDescent="0.25">
      <c r="A1697">
        <v>1169.4064519999999</v>
      </c>
      <c r="B1697" s="1">
        <f>DATE(2013,7,13) + TIME(9,45,17)</f>
        <v>41468.406446759262</v>
      </c>
      <c r="C1697">
        <v>80</v>
      </c>
      <c r="D1697">
        <v>79.959938049000002</v>
      </c>
      <c r="E1697">
        <v>40</v>
      </c>
      <c r="F1697">
        <v>38.910678863999998</v>
      </c>
      <c r="G1697">
        <v>1341.114624</v>
      </c>
      <c r="H1697">
        <v>1338.2854004000001</v>
      </c>
      <c r="I1697">
        <v>1323.8984375</v>
      </c>
      <c r="J1697">
        <v>1320.6350098</v>
      </c>
      <c r="K1697">
        <v>1650</v>
      </c>
      <c r="L1697">
        <v>0</v>
      </c>
      <c r="M1697">
        <v>0</v>
      </c>
      <c r="N1697">
        <v>1650</v>
      </c>
    </row>
    <row r="1698" spans="1:14" x14ac:dyDescent="0.25">
      <c r="A1698">
        <v>1170.9290350000001</v>
      </c>
      <c r="B1698" s="1">
        <f>DATE(2013,7,14) + TIME(22,17,48)</f>
        <v>41469.929027777776</v>
      </c>
      <c r="C1698">
        <v>80</v>
      </c>
      <c r="D1698">
        <v>79.959899902000004</v>
      </c>
      <c r="E1698">
        <v>40</v>
      </c>
      <c r="F1698">
        <v>38.968528747999997</v>
      </c>
      <c r="G1698">
        <v>1341.1046143000001</v>
      </c>
      <c r="H1698">
        <v>1338.2806396000001</v>
      </c>
      <c r="I1698">
        <v>1323.8931885</v>
      </c>
      <c r="J1698">
        <v>1320.6224365</v>
      </c>
      <c r="K1698">
        <v>1650</v>
      </c>
      <c r="L1698">
        <v>0</v>
      </c>
      <c r="M1698">
        <v>0</v>
      </c>
      <c r="N1698">
        <v>1650</v>
      </c>
    </row>
    <row r="1699" spans="1:14" x14ac:dyDescent="0.25">
      <c r="A1699">
        <v>1172.48144</v>
      </c>
      <c r="B1699" s="1">
        <f>DATE(2013,7,16) + TIME(11,33,16)</f>
        <v>41471.481435185182</v>
      </c>
      <c r="C1699">
        <v>80</v>
      </c>
      <c r="D1699">
        <v>79.959869385000005</v>
      </c>
      <c r="E1699">
        <v>40</v>
      </c>
      <c r="F1699">
        <v>39.034538269000002</v>
      </c>
      <c r="G1699">
        <v>1341.0947266000001</v>
      </c>
      <c r="H1699">
        <v>1338.2758789</v>
      </c>
      <c r="I1699">
        <v>1323.8879394999999</v>
      </c>
      <c r="J1699">
        <v>1320.6098632999999</v>
      </c>
      <c r="K1699">
        <v>1650</v>
      </c>
      <c r="L1699">
        <v>0</v>
      </c>
      <c r="M1699">
        <v>0</v>
      </c>
      <c r="N1699">
        <v>1650</v>
      </c>
    </row>
    <row r="1700" spans="1:14" x14ac:dyDescent="0.25">
      <c r="A1700">
        <v>1174.0716970000001</v>
      </c>
      <c r="B1700" s="1">
        <f>DATE(2013,7,18) + TIME(1,43,14)</f>
        <v>41473.071689814817</v>
      </c>
      <c r="C1700">
        <v>80</v>
      </c>
      <c r="D1700">
        <v>79.959831238000007</v>
      </c>
      <c r="E1700">
        <v>40</v>
      </c>
      <c r="F1700">
        <v>39.109664917000003</v>
      </c>
      <c r="G1700">
        <v>1341.0847168</v>
      </c>
      <c r="H1700">
        <v>1338.2709961</v>
      </c>
      <c r="I1700">
        <v>1323.8826904</v>
      </c>
      <c r="J1700">
        <v>1320.597168</v>
      </c>
      <c r="K1700">
        <v>1650</v>
      </c>
      <c r="L1700">
        <v>0</v>
      </c>
      <c r="M1700">
        <v>0</v>
      </c>
      <c r="N1700">
        <v>1650</v>
      </c>
    </row>
    <row r="1701" spans="1:14" x14ac:dyDescent="0.25">
      <c r="A1701">
        <v>1175.7029640000001</v>
      </c>
      <c r="B1701" s="1">
        <f>DATE(2013,7,19) + TIME(16,52,16)</f>
        <v>41474.702962962961</v>
      </c>
      <c r="C1701">
        <v>80</v>
      </c>
      <c r="D1701">
        <v>79.959800720000004</v>
      </c>
      <c r="E1701">
        <v>40</v>
      </c>
      <c r="F1701">
        <v>39.195068358999997</v>
      </c>
      <c r="G1701">
        <v>1341.074707</v>
      </c>
      <c r="H1701">
        <v>1338.2661132999999</v>
      </c>
      <c r="I1701">
        <v>1323.8775635</v>
      </c>
      <c r="J1701">
        <v>1320.5844727000001</v>
      </c>
      <c r="K1701">
        <v>1650</v>
      </c>
      <c r="L1701">
        <v>0</v>
      </c>
      <c r="M1701">
        <v>0</v>
      </c>
      <c r="N1701">
        <v>1650</v>
      </c>
    </row>
    <row r="1702" spans="1:14" x14ac:dyDescent="0.25">
      <c r="A1702">
        <v>1177.379559</v>
      </c>
      <c r="B1702" s="1">
        <f>DATE(2013,7,21) + TIME(9,6,33)</f>
        <v>41476.379548611112</v>
      </c>
      <c r="C1702">
        <v>80</v>
      </c>
      <c r="D1702">
        <v>79.959770203000005</v>
      </c>
      <c r="E1702">
        <v>40</v>
      </c>
      <c r="F1702">
        <v>39.292064666999998</v>
      </c>
      <c r="G1702">
        <v>1341.0645752</v>
      </c>
      <c r="H1702">
        <v>1338.2611084</v>
      </c>
      <c r="I1702">
        <v>1323.8725586</v>
      </c>
      <c r="J1702">
        <v>1320.5717772999999</v>
      </c>
      <c r="K1702">
        <v>1650</v>
      </c>
      <c r="L1702">
        <v>0</v>
      </c>
      <c r="M1702">
        <v>0</v>
      </c>
      <c r="N1702">
        <v>1650</v>
      </c>
    </row>
    <row r="1703" spans="1:14" x14ac:dyDescent="0.25">
      <c r="A1703">
        <v>1179.061811</v>
      </c>
      <c r="B1703" s="1">
        <f>DATE(2013,7,23) + TIME(1,29,0)</f>
        <v>41478.061805555553</v>
      </c>
      <c r="C1703">
        <v>80</v>
      </c>
      <c r="D1703">
        <v>79.959732056000007</v>
      </c>
      <c r="E1703">
        <v>40</v>
      </c>
      <c r="F1703">
        <v>39.401046753000003</v>
      </c>
      <c r="G1703">
        <v>1341.0543213000001</v>
      </c>
      <c r="H1703">
        <v>1338.2559814000001</v>
      </c>
      <c r="I1703">
        <v>1323.8676757999999</v>
      </c>
      <c r="J1703">
        <v>1320.5592041</v>
      </c>
      <c r="K1703">
        <v>1650</v>
      </c>
      <c r="L1703">
        <v>0</v>
      </c>
      <c r="M1703">
        <v>0</v>
      </c>
      <c r="N1703">
        <v>1650</v>
      </c>
    </row>
    <row r="1704" spans="1:14" x14ac:dyDescent="0.25">
      <c r="A1704">
        <v>1180.758814</v>
      </c>
      <c r="B1704" s="1">
        <f>DATE(2013,7,24) + TIME(18,12,41)</f>
        <v>41479.75880787037</v>
      </c>
      <c r="C1704">
        <v>80</v>
      </c>
      <c r="D1704">
        <v>79.959701538000004</v>
      </c>
      <c r="E1704">
        <v>40</v>
      </c>
      <c r="F1704">
        <v>39.522392273000001</v>
      </c>
      <c r="G1704">
        <v>1341.0441894999999</v>
      </c>
      <c r="H1704">
        <v>1338.2509766000001</v>
      </c>
      <c r="I1704">
        <v>1323.8630370999999</v>
      </c>
      <c r="J1704">
        <v>1320.546875</v>
      </c>
      <c r="K1704">
        <v>1650</v>
      </c>
      <c r="L1704">
        <v>0</v>
      </c>
      <c r="M1704">
        <v>0</v>
      </c>
      <c r="N1704">
        <v>1650</v>
      </c>
    </row>
    <row r="1705" spans="1:14" x14ac:dyDescent="0.25">
      <c r="A1705">
        <v>1182.479435</v>
      </c>
      <c r="B1705" s="1">
        <f>DATE(2013,7,26) + TIME(11,30,23)</f>
        <v>41481.479432870372</v>
      </c>
      <c r="C1705">
        <v>80</v>
      </c>
      <c r="D1705">
        <v>79.959678650000001</v>
      </c>
      <c r="E1705">
        <v>40</v>
      </c>
      <c r="F1705">
        <v>39.657222748000002</v>
      </c>
      <c r="G1705">
        <v>1341.0341797000001</v>
      </c>
      <c r="H1705">
        <v>1338.2458495999999</v>
      </c>
      <c r="I1705">
        <v>1323.8586425999999</v>
      </c>
      <c r="J1705">
        <v>1320.5347899999999</v>
      </c>
      <c r="K1705">
        <v>1650</v>
      </c>
      <c r="L1705">
        <v>0</v>
      </c>
      <c r="M1705">
        <v>0</v>
      </c>
      <c r="N1705">
        <v>1650</v>
      </c>
    </row>
    <row r="1706" spans="1:14" x14ac:dyDescent="0.25">
      <c r="A1706">
        <v>1184.2384529999999</v>
      </c>
      <c r="B1706" s="1">
        <f>DATE(2013,7,28) + TIME(5,43,22)</f>
        <v>41483.238449074073</v>
      </c>
      <c r="C1706">
        <v>80</v>
      </c>
      <c r="D1706">
        <v>79.959648131999998</v>
      </c>
      <c r="E1706">
        <v>40</v>
      </c>
      <c r="F1706">
        <v>39.807331085000001</v>
      </c>
      <c r="G1706">
        <v>1341.0241699000001</v>
      </c>
      <c r="H1706">
        <v>1338.2407227000001</v>
      </c>
      <c r="I1706">
        <v>1323.8546143000001</v>
      </c>
      <c r="J1706">
        <v>1320.5231934000001</v>
      </c>
      <c r="K1706">
        <v>1650</v>
      </c>
      <c r="L1706">
        <v>0</v>
      </c>
      <c r="M1706">
        <v>0</v>
      </c>
      <c r="N1706">
        <v>1650</v>
      </c>
    </row>
    <row r="1707" spans="1:14" x14ac:dyDescent="0.25">
      <c r="A1707">
        <v>1186.0352049999999</v>
      </c>
      <c r="B1707" s="1">
        <f>DATE(2013,7,30) + TIME(0,50,41)</f>
        <v>41485.035196759258</v>
      </c>
      <c r="C1707">
        <v>80</v>
      </c>
      <c r="D1707">
        <v>79.959617614999999</v>
      </c>
      <c r="E1707">
        <v>40</v>
      </c>
      <c r="F1707">
        <v>39.974620819000002</v>
      </c>
      <c r="G1707">
        <v>1341.0140381000001</v>
      </c>
      <c r="H1707">
        <v>1338.2355957</v>
      </c>
      <c r="I1707">
        <v>1323.8507079999999</v>
      </c>
      <c r="J1707">
        <v>1320.5118408000001</v>
      </c>
      <c r="K1707">
        <v>1650</v>
      </c>
      <c r="L1707">
        <v>0</v>
      </c>
      <c r="M1707">
        <v>0</v>
      </c>
      <c r="N1707">
        <v>1650</v>
      </c>
    </row>
    <row r="1708" spans="1:14" x14ac:dyDescent="0.25">
      <c r="A1708">
        <v>1187.8573819999999</v>
      </c>
      <c r="B1708" s="1">
        <f>DATE(2013,7,31) + TIME(20,34,37)</f>
        <v>41486.857372685183</v>
      </c>
      <c r="C1708">
        <v>80</v>
      </c>
      <c r="D1708">
        <v>79.959594726999995</v>
      </c>
      <c r="E1708">
        <v>40</v>
      </c>
      <c r="F1708">
        <v>40.160457610999998</v>
      </c>
      <c r="G1708">
        <v>1341.0039062000001</v>
      </c>
      <c r="H1708">
        <v>1338.2303466999999</v>
      </c>
      <c r="I1708">
        <v>1323.8472899999999</v>
      </c>
      <c r="J1708">
        <v>1320.5009766000001</v>
      </c>
      <c r="K1708">
        <v>1650</v>
      </c>
      <c r="L1708">
        <v>0</v>
      </c>
      <c r="M1708">
        <v>0</v>
      </c>
      <c r="N1708">
        <v>1650</v>
      </c>
    </row>
    <row r="1709" spans="1:14" x14ac:dyDescent="0.25">
      <c r="A1709">
        <v>1188</v>
      </c>
      <c r="B1709" s="1">
        <f>DATE(2013,8,1) + TIME(0,0,0)</f>
        <v>41487</v>
      </c>
      <c r="C1709">
        <v>80</v>
      </c>
      <c r="D1709">
        <v>79.959579468000001</v>
      </c>
      <c r="E1709">
        <v>40</v>
      </c>
      <c r="F1709">
        <v>40.197429657000001</v>
      </c>
      <c r="G1709">
        <v>1340.9940185999999</v>
      </c>
      <c r="H1709">
        <v>1338.2252197</v>
      </c>
      <c r="I1709">
        <v>1323.8516846</v>
      </c>
      <c r="J1709">
        <v>1320.4943848</v>
      </c>
      <c r="K1709">
        <v>1650</v>
      </c>
      <c r="L1709">
        <v>0</v>
      </c>
      <c r="M1709">
        <v>0</v>
      </c>
      <c r="N1709">
        <v>1650</v>
      </c>
    </row>
    <row r="1710" spans="1:14" x14ac:dyDescent="0.25">
      <c r="A1710">
        <v>1189.8575760000001</v>
      </c>
      <c r="B1710" s="1">
        <f>DATE(2013,8,2) + TIME(20,34,54)</f>
        <v>41488.857569444444</v>
      </c>
      <c r="C1710">
        <v>80</v>
      </c>
      <c r="D1710">
        <v>79.959564209000007</v>
      </c>
      <c r="E1710">
        <v>40</v>
      </c>
      <c r="F1710">
        <v>40.391780853</v>
      </c>
      <c r="G1710">
        <v>1340.9930420000001</v>
      </c>
      <c r="H1710">
        <v>1338.2246094</v>
      </c>
      <c r="I1710">
        <v>1323.8435059000001</v>
      </c>
      <c r="J1710">
        <v>1320.4897461</v>
      </c>
      <c r="K1710">
        <v>1650</v>
      </c>
      <c r="L1710">
        <v>0</v>
      </c>
      <c r="M1710">
        <v>0</v>
      </c>
      <c r="N1710">
        <v>1650</v>
      </c>
    </row>
    <row r="1711" spans="1:14" x14ac:dyDescent="0.25">
      <c r="A1711">
        <v>1191.7758739999999</v>
      </c>
      <c r="B1711" s="1">
        <f>DATE(2013,8,4) + TIME(18,37,15)</f>
        <v>41490.775868055556</v>
      </c>
      <c r="C1711">
        <v>80</v>
      </c>
      <c r="D1711">
        <v>79.959541321000003</v>
      </c>
      <c r="E1711">
        <v>40</v>
      </c>
      <c r="F1711">
        <v>40.617374419999997</v>
      </c>
      <c r="G1711">
        <v>1340.9829102000001</v>
      </c>
      <c r="H1711">
        <v>1338.2192382999999</v>
      </c>
      <c r="I1711">
        <v>1323.8409423999999</v>
      </c>
      <c r="J1711">
        <v>1320.4802245999999</v>
      </c>
      <c r="K1711">
        <v>1650</v>
      </c>
      <c r="L1711">
        <v>0</v>
      </c>
      <c r="M1711">
        <v>0</v>
      </c>
      <c r="N1711">
        <v>1650</v>
      </c>
    </row>
    <row r="1712" spans="1:14" x14ac:dyDescent="0.25">
      <c r="A1712">
        <v>1193.7799910000001</v>
      </c>
      <c r="B1712" s="1">
        <f>DATE(2013,8,6) + TIME(18,43,11)</f>
        <v>41492.779988425929</v>
      </c>
      <c r="C1712">
        <v>80</v>
      </c>
      <c r="D1712">
        <v>79.959518433</v>
      </c>
      <c r="E1712">
        <v>40</v>
      </c>
      <c r="F1712">
        <v>40.874065399000003</v>
      </c>
      <c r="G1712">
        <v>1340.9726562000001</v>
      </c>
      <c r="H1712">
        <v>1338.2137451000001</v>
      </c>
      <c r="I1712">
        <v>1323.8386230000001</v>
      </c>
      <c r="J1712">
        <v>1320.4711914</v>
      </c>
      <c r="K1712">
        <v>1650</v>
      </c>
      <c r="L1712">
        <v>0</v>
      </c>
      <c r="M1712">
        <v>0</v>
      </c>
      <c r="N1712">
        <v>1650</v>
      </c>
    </row>
    <row r="1713" spans="1:14" x14ac:dyDescent="0.25">
      <c r="A1713">
        <v>1195.821948</v>
      </c>
      <c r="B1713" s="1">
        <f>DATE(2013,8,8) + TIME(19,43,36)</f>
        <v>41494.821944444448</v>
      </c>
      <c r="C1713">
        <v>80</v>
      </c>
      <c r="D1713">
        <v>79.959495544000006</v>
      </c>
      <c r="E1713">
        <v>40</v>
      </c>
      <c r="F1713">
        <v>41.162509917999998</v>
      </c>
      <c r="G1713">
        <v>1340.9620361</v>
      </c>
      <c r="H1713">
        <v>1338.2080077999999</v>
      </c>
      <c r="I1713">
        <v>1323.8369141000001</v>
      </c>
      <c r="J1713">
        <v>1320.4628906</v>
      </c>
      <c r="K1713">
        <v>1650</v>
      </c>
      <c r="L1713">
        <v>0</v>
      </c>
      <c r="M1713">
        <v>0</v>
      </c>
      <c r="N1713">
        <v>1650</v>
      </c>
    </row>
    <row r="1714" spans="1:14" x14ac:dyDescent="0.25">
      <c r="A1714">
        <v>1197.9257789999999</v>
      </c>
      <c r="B1714" s="1">
        <f>DATE(2013,8,10) + TIME(22,13,7)</f>
        <v>41496.925775462965</v>
      </c>
      <c r="C1714">
        <v>80</v>
      </c>
      <c r="D1714">
        <v>79.959480286000002</v>
      </c>
      <c r="E1714">
        <v>40</v>
      </c>
      <c r="F1714">
        <v>41.483562468999999</v>
      </c>
      <c r="G1714">
        <v>1340.9514160000001</v>
      </c>
      <c r="H1714">
        <v>1338.2022704999999</v>
      </c>
      <c r="I1714">
        <v>1323.8354492000001</v>
      </c>
      <c r="J1714">
        <v>1320.4554443</v>
      </c>
      <c r="K1714">
        <v>1650</v>
      </c>
      <c r="L1714">
        <v>0</v>
      </c>
      <c r="M1714">
        <v>0</v>
      </c>
      <c r="N1714">
        <v>1650</v>
      </c>
    </row>
    <row r="1715" spans="1:14" x14ac:dyDescent="0.25">
      <c r="A1715">
        <v>1200.056343</v>
      </c>
      <c r="B1715" s="1">
        <f>DATE(2013,8,13) + TIME(1,21,8)</f>
        <v>41499.056342592594</v>
      </c>
      <c r="C1715">
        <v>80</v>
      </c>
      <c r="D1715">
        <v>79.959457396999994</v>
      </c>
      <c r="E1715">
        <v>40</v>
      </c>
      <c r="F1715">
        <v>41.838340758999998</v>
      </c>
      <c r="G1715">
        <v>1340.9406738</v>
      </c>
      <c r="H1715">
        <v>1338.1964111</v>
      </c>
      <c r="I1715">
        <v>1323.8347168</v>
      </c>
      <c r="J1715">
        <v>1320.4492187999999</v>
      </c>
      <c r="K1715">
        <v>1650</v>
      </c>
      <c r="L1715">
        <v>0</v>
      </c>
      <c r="M1715">
        <v>0</v>
      </c>
      <c r="N1715">
        <v>1650</v>
      </c>
    </row>
    <row r="1716" spans="1:14" x14ac:dyDescent="0.25">
      <c r="A1716">
        <v>1202.210431</v>
      </c>
      <c r="B1716" s="1">
        <f>DATE(2013,8,15) + TIME(5,3,1)</f>
        <v>41501.210428240738</v>
      </c>
      <c r="C1716">
        <v>80</v>
      </c>
      <c r="D1716">
        <v>79.959434509000005</v>
      </c>
      <c r="E1716">
        <v>40</v>
      </c>
      <c r="F1716">
        <v>42.225997925000001</v>
      </c>
      <c r="G1716">
        <v>1340.9299315999999</v>
      </c>
      <c r="H1716">
        <v>1338.1905518000001</v>
      </c>
      <c r="I1716">
        <v>1323.8345947</v>
      </c>
      <c r="J1716">
        <v>1320.4440918</v>
      </c>
      <c r="K1716">
        <v>1650</v>
      </c>
      <c r="L1716">
        <v>0</v>
      </c>
      <c r="M1716">
        <v>0</v>
      </c>
      <c r="N1716">
        <v>1650</v>
      </c>
    </row>
    <row r="1717" spans="1:14" x14ac:dyDescent="0.25">
      <c r="A1717">
        <v>1203.2988829999999</v>
      </c>
      <c r="B1717" s="1">
        <f>DATE(2013,8,16) + TIME(7,10,23)</f>
        <v>41502.298877314817</v>
      </c>
      <c r="C1717">
        <v>80</v>
      </c>
      <c r="D1717">
        <v>79.959403992000006</v>
      </c>
      <c r="E1717">
        <v>40</v>
      </c>
      <c r="F1717">
        <v>42.542152405000003</v>
      </c>
      <c r="G1717">
        <v>1340.9194336</v>
      </c>
      <c r="H1717">
        <v>1338.1846923999999</v>
      </c>
      <c r="I1717">
        <v>1323.8392334</v>
      </c>
      <c r="J1717">
        <v>1320.4415283000001</v>
      </c>
      <c r="K1717">
        <v>1650</v>
      </c>
      <c r="L1717">
        <v>0</v>
      </c>
      <c r="M1717">
        <v>0</v>
      </c>
      <c r="N1717">
        <v>1650</v>
      </c>
    </row>
    <row r="1718" spans="1:14" x14ac:dyDescent="0.25">
      <c r="A1718">
        <v>1205.251503</v>
      </c>
      <c r="B1718" s="1">
        <f>DATE(2013,8,18) + TIME(6,2,9)</f>
        <v>41504.251493055555</v>
      </c>
      <c r="C1718">
        <v>80</v>
      </c>
      <c r="D1718">
        <v>79.959403992000006</v>
      </c>
      <c r="E1718">
        <v>40</v>
      </c>
      <c r="F1718">
        <v>42.894210815000001</v>
      </c>
      <c r="G1718">
        <v>1340.9140625</v>
      </c>
      <c r="H1718">
        <v>1338.1816406</v>
      </c>
      <c r="I1718">
        <v>1323.8350829999999</v>
      </c>
      <c r="J1718">
        <v>1320.4400635</v>
      </c>
      <c r="K1718">
        <v>1650</v>
      </c>
      <c r="L1718">
        <v>0</v>
      </c>
      <c r="M1718">
        <v>0</v>
      </c>
      <c r="N1718">
        <v>1650</v>
      </c>
    </row>
    <row r="1719" spans="1:14" x14ac:dyDescent="0.25">
      <c r="A1719">
        <v>1207.346587</v>
      </c>
      <c r="B1719" s="1">
        <f>DATE(2013,8,20) + TIME(8,19,5)</f>
        <v>41506.346585648149</v>
      </c>
      <c r="C1719">
        <v>80</v>
      </c>
      <c r="D1719">
        <v>79.959396362000007</v>
      </c>
      <c r="E1719">
        <v>40</v>
      </c>
      <c r="F1719">
        <v>43.317768096999998</v>
      </c>
      <c r="G1719">
        <v>1340.9046631000001</v>
      </c>
      <c r="H1719">
        <v>1338.1763916</v>
      </c>
      <c r="I1719">
        <v>1323.8363036999999</v>
      </c>
      <c r="J1719">
        <v>1320.4385986</v>
      </c>
      <c r="K1719">
        <v>1650</v>
      </c>
      <c r="L1719">
        <v>0</v>
      </c>
      <c r="M1719">
        <v>0</v>
      </c>
      <c r="N1719">
        <v>1650</v>
      </c>
    </row>
    <row r="1720" spans="1:14" x14ac:dyDescent="0.25">
      <c r="A1720">
        <v>1209.4816350000001</v>
      </c>
      <c r="B1720" s="1">
        <f>DATE(2013,8,22) + TIME(11,33,33)</f>
        <v>41508.481631944444</v>
      </c>
      <c r="C1720">
        <v>80</v>
      </c>
      <c r="D1720">
        <v>79.959381104000002</v>
      </c>
      <c r="E1720">
        <v>40</v>
      </c>
      <c r="F1720">
        <v>43.775985718000001</v>
      </c>
      <c r="G1720">
        <v>1340.8947754000001</v>
      </c>
      <c r="H1720">
        <v>1338.1707764</v>
      </c>
      <c r="I1720">
        <v>1323.8383789</v>
      </c>
      <c r="J1720">
        <v>1320.4384766000001</v>
      </c>
      <c r="K1720">
        <v>1650</v>
      </c>
      <c r="L1720">
        <v>0</v>
      </c>
      <c r="M1720">
        <v>0</v>
      </c>
      <c r="N1720">
        <v>1650</v>
      </c>
    </row>
    <row r="1721" spans="1:14" x14ac:dyDescent="0.25">
      <c r="A1721">
        <v>1211.666295</v>
      </c>
      <c r="B1721" s="1">
        <f>DATE(2013,8,24) + TIME(15,59,27)</f>
        <v>41510.666284722225</v>
      </c>
      <c r="C1721">
        <v>80</v>
      </c>
      <c r="D1721">
        <v>79.959365844999994</v>
      </c>
      <c r="E1721">
        <v>40</v>
      </c>
      <c r="F1721">
        <v>44.268611907999997</v>
      </c>
      <c r="G1721">
        <v>1340.8848877</v>
      </c>
      <c r="H1721">
        <v>1338.1651611</v>
      </c>
      <c r="I1721">
        <v>1323.8409423999999</v>
      </c>
      <c r="J1721">
        <v>1320.4396973</v>
      </c>
      <c r="K1721">
        <v>1650</v>
      </c>
      <c r="L1721">
        <v>0</v>
      </c>
      <c r="M1721">
        <v>0</v>
      </c>
      <c r="N1721">
        <v>1650</v>
      </c>
    </row>
    <row r="1722" spans="1:14" x14ac:dyDescent="0.25">
      <c r="A1722">
        <v>1213.904092</v>
      </c>
      <c r="B1722" s="1">
        <f>DATE(2013,8,26) + TIME(21,41,53)</f>
        <v>41512.904085648152</v>
      </c>
      <c r="C1722">
        <v>80</v>
      </c>
      <c r="D1722">
        <v>79.959358214999995</v>
      </c>
      <c r="E1722">
        <v>40</v>
      </c>
      <c r="F1722">
        <v>44.798027038999997</v>
      </c>
      <c r="G1722">
        <v>1340.8748779</v>
      </c>
      <c r="H1722">
        <v>1338.1594238</v>
      </c>
      <c r="I1722">
        <v>1323.8441161999999</v>
      </c>
      <c r="J1722">
        <v>1320.4423827999999</v>
      </c>
      <c r="K1722">
        <v>1650</v>
      </c>
      <c r="L1722">
        <v>0</v>
      </c>
      <c r="M1722">
        <v>0</v>
      </c>
      <c r="N1722">
        <v>1650</v>
      </c>
    </row>
    <row r="1723" spans="1:14" x14ac:dyDescent="0.25">
      <c r="A1723">
        <v>1216.17012</v>
      </c>
      <c r="B1723" s="1">
        <f>DATE(2013,8,29) + TIME(4,4,58)</f>
        <v>41515.170115740744</v>
      </c>
      <c r="C1723">
        <v>80</v>
      </c>
      <c r="D1723">
        <v>79.959350585999999</v>
      </c>
      <c r="E1723">
        <v>40</v>
      </c>
      <c r="F1723">
        <v>45.360050201</v>
      </c>
      <c r="G1723">
        <v>1340.8648682</v>
      </c>
      <c r="H1723">
        <v>1338.1536865</v>
      </c>
      <c r="I1723">
        <v>1323.8480225000001</v>
      </c>
      <c r="J1723">
        <v>1320.4466553</v>
      </c>
      <c r="K1723">
        <v>1650</v>
      </c>
      <c r="L1723">
        <v>0</v>
      </c>
      <c r="M1723">
        <v>0</v>
      </c>
      <c r="N1723">
        <v>1650</v>
      </c>
    </row>
    <row r="1724" spans="1:14" x14ac:dyDescent="0.25">
      <c r="A1724">
        <v>1218.4989230000001</v>
      </c>
      <c r="B1724" s="1">
        <f>DATE(2013,8,31) + TIME(11,58,26)</f>
        <v>41517.498912037037</v>
      </c>
      <c r="C1724">
        <v>80</v>
      </c>
      <c r="D1724">
        <v>79.959342957000004</v>
      </c>
      <c r="E1724">
        <v>40</v>
      </c>
      <c r="F1724">
        <v>45.948772429999998</v>
      </c>
      <c r="G1724">
        <v>1340.8548584</v>
      </c>
      <c r="H1724">
        <v>1338.1478271000001</v>
      </c>
      <c r="I1724">
        <v>1323.8522949000001</v>
      </c>
      <c r="J1724">
        <v>1320.4525146000001</v>
      </c>
      <c r="K1724">
        <v>1650</v>
      </c>
      <c r="L1724">
        <v>0</v>
      </c>
      <c r="M1724">
        <v>0</v>
      </c>
      <c r="N1724">
        <v>1650</v>
      </c>
    </row>
    <row r="1725" spans="1:14" x14ac:dyDescent="0.25">
      <c r="A1725">
        <v>1219</v>
      </c>
      <c r="B1725" s="1">
        <f>DATE(2013,9,1) + TIME(0,0,0)</f>
        <v>41518</v>
      </c>
      <c r="C1725">
        <v>80</v>
      </c>
      <c r="D1725">
        <v>79.959320067999997</v>
      </c>
      <c r="E1725">
        <v>40</v>
      </c>
      <c r="F1725">
        <v>46.238868713000002</v>
      </c>
      <c r="G1725">
        <v>1340.8448486</v>
      </c>
      <c r="H1725">
        <v>1338.1420897999999</v>
      </c>
      <c r="I1725">
        <v>1323.8677978999999</v>
      </c>
      <c r="J1725">
        <v>1320.4603271000001</v>
      </c>
      <c r="K1725">
        <v>1650</v>
      </c>
      <c r="L1725">
        <v>0</v>
      </c>
      <c r="M1725">
        <v>0</v>
      </c>
      <c r="N1725">
        <v>1650</v>
      </c>
    </row>
    <row r="1726" spans="1:14" x14ac:dyDescent="0.25">
      <c r="A1726">
        <v>1221.351218</v>
      </c>
      <c r="B1726" s="1">
        <f>DATE(2013,9,3) + TIME(8,25,45)</f>
        <v>41520.351215277777</v>
      </c>
      <c r="C1726">
        <v>80</v>
      </c>
      <c r="D1726">
        <v>79.959327697999996</v>
      </c>
      <c r="E1726">
        <v>40</v>
      </c>
      <c r="F1726">
        <v>46.738548279</v>
      </c>
      <c r="G1726">
        <v>1340.8425293</v>
      </c>
      <c r="H1726">
        <v>1338.1407471</v>
      </c>
      <c r="I1726">
        <v>1323.8583983999999</v>
      </c>
      <c r="J1726">
        <v>1320.4639893000001</v>
      </c>
      <c r="K1726">
        <v>1650</v>
      </c>
      <c r="L1726">
        <v>0</v>
      </c>
      <c r="M1726">
        <v>0</v>
      </c>
      <c r="N1726">
        <v>1650</v>
      </c>
    </row>
    <row r="1727" spans="1:14" x14ac:dyDescent="0.25">
      <c r="A1727">
        <v>1223.7397539999999</v>
      </c>
      <c r="B1727" s="1">
        <f>DATE(2013,9,5) + TIME(17,45,14)</f>
        <v>41522.739745370367</v>
      </c>
      <c r="C1727">
        <v>80</v>
      </c>
      <c r="D1727">
        <v>79.959320067999997</v>
      </c>
      <c r="E1727">
        <v>40</v>
      </c>
      <c r="F1727">
        <v>47.327411652000002</v>
      </c>
      <c r="G1727">
        <v>1340.8326416</v>
      </c>
      <c r="H1727">
        <v>1338.1348877</v>
      </c>
      <c r="I1727">
        <v>1323.864624</v>
      </c>
      <c r="J1727">
        <v>1320.4714355000001</v>
      </c>
      <c r="K1727">
        <v>1650</v>
      </c>
      <c r="L1727">
        <v>0</v>
      </c>
      <c r="M1727">
        <v>0</v>
      </c>
      <c r="N1727">
        <v>1650</v>
      </c>
    </row>
    <row r="1728" spans="1:14" x14ac:dyDescent="0.25">
      <c r="A1728">
        <v>1226.1545269999999</v>
      </c>
      <c r="B1728" s="1">
        <f>DATE(2013,9,8) + TIME(3,42,31)</f>
        <v>41525.15452546296</v>
      </c>
      <c r="C1728">
        <v>80</v>
      </c>
      <c r="D1728">
        <v>79.959320067999997</v>
      </c>
      <c r="E1728">
        <v>40</v>
      </c>
      <c r="F1728">
        <v>47.946926116999997</v>
      </c>
      <c r="G1728">
        <v>1340.8227539</v>
      </c>
      <c r="H1728">
        <v>1338.1290283000001</v>
      </c>
      <c r="I1728">
        <v>1323.8713379000001</v>
      </c>
      <c r="J1728">
        <v>1320.4814452999999</v>
      </c>
      <c r="K1728">
        <v>1650</v>
      </c>
      <c r="L1728">
        <v>0</v>
      </c>
      <c r="M1728">
        <v>0</v>
      </c>
      <c r="N1728">
        <v>1650</v>
      </c>
    </row>
    <row r="1729" spans="1:14" x14ac:dyDescent="0.25">
      <c r="A1729">
        <v>1228.6233319999999</v>
      </c>
      <c r="B1729" s="1">
        <f>DATE(2013,9,10) + TIME(14,57,35)</f>
        <v>41527.62332175926</v>
      </c>
      <c r="C1729">
        <v>80</v>
      </c>
      <c r="D1729">
        <v>79.959312439000001</v>
      </c>
      <c r="E1729">
        <v>40</v>
      </c>
      <c r="F1729">
        <v>48.577598571999999</v>
      </c>
      <c r="G1729">
        <v>1340.8128661999999</v>
      </c>
      <c r="H1729">
        <v>1338.1232910000001</v>
      </c>
      <c r="I1729">
        <v>1323.8786620999999</v>
      </c>
      <c r="J1729">
        <v>1320.4929199000001</v>
      </c>
      <c r="K1729">
        <v>1650</v>
      </c>
      <c r="L1729">
        <v>0</v>
      </c>
      <c r="M1729">
        <v>0</v>
      </c>
      <c r="N1729">
        <v>1650</v>
      </c>
    </row>
    <row r="1730" spans="1:14" x14ac:dyDescent="0.25">
      <c r="A1730">
        <v>1231.1712910000001</v>
      </c>
      <c r="B1730" s="1">
        <f>DATE(2013,9,13) + TIME(4,6,39)</f>
        <v>41530.171284722222</v>
      </c>
      <c r="C1730">
        <v>80</v>
      </c>
      <c r="D1730">
        <v>79.959312439000001</v>
      </c>
      <c r="E1730">
        <v>40</v>
      </c>
      <c r="F1730">
        <v>49.216159820999998</v>
      </c>
      <c r="G1730">
        <v>1340.8031006000001</v>
      </c>
      <c r="H1730">
        <v>1338.1174315999999</v>
      </c>
      <c r="I1730">
        <v>1323.8867187999999</v>
      </c>
      <c r="J1730">
        <v>1320.5058594</v>
      </c>
      <c r="K1730">
        <v>1650</v>
      </c>
      <c r="L1730">
        <v>0</v>
      </c>
      <c r="M1730">
        <v>0</v>
      </c>
      <c r="N1730">
        <v>1650</v>
      </c>
    </row>
    <row r="1731" spans="1:14" x14ac:dyDescent="0.25">
      <c r="A1731">
        <v>1233.823721</v>
      </c>
      <c r="B1731" s="1">
        <f>DATE(2013,9,15) + TIME(19,46,9)</f>
        <v>41532.82371527778</v>
      </c>
      <c r="C1731">
        <v>80</v>
      </c>
      <c r="D1731">
        <v>79.959312439000001</v>
      </c>
      <c r="E1731">
        <v>40</v>
      </c>
      <c r="F1731">
        <v>49.862037659000002</v>
      </c>
      <c r="G1731">
        <v>1340.7930908000001</v>
      </c>
      <c r="H1731">
        <v>1338.1114502</v>
      </c>
      <c r="I1731">
        <v>1323.8955077999999</v>
      </c>
      <c r="J1731">
        <v>1320.5198975000001</v>
      </c>
      <c r="K1731">
        <v>1650</v>
      </c>
      <c r="L1731">
        <v>0</v>
      </c>
      <c r="M1731">
        <v>0</v>
      </c>
      <c r="N1731">
        <v>1650</v>
      </c>
    </row>
    <row r="1732" spans="1:14" x14ac:dyDescent="0.25">
      <c r="A1732">
        <v>1236.5474569999999</v>
      </c>
      <c r="B1732" s="1">
        <f>DATE(2013,9,18) + TIME(13,8,20)</f>
        <v>41535.547453703701</v>
      </c>
      <c r="C1732">
        <v>80</v>
      </c>
      <c r="D1732">
        <v>79.959312439000001</v>
      </c>
      <c r="E1732">
        <v>40</v>
      </c>
      <c r="F1732">
        <v>50.512496947999999</v>
      </c>
      <c r="G1732">
        <v>1340.7830810999999</v>
      </c>
      <c r="H1732">
        <v>1338.1054687999999</v>
      </c>
      <c r="I1732">
        <v>1323.9052733999999</v>
      </c>
      <c r="J1732">
        <v>1320.5354004000001</v>
      </c>
      <c r="K1732">
        <v>1650</v>
      </c>
      <c r="L1732">
        <v>0</v>
      </c>
      <c r="M1732">
        <v>0</v>
      </c>
      <c r="N1732">
        <v>1650</v>
      </c>
    </row>
    <row r="1733" spans="1:14" x14ac:dyDescent="0.25">
      <c r="A1733">
        <v>1239.3719550000001</v>
      </c>
      <c r="B1733" s="1">
        <f>DATE(2013,9,21) + TIME(8,55,36)</f>
        <v>41538.371944444443</v>
      </c>
      <c r="C1733">
        <v>80</v>
      </c>
      <c r="D1733">
        <v>79.959320067999997</v>
      </c>
      <c r="E1733">
        <v>40</v>
      </c>
      <c r="F1733">
        <v>51.163654327000003</v>
      </c>
      <c r="G1733">
        <v>1340.7729492000001</v>
      </c>
      <c r="H1733">
        <v>1338.0993652</v>
      </c>
      <c r="I1733">
        <v>1323.9157714999999</v>
      </c>
      <c r="J1733">
        <v>1320.5520019999999</v>
      </c>
      <c r="K1733">
        <v>1650</v>
      </c>
      <c r="L1733">
        <v>0</v>
      </c>
      <c r="M1733">
        <v>0</v>
      </c>
      <c r="N1733">
        <v>1650</v>
      </c>
    </row>
    <row r="1734" spans="1:14" x14ac:dyDescent="0.25">
      <c r="A1734">
        <v>1242.3320679999999</v>
      </c>
      <c r="B1734" s="1">
        <f>DATE(2013,9,24) + TIME(7,58,10)</f>
        <v>41541.332060185188</v>
      </c>
      <c r="C1734">
        <v>80</v>
      </c>
      <c r="D1734">
        <v>79.959320067999997</v>
      </c>
      <c r="E1734">
        <v>40</v>
      </c>
      <c r="F1734">
        <v>51.817882537999999</v>
      </c>
      <c r="G1734">
        <v>1340.7625731999999</v>
      </c>
      <c r="H1734">
        <v>1338.0932617000001</v>
      </c>
      <c r="I1734">
        <v>1323.9270019999999</v>
      </c>
      <c r="J1734">
        <v>1320.5698242000001</v>
      </c>
      <c r="K1734">
        <v>1650</v>
      </c>
      <c r="L1734">
        <v>0</v>
      </c>
      <c r="M1734">
        <v>0</v>
      </c>
      <c r="N1734">
        <v>1650</v>
      </c>
    </row>
    <row r="1735" spans="1:14" x14ac:dyDescent="0.25">
      <c r="A1735">
        <v>1245.4299570000001</v>
      </c>
      <c r="B1735" s="1">
        <f>DATE(2013,9,27) + TIME(10,19,8)</f>
        <v>41544.4299537037</v>
      </c>
      <c r="C1735">
        <v>80</v>
      </c>
      <c r="D1735">
        <v>79.959327697999996</v>
      </c>
      <c r="E1735">
        <v>40</v>
      </c>
      <c r="F1735">
        <v>52.477931976000001</v>
      </c>
      <c r="G1735">
        <v>1340.7520752</v>
      </c>
      <c r="H1735">
        <v>1338.0869141000001</v>
      </c>
      <c r="I1735">
        <v>1323.9393310999999</v>
      </c>
      <c r="J1735">
        <v>1320.5888672000001</v>
      </c>
      <c r="K1735">
        <v>1650</v>
      </c>
      <c r="L1735">
        <v>0</v>
      </c>
      <c r="M1735">
        <v>0</v>
      </c>
      <c r="N1735">
        <v>1650</v>
      </c>
    </row>
    <row r="1736" spans="1:14" x14ac:dyDescent="0.25">
      <c r="A1736">
        <v>1248.6062340000001</v>
      </c>
      <c r="B1736" s="1">
        <f>DATE(2013,9,30) + TIME(14,32,58)</f>
        <v>41547.606226851851</v>
      </c>
      <c r="C1736">
        <v>80</v>
      </c>
      <c r="D1736">
        <v>79.959335327000005</v>
      </c>
      <c r="E1736">
        <v>40</v>
      </c>
      <c r="F1736">
        <v>53.138797760000003</v>
      </c>
      <c r="G1736">
        <v>1340.7414550999999</v>
      </c>
      <c r="H1736">
        <v>1338.0805664</v>
      </c>
      <c r="I1736">
        <v>1323.9525146000001</v>
      </c>
      <c r="J1736">
        <v>1320.6091309000001</v>
      </c>
      <c r="K1736">
        <v>1650</v>
      </c>
      <c r="L1736">
        <v>0</v>
      </c>
      <c r="M1736">
        <v>0</v>
      </c>
      <c r="N1736">
        <v>1650</v>
      </c>
    </row>
    <row r="1737" spans="1:14" x14ac:dyDescent="0.25">
      <c r="A1737">
        <v>1249</v>
      </c>
      <c r="B1737" s="1">
        <f>DATE(2013,10,1) + TIME(0,0,0)</f>
        <v>41548</v>
      </c>
      <c r="C1737">
        <v>80</v>
      </c>
      <c r="D1737">
        <v>79.959312439000001</v>
      </c>
      <c r="E1737">
        <v>40</v>
      </c>
      <c r="F1737">
        <v>53.392486572000003</v>
      </c>
      <c r="G1737">
        <v>1340.730957</v>
      </c>
      <c r="H1737">
        <v>1338.0743408000001</v>
      </c>
      <c r="I1737">
        <v>1323.9779053</v>
      </c>
      <c r="J1737">
        <v>1320.6296387</v>
      </c>
      <c r="K1737">
        <v>1650</v>
      </c>
      <c r="L1737">
        <v>0</v>
      </c>
      <c r="M1737">
        <v>0</v>
      </c>
      <c r="N1737">
        <v>1650</v>
      </c>
    </row>
    <row r="1738" spans="1:14" x14ac:dyDescent="0.25">
      <c r="A1738">
        <v>1252.3007259999999</v>
      </c>
      <c r="B1738" s="1">
        <f>DATE(2013,10,4) + TIME(7,13,2)</f>
        <v>41551.300717592596</v>
      </c>
      <c r="C1738">
        <v>80</v>
      </c>
      <c r="D1738">
        <v>79.959342957000004</v>
      </c>
      <c r="E1738">
        <v>40</v>
      </c>
      <c r="F1738">
        <v>53.906738281000003</v>
      </c>
      <c r="G1738">
        <v>1340.7294922000001</v>
      </c>
      <c r="H1738">
        <v>1338.0733643000001</v>
      </c>
      <c r="I1738">
        <v>1323.9693603999999</v>
      </c>
      <c r="J1738">
        <v>1320.6375731999999</v>
      </c>
      <c r="K1738">
        <v>1650</v>
      </c>
      <c r="L1738">
        <v>0</v>
      </c>
      <c r="M1738">
        <v>0</v>
      </c>
      <c r="N1738">
        <v>1650</v>
      </c>
    </row>
    <row r="1739" spans="1:14" x14ac:dyDescent="0.25">
      <c r="A1739">
        <v>1255.685937</v>
      </c>
      <c r="B1739" s="1">
        <f>DATE(2013,10,7) + TIME(16,27,44)</f>
        <v>41554.685925925929</v>
      </c>
      <c r="C1739">
        <v>80</v>
      </c>
      <c r="D1739">
        <v>79.959358214999995</v>
      </c>
      <c r="E1739">
        <v>40</v>
      </c>
      <c r="F1739">
        <v>54.517948150999999</v>
      </c>
      <c r="G1739">
        <v>1340.71875</v>
      </c>
      <c r="H1739">
        <v>1338.0668945</v>
      </c>
      <c r="I1739">
        <v>1323.9830322</v>
      </c>
      <c r="J1739">
        <v>1320.6560059000001</v>
      </c>
      <c r="K1739">
        <v>1650</v>
      </c>
      <c r="L1739">
        <v>0</v>
      </c>
      <c r="M1739">
        <v>0</v>
      </c>
      <c r="N1739">
        <v>1650</v>
      </c>
    </row>
    <row r="1740" spans="1:14" x14ac:dyDescent="0.25">
      <c r="A1740">
        <v>1259.135706</v>
      </c>
      <c r="B1740" s="1">
        <f>DATE(2013,10,11) + TIME(3,15,25)</f>
        <v>41558.135706018518</v>
      </c>
      <c r="C1740">
        <v>80</v>
      </c>
      <c r="D1740">
        <v>79.959365844999994</v>
      </c>
      <c r="E1740">
        <v>40</v>
      </c>
      <c r="F1740">
        <v>55.135459900000001</v>
      </c>
      <c r="G1740">
        <v>1340.7081298999999</v>
      </c>
      <c r="H1740">
        <v>1338.0604248</v>
      </c>
      <c r="I1740">
        <v>1323.9981689000001</v>
      </c>
      <c r="J1740">
        <v>1320.6781006000001</v>
      </c>
      <c r="K1740">
        <v>1650</v>
      </c>
      <c r="L1740">
        <v>0</v>
      </c>
      <c r="M1740">
        <v>0</v>
      </c>
      <c r="N1740">
        <v>1650</v>
      </c>
    </row>
    <row r="1741" spans="1:14" x14ac:dyDescent="0.25">
      <c r="A1741">
        <v>1262.6904059999999</v>
      </c>
      <c r="B1741" s="1">
        <f>DATE(2013,10,14) + TIME(16,34,11)</f>
        <v>41561.690405092595</v>
      </c>
      <c r="C1741">
        <v>80</v>
      </c>
      <c r="D1741">
        <v>79.959381104000002</v>
      </c>
      <c r="E1741">
        <v>40</v>
      </c>
      <c r="F1741">
        <v>55.739082336000003</v>
      </c>
      <c r="G1741">
        <v>1340.6975098</v>
      </c>
      <c r="H1741">
        <v>1338.0539550999999</v>
      </c>
      <c r="I1741">
        <v>1324.0137939000001</v>
      </c>
      <c r="J1741">
        <v>1320.7011719</v>
      </c>
      <c r="K1741">
        <v>1650</v>
      </c>
      <c r="L1741">
        <v>0</v>
      </c>
      <c r="M1741">
        <v>0</v>
      </c>
      <c r="N1741">
        <v>1650</v>
      </c>
    </row>
    <row r="1742" spans="1:14" x14ac:dyDescent="0.25">
      <c r="A1742">
        <v>1266.3169780000001</v>
      </c>
      <c r="B1742" s="1">
        <f>DATE(2013,10,18) + TIME(7,36,26)</f>
        <v>41565.316967592589</v>
      </c>
      <c r="C1742">
        <v>80</v>
      </c>
      <c r="D1742">
        <v>79.959396362000007</v>
      </c>
      <c r="E1742">
        <v>40</v>
      </c>
      <c r="F1742">
        <v>56.326038361000002</v>
      </c>
      <c r="G1742">
        <v>1340.6868896000001</v>
      </c>
      <c r="H1742">
        <v>1338.0476074000001</v>
      </c>
      <c r="I1742">
        <v>1324.0300293</v>
      </c>
      <c r="J1742">
        <v>1320.7247314000001</v>
      </c>
      <c r="K1742">
        <v>1650</v>
      </c>
      <c r="L1742">
        <v>0</v>
      </c>
      <c r="M1742">
        <v>0</v>
      </c>
      <c r="N1742">
        <v>1650</v>
      </c>
    </row>
    <row r="1743" spans="1:14" x14ac:dyDescent="0.25">
      <c r="A1743">
        <v>1270.0256850000001</v>
      </c>
      <c r="B1743" s="1">
        <f>DATE(2013,10,22) + TIME(0,36,59)</f>
        <v>41569.025682870371</v>
      </c>
      <c r="C1743">
        <v>80</v>
      </c>
      <c r="D1743">
        <v>79.959411621000001</v>
      </c>
      <c r="E1743">
        <v>40</v>
      </c>
      <c r="F1743">
        <v>56.893730163999997</v>
      </c>
      <c r="G1743">
        <v>1340.6765137</v>
      </c>
      <c r="H1743">
        <v>1338.0412598</v>
      </c>
      <c r="I1743">
        <v>1324.0466309000001</v>
      </c>
      <c r="J1743">
        <v>1320.7485352000001</v>
      </c>
      <c r="K1743">
        <v>1650</v>
      </c>
      <c r="L1743">
        <v>0</v>
      </c>
      <c r="M1743">
        <v>0</v>
      </c>
      <c r="N1743">
        <v>1650</v>
      </c>
    </row>
    <row r="1744" spans="1:14" x14ac:dyDescent="0.25">
      <c r="A1744">
        <v>1273.8449430000001</v>
      </c>
      <c r="B1744" s="1">
        <f>DATE(2013,10,25) + TIME(20,16,43)</f>
        <v>41572.844942129632</v>
      </c>
      <c r="C1744">
        <v>80</v>
      </c>
      <c r="D1744">
        <v>79.959434509000005</v>
      </c>
      <c r="E1744">
        <v>40</v>
      </c>
      <c r="F1744">
        <v>57.442150116000001</v>
      </c>
      <c r="G1744">
        <v>1340.6661377</v>
      </c>
      <c r="H1744">
        <v>1338.0350341999999</v>
      </c>
      <c r="I1744">
        <v>1324.0633545000001</v>
      </c>
      <c r="J1744">
        <v>1320.7725829999999</v>
      </c>
      <c r="K1744">
        <v>1650</v>
      </c>
      <c r="L1744">
        <v>0</v>
      </c>
      <c r="M1744">
        <v>0</v>
      </c>
      <c r="N1744">
        <v>1650</v>
      </c>
    </row>
    <row r="1745" spans="1:14" x14ac:dyDescent="0.25">
      <c r="A1745">
        <v>1277.766173</v>
      </c>
      <c r="B1745" s="1">
        <f>DATE(2013,10,29) + TIME(18,23,17)</f>
        <v>41576.766168981485</v>
      </c>
      <c r="C1745">
        <v>80</v>
      </c>
      <c r="D1745">
        <v>79.959457396999994</v>
      </c>
      <c r="E1745">
        <v>40</v>
      </c>
      <c r="F1745">
        <v>57.974151611000003</v>
      </c>
      <c r="G1745">
        <v>1340.6557617000001</v>
      </c>
      <c r="H1745">
        <v>1338.0286865</v>
      </c>
      <c r="I1745">
        <v>1324.0804443</v>
      </c>
      <c r="J1745">
        <v>1320.7966309000001</v>
      </c>
      <c r="K1745">
        <v>1650</v>
      </c>
      <c r="L1745">
        <v>0</v>
      </c>
      <c r="M1745">
        <v>0</v>
      </c>
      <c r="N1745">
        <v>1650</v>
      </c>
    </row>
    <row r="1746" spans="1:14" x14ac:dyDescent="0.25">
      <c r="A1746">
        <v>1280</v>
      </c>
      <c r="B1746" s="1">
        <f>DATE(2013,11,1) + TIME(0,0,0)</f>
        <v>41579</v>
      </c>
      <c r="C1746">
        <v>80</v>
      </c>
      <c r="D1746">
        <v>79.959449767999999</v>
      </c>
      <c r="E1746">
        <v>40</v>
      </c>
      <c r="F1746">
        <v>58.425308227999999</v>
      </c>
      <c r="G1746">
        <v>1340.6455077999999</v>
      </c>
      <c r="H1746">
        <v>1338.0224608999999</v>
      </c>
      <c r="I1746">
        <v>1324.0997314000001</v>
      </c>
      <c r="J1746">
        <v>1320.8210449000001</v>
      </c>
      <c r="K1746">
        <v>1650</v>
      </c>
      <c r="L1746">
        <v>0</v>
      </c>
      <c r="M1746">
        <v>0</v>
      </c>
      <c r="N1746">
        <v>1650</v>
      </c>
    </row>
    <row r="1747" spans="1:14" x14ac:dyDescent="0.25">
      <c r="A1747">
        <v>1280.0000010000001</v>
      </c>
      <c r="B1747" s="1">
        <f>DATE(2013,11,1) + TIME(0,0,0)</f>
        <v>41579</v>
      </c>
      <c r="C1747">
        <v>80</v>
      </c>
      <c r="D1747">
        <v>79.959373474000003</v>
      </c>
      <c r="E1747">
        <v>40</v>
      </c>
      <c r="F1747">
        <v>58.425384520999998</v>
      </c>
      <c r="G1747">
        <v>1337.5289307</v>
      </c>
      <c r="H1747">
        <v>1336.6304932</v>
      </c>
      <c r="I1747">
        <v>1328.0550536999999</v>
      </c>
      <c r="J1747">
        <v>1324.8239745999999</v>
      </c>
      <c r="K1747">
        <v>0</v>
      </c>
      <c r="L1747">
        <v>1650</v>
      </c>
      <c r="M1747">
        <v>1650</v>
      </c>
      <c r="N1747">
        <v>0</v>
      </c>
    </row>
    <row r="1748" spans="1:14" x14ac:dyDescent="0.25">
      <c r="A1748">
        <v>1280.000004</v>
      </c>
      <c r="B1748" s="1">
        <f>DATE(2013,11,1) + TIME(0,0,0)</f>
        <v>41579</v>
      </c>
      <c r="C1748">
        <v>80</v>
      </c>
      <c r="D1748">
        <v>79.959259032999995</v>
      </c>
      <c r="E1748">
        <v>40</v>
      </c>
      <c r="F1748">
        <v>58.425498961999999</v>
      </c>
      <c r="G1748">
        <v>1336.6810303</v>
      </c>
      <c r="H1748">
        <v>1335.7695312000001</v>
      </c>
      <c r="I1748">
        <v>1329.1986084</v>
      </c>
      <c r="J1748">
        <v>1326.1483154</v>
      </c>
      <c r="K1748">
        <v>0</v>
      </c>
      <c r="L1748">
        <v>1650</v>
      </c>
      <c r="M1748">
        <v>1650</v>
      </c>
      <c r="N1748">
        <v>0</v>
      </c>
    </row>
    <row r="1749" spans="1:14" x14ac:dyDescent="0.25">
      <c r="A1749">
        <v>1280.0000130000001</v>
      </c>
      <c r="B1749" s="1">
        <f>DATE(2013,11,1) + TIME(0,0,1)</f>
        <v>41579.000011574077</v>
      </c>
      <c r="C1749">
        <v>80</v>
      </c>
      <c r="D1749">
        <v>79.959106445000003</v>
      </c>
      <c r="E1749">
        <v>40</v>
      </c>
      <c r="F1749">
        <v>58.425548552999999</v>
      </c>
      <c r="G1749">
        <v>1335.6269531</v>
      </c>
      <c r="H1749">
        <v>1334.6832274999999</v>
      </c>
      <c r="I1749">
        <v>1330.9071045000001</v>
      </c>
      <c r="J1749">
        <v>1327.8995361</v>
      </c>
      <c r="K1749">
        <v>0</v>
      </c>
      <c r="L1749">
        <v>1650</v>
      </c>
      <c r="M1749">
        <v>1650</v>
      </c>
      <c r="N1749">
        <v>0</v>
      </c>
    </row>
    <row r="1750" spans="1:14" x14ac:dyDescent="0.25">
      <c r="A1750">
        <v>1280.0000399999999</v>
      </c>
      <c r="B1750" s="1">
        <f>DATE(2013,11,1) + TIME(0,0,3)</f>
        <v>41579.000034722223</v>
      </c>
      <c r="C1750">
        <v>80</v>
      </c>
      <c r="D1750">
        <v>79.958946228000002</v>
      </c>
      <c r="E1750">
        <v>40</v>
      </c>
      <c r="F1750">
        <v>58.425251007</v>
      </c>
      <c r="G1750">
        <v>1334.5340576000001</v>
      </c>
      <c r="H1750">
        <v>1333.5454102000001</v>
      </c>
      <c r="I1750">
        <v>1332.8510742000001</v>
      </c>
      <c r="J1750">
        <v>1329.8023682</v>
      </c>
      <c r="K1750">
        <v>0</v>
      </c>
      <c r="L1750">
        <v>1650</v>
      </c>
      <c r="M1750">
        <v>1650</v>
      </c>
      <c r="N1750">
        <v>0</v>
      </c>
    </row>
    <row r="1751" spans="1:14" x14ac:dyDescent="0.25">
      <c r="A1751">
        <v>1280.000121</v>
      </c>
      <c r="B1751" s="1">
        <f>DATE(2013,11,1) + TIME(0,0,10)</f>
        <v>41579.000115740739</v>
      </c>
      <c r="C1751">
        <v>80</v>
      </c>
      <c r="D1751">
        <v>79.958778381000002</v>
      </c>
      <c r="E1751">
        <v>40</v>
      </c>
      <c r="F1751">
        <v>58.423843384000001</v>
      </c>
      <c r="G1751">
        <v>1333.4108887</v>
      </c>
      <c r="H1751">
        <v>1332.3574219</v>
      </c>
      <c r="I1751">
        <v>1334.8194579999999</v>
      </c>
      <c r="J1751">
        <v>1331.7274170000001</v>
      </c>
      <c r="K1751">
        <v>0</v>
      </c>
      <c r="L1751">
        <v>1650</v>
      </c>
      <c r="M1751">
        <v>1650</v>
      </c>
      <c r="N1751">
        <v>0</v>
      </c>
    </row>
    <row r="1752" spans="1:14" x14ac:dyDescent="0.25">
      <c r="A1752">
        <v>1280.000364</v>
      </c>
      <c r="B1752" s="1">
        <f>DATE(2013,11,1) + TIME(0,0,31)</f>
        <v>41579.000358796293</v>
      </c>
      <c r="C1752">
        <v>80</v>
      </c>
      <c r="D1752">
        <v>79.958580017000003</v>
      </c>
      <c r="E1752">
        <v>40</v>
      </c>
      <c r="F1752">
        <v>58.419029236</v>
      </c>
      <c r="G1752">
        <v>1332.2181396000001</v>
      </c>
      <c r="H1752">
        <v>1331.0745850000001</v>
      </c>
      <c r="I1752">
        <v>1336.7801514</v>
      </c>
      <c r="J1752">
        <v>1333.6336670000001</v>
      </c>
      <c r="K1752">
        <v>0</v>
      </c>
      <c r="L1752">
        <v>1650</v>
      </c>
      <c r="M1752">
        <v>1650</v>
      </c>
      <c r="N1752">
        <v>0</v>
      </c>
    </row>
    <row r="1753" spans="1:14" x14ac:dyDescent="0.25">
      <c r="A1753">
        <v>1280.0010930000001</v>
      </c>
      <c r="B1753" s="1">
        <f>DATE(2013,11,1) + TIME(0,1,34)</f>
        <v>41579.001087962963</v>
      </c>
      <c r="C1753">
        <v>80</v>
      </c>
      <c r="D1753">
        <v>79.958320618000002</v>
      </c>
      <c r="E1753">
        <v>40</v>
      </c>
      <c r="F1753">
        <v>58.403717041</v>
      </c>
      <c r="G1753">
        <v>1331.0274658000001</v>
      </c>
      <c r="H1753">
        <v>1329.7888184000001</v>
      </c>
      <c r="I1753">
        <v>1338.6138916</v>
      </c>
      <c r="J1753">
        <v>1335.390625</v>
      </c>
      <c r="K1753">
        <v>0</v>
      </c>
      <c r="L1753">
        <v>1650</v>
      </c>
      <c r="M1753">
        <v>1650</v>
      </c>
      <c r="N1753">
        <v>0</v>
      </c>
    </row>
    <row r="1754" spans="1:14" x14ac:dyDescent="0.25">
      <c r="A1754">
        <v>1280.0032799999999</v>
      </c>
      <c r="B1754" s="1">
        <f>DATE(2013,11,1) + TIME(0,4,43)</f>
        <v>41579.003275462965</v>
      </c>
      <c r="C1754">
        <v>80</v>
      </c>
      <c r="D1754">
        <v>79.957908630000006</v>
      </c>
      <c r="E1754">
        <v>40</v>
      </c>
      <c r="F1754">
        <v>58.356369018999999</v>
      </c>
      <c r="G1754">
        <v>1330.0701904</v>
      </c>
      <c r="H1754">
        <v>1328.7705077999999</v>
      </c>
      <c r="I1754">
        <v>1340.0242920000001</v>
      </c>
      <c r="J1754">
        <v>1336.7285156</v>
      </c>
      <c r="K1754">
        <v>0</v>
      </c>
      <c r="L1754">
        <v>1650</v>
      </c>
      <c r="M1754">
        <v>1650</v>
      </c>
      <c r="N1754">
        <v>0</v>
      </c>
    </row>
    <row r="1755" spans="1:14" x14ac:dyDescent="0.25">
      <c r="A1755">
        <v>1280.0098410000001</v>
      </c>
      <c r="B1755" s="1">
        <f>DATE(2013,11,1) + TIME(0,14,10)</f>
        <v>41579.009837962964</v>
      </c>
      <c r="C1755">
        <v>80</v>
      </c>
      <c r="D1755">
        <v>79.957000731999997</v>
      </c>
      <c r="E1755">
        <v>40</v>
      </c>
      <c r="F1755">
        <v>58.213565826</v>
      </c>
      <c r="G1755">
        <v>1329.5183105000001</v>
      </c>
      <c r="H1755">
        <v>1328.1968993999999</v>
      </c>
      <c r="I1755">
        <v>1340.7900391000001</v>
      </c>
      <c r="J1755">
        <v>1337.4528809000001</v>
      </c>
      <c r="K1755">
        <v>0</v>
      </c>
      <c r="L1755">
        <v>1650</v>
      </c>
      <c r="M1755">
        <v>1650</v>
      </c>
      <c r="N1755">
        <v>0</v>
      </c>
    </row>
    <row r="1756" spans="1:14" x14ac:dyDescent="0.25">
      <c r="A1756">
        <v>1280.029524</v>
      </c>
      <c r="B1756" s="1">
        <f>DATE(2013,11,1) + TIME(0,42,30)</f>
        <v>41579.029513888891</v>
      </c>
      <c r="C1756">
        <v>80</v>
      </c>
      <c r="D1756">
        <v>79.954505920000003</v>
      </c>
      <c r="E1756">
        <v>40</v>
      </c>
      <c r="F1756">
        <v>57.795230865000001</v>
      </c>
      <c r="G1756">
        <v>1329.3280029</v>
      </c>
      <c r="H1756">
        <v>1328.0017089999999</v>
      </c>
      <c r="I1756">
        <v>1341.0124512</v>
      </c>
      <c r="J1756">
        <v>1337.6577147999999</v>
      </c>
      <c r="K1756">
        <v>0</v>
      </c>
      <c r="L1756">
        <v>1650</v>
      </c>
      <c r="M1756">
        <v>1650</v>
      </c>
      <c r="N1756">
        <v>0</v>
      </c>
    </row>
    <row r="1757" spans="1:14" x14ac:dyDescent="0.25">
      <c r="A1757">
        <v>1280.068775</v>
      </c>
      <c r="B1757" s="1">
        <f>DATE(2013,11,1) + TIME(1,39,2)</f>
        <v>41579.068773148145</v>
      </c>
      <c r="C1757">
        <v>80</v>
      </c>
      <c r="D1757">
        <v>79.949638367000006</v>
      </c>
      <c r="E1757">
        <v>40</v>
      </c>
      <c r="F1757">
        <v>57.004962921000001</v>
      </c>
      <c r="G1757">
        <v>1329.2954102000001</v>
      </c>
      <c r="H1757">
        <v>1327.9674072</v>
      </c>
      <c r="I1757">
        <v>1341.0291748</v>
      </c>
      <c r="J1757">
        <v>1337.6622314000001</v>
      </c>
      <c r="K1757">
        <v>0</v>
      </c>
      <c r="L1757">
        <v>1650</v>
      </c>
      <c r="M1757">
        <v>1650</v>
      </c>
      <c r="N1757">
        <v>0</v>
      </c>
    </row>
    <row r="1758" spans="1:14" x14ac:dyDescent="0.25">
      <c r="A1758">
        <v>1280.1095660000001</v>
      </c>
      <c r="B1758" s="1">
        <f>DATE(2013,11,1) + TIME(2,37,46)</f>
        <v>41579.109560185185</v>
      </c>
      <c r="C1758">
        <v>80</v>
      </c>
      <c r="D1758">
        <v>79.944625853999995</v>
      </c>
      <c r="E1758">
        <v>40</v>
      </c>
      <c r="F1758">
        <v>56.229305267000001</v>
      </c>
      <c r="G1758">
        <v>1329.2888184000001</v>
      </c>
      <c r="H1758">
        <v>1327.9589844</v>
      </c>
      <c r="I1758">
        <v>1341.0146483999999</v>
      </c>
      <c r="J1758">
        <v>1337.6408690999999</v>
      </c>
      <c r="K1758">
        <v>0</v>
      </c>
      <c r="L1758">
        <v>1650</v>
      </c>
      <c r="M1758">
        <v>1650</v>
      </c>
      <c r="N1758">
        <v>0</v>
      </c>
    </row>
    <row r="1759" spans="1:14" x14ac:dyDescent="0.25">
      <c r="A1759">
        <v>1280.1519049999999</v>
      </c>
      <c r="B1759" s="1">
        <f>DATE(2013,11,1) + TIME(3,38,44)</f>
        <v>41579.151898148149</v>
      </c>
      <c r="C1759">
        <v>80</v>
      </c>
      <c r="D1759">
        <v>79.939460753999995</v>
      </c>
      <c r="E1759">
        <v>40</v>
      </c>
      <c r="F1759">
        <v>55.469818115000002</v>
      </c>
      <c r="G1759">
        <v>1329.284668</v>
      </c>
      <c r="H1759">
        <v>1327.9532471</v>
      </c>
      <c r="I1759">
        <v>1340.9993896000001</v>
      </c>
      <c r="J1759">
        <v>1337.6190185999999</v>
      </c>
      <c r="K1759">
        <v>0</v>
      </c>
      <c r="L1759">
        <v>1650</v>
      </c>
      <c r="M1759">
        <v>1650</v>
      </c>
      <c r="N1759">
        <v>0</v>
      </c>
    </row>
    <row r="1760" spans="1:14" x14ac:dyDescent="0.25">
      <c r="A1760">
        <v>1280.195886</v>
      </c>
      <c r="B1760" s="1">
        <f>DATE(2013,11,1) + TIME(4,42,4)</f>
        <v>41579.195879629631</v>
      </c>
      <c r="C1760">
        <v>80</v>
      </c>
      <c r="D1760">
        <v>79.934143066000004</v>
      </c>
      <c r="E1760">
        <v>40</v>
      </c>
      <c r="F1760">
        <v>54.726493834999999</v>
      </c>
      <c r="G1760">
        <v>1329.2808838000001</v>
      </c>
      <c r="H1760">
        <v>1327.9475098</v>
      </c>
      <c r="I1760">
        <v>1340.9842529</v>
      </c>
      <c r="J1760">
        <v>1337.5975341999999</v>
      </c>
      <c r="K1760">
        <v>0</v>
      </c>
      <c r="L1760">
        <v>1650</v>
      </c>
      <c r="M1760">
        <v>1650</v>
      </c>
      <c r="N1760">
        <v>0</v>
      </c>
    </row>
    <row r="1761" spans="1:14" x14ac:dyDescent="0.25">
      <c r="A1761">
        <v>1280.2416069999999</v>
      </c>
      <c r="B1761" s="1">
        <f>DATE(2013,11,1) + TIME(5,47,54)</f>
        <v>41579.241597222222</v>
      </c>
      <c r="C1761">
        <v>80</v>
      </c>
      <c r="D1761">
        <v>79.928649902000004</v>
      </c>
      <c r="E1761">
        <v>40</v>
      </c>
      <c r="F1761">
        <v>53.999359130999999</v>
      </c>
      <c r="G1761">
        <v>1329.2768555</v>
      </c>
      <c r="H1761">
        <v>1327.9417725000001</v>
      </c>
      <c r="I1761">
        <v>1340.9693603999999</v>
      </c>
      <c r="J1761">
        <v>1337.5764160000001</v>
      </c>
      <c r="K1761">
        <v>0</v>
      </c>
      <c r="L1761">
        <v>1650</v>
      </c>
      <c r="M1761">
        <v>1650</v>
      </c>
      <c r="N1761">
        <v>0</v>
      </c>
    </row>
    <row r="1762" spans="1:14" x14ac:dyDescent="0.25">
      <c r="A1762">
        <v>1280.2891770000001</v>
      </c>
      <c r="B1762" s="1">
        <f>DATE(2013,11,1) + TIME(6,56,24)</f>
        <v>41579.289166666669</v>
      </c>
      <c r="C1762">
        <v>80</v>
      </c>
      <c r="D1762">
        <v>79.922981261999993</v>
      </c>
      <c r="E1762">
        <v>40</v>
      </c>
      <c r="F1762">
        <v>53.288467406999999</v>
      </c>
      <c r="G1762">
        <v>1329.2728271000001</v>
      </c>
      <c r="H1762">
        <v>1327.9359131000001</v>
      </c>
      <c r="I1762">
        <v>1340.9547118999999</v>
      </c>
      <c r="J1762">
        <v>1337.5556641000001</v>
      </c>
      <c r="K1762">
        <v>0</v>
      </c>
      <c r="L1762">
        <v>1650</v>
      </c>
      <c r="M1762">
        <v>1650</v>
      </c>
      <c r="N1762">
        <v>0</v>
      </c>
    </row>
    <row r="1763" spans="1:14" x14ac:dyDescent="0.25">
      <c r="A1763">
        <v>1280.33872</v>
      </c>
      <c r="B1763" s="1">
        <f>DATE(2013,11,1) + TIME(8,7,45)</f>
        <v>41579.33871527778</v>
      </c>
      <c r="C1763">
        <v>80</v>
      </c>
      <c r="D1763">
        <v>79.917129517000006</v>
      </c>
      <c r="E1763">
        <v>40</v>
      </c>
      <c r="F1763">
        <v>52.593769072999997</v>
      </c>
      <c r="G1763">
        <v>1329.2686768000001</v>
      </c>
      <c r="H1763">
        <v>1327.9299315999999</v>
      </c>
      <c r="I1763">
        <v>1340.9401855000001</v>
      </c>
      <c r="J1763">
        <v>1337.5352783000001</v>
      </c>
      <c r="K1763">
        <v>0</v>
      </c>
      <c r="L1763">
        <v>1650</v>
      </c>
      <c r="M1763">
        <v>1650</v>
      </c>
      <c r="N1763">
        <v>0</v>
      </c>
    </row>
    <row r="1764" spans="1:14" x14ac:dyDescent="0.25">
      <c r="A1764">
        <v>1280.390359</v>
      </c>
      <c r="B1764" s="1">
        <f>DATE(2013,11,1) + TIME(9,22,7)</f>
        <v>41579.3903587963</v>
      </c>
      <c r="C1764">
        <v>80</v>
      </c>
      <c r="D1764">
        <v>79.911079407000003</v>
      </c>
      <c r="E1764">
        <v>40</v>
      </c>
      <c r="F1764">
        <v>51.915401459000002</v>
      </c>
      <c r="G1764">
        <v>1329.2645264</v>
      </c>
      <c r="H1764">
        <v>1327.9237060999999</v>
      </c>
      <c r="I1764">
        <v>1340.9257812000001</v>
      </c>
      <c r="J1764">
        <v>1337.5152588000001</v>
      </c>
      <c r="K1764">
        <v>0</v>
      </c>
      <c r="L1764">
        <v>1650</v>
      </c>
      <c r="M1764">
        <v>1650</v>
      </c>
      <c r="N1764">
        <v>0</v>
      </c>
    </row>
    <row r="1765" spans="1:14" x14ac:dyDescent="0.25">
      <c r="A1765">
        <v>1280.4442300000001</v>
      </c>
      <c r="B1765" s="1">
        <f>DATE(2013,11,1) + TIME(10,39,41)</f>
        <v>41579.444224537037</v>
      </c>
      <c r="C1765">
        <v>80</v>
      </c>
      <c r="D1765">
        <v>79.904823303000001</v>
      </c>
      <c r="E1765">
        <v>40</v>
      </c>
      <c r="F1765">
        <v>51.253528594999999</v>
      </c>
      <c r="G1765">
        <v>1329.2601318</v>
      </c>
      <c r="H1765">
        <v>1327.9173584</v>
      </c>
      <c r="I1765">
        <v>1340.9116211</v>
      </c>
      <c r="J1765">
        <v>1337.4956055</v>
      </c>
      <c r="K1765">
        <v>0</v>
      </c>
      <c r="L1765">
        <v>1650</v>
      </c>
      <c r="M1765">
        <v>1650</v>
      </c>
      <c r="N1765">
        <v>0</v>
      </c>
    </row>
    <row r="1766" spans="1:14" x14ac:dyDescent="0.25">
      <c r="A1766">
        <v>1280.5004819999999</v>
      </c>
      <c r="B1766" s="1">
        <f>DATE(2013,11,1) + TIME(12,0,41)</f>
        <v>41579.500474537039</v>
      </c>
      <c r="C1766">
        <v>80</v>
      </c>
      <c r="D1766">
        <v>79.898345946999996</v>
      </c>
      <c r="E1766">
        <v>40</v>
      </c>
      <c r="F1766">
        <v>50.608264923</v>
      </c>
      <c r="G1766">
        <v>1329.2556152</v>
      </c>
      <c r="H1766">
        <v>1327.9107666</v>
      </c>
      <c r="I1766">
        <v>1340.8977050999999</v>
      </c>
      <c r="J1766">
        <v>1337.4763184000001</v>
      </c>
      <c r="K1766">
        <v>0</v>
      </c>
      <c r="L1766">
        <v>1650</v>
      </c>
      <c r="M1766">
        <v>1650</v>
      </c>
      <c r="N1766">
        <v>0</v>
      </c>
    </row>
    <row r="1767" spans="1:14" x14ac:dyDescent="0.25">
      <c r="A1767">
        <v>1280.5592799999999</v>
      </c>
      <c r="B1767" s="1">
        <f>DATE(2013,11,1) + TIME(13,25,21)</f>
        <v>41579.559270833335</v>
      </c>
      <c r="C1767">
        <v>80</v>
      </c>
      <c r="D1767">
        <v>79.891639709000003</v>
      </c>
      <c r="E1767">
        <v>40</v>
      </c>
      <c r="F1767">
        <v>49.979755402000002</v>
      </c>
      <c r="G1767">
        <v>1329.2510986</v>
      </c>
      <c r="H1767">
        <v>1327.9040527</v>
      </c>
      <c r="I1767">
        <v>1340.8839111</v>
      </c>
      <c r="J1767">
        <v>1337.4575195</v>
      </c>
      <c r="K1767">
        <v>0</v>
      </c>
      <c r="L1767">
        <v>1650</v>
      </c>
      <c r="M1767">
        <v>1650</v>
      </c>
      <c r="N1767">
        <v>0</v>
      </c>
    </row>
    <row r="1768" spans="1:14" x14ac:dyDescent="0.25">
      <c r="A1768">
        <v>1280.6207810000001</v>
      </c>
      <c r="B1768" s="1">
        <f>DATE(2013,11,1) + TIME(14,53,55)</f>
        <v>41579.620775462965</v>
      </c>
      <c r="C1768">
        <v>80</v>
      </c>
      <c r="D1768">
        <v>79.884689331000004</v>
      </c>
      <c r="E1768">
        <v>40</v>
      </c>
      <c r="F1768">
        <v>49.368072509999998</v>
      </c>
      <c r="G1768">
        <v>1329.2463379000001</v>
      </c>
      <c r="H1768">
        <v>1327.8970947</v>
      </c>
      <c r="I1768">
        <v>1340.8703613</v>
      </c>
      <c r="J1768">
        <v>1337.4390868999999</v>
      </c>
      <c r="K1768">
        <v>0</v>
      </c>
      <c r="L1768">
        <v>1650</v>
      </c>
      <c r="M1768">
        <v>1650</v>
      </c>
      <c r="N1768">
        <v>0</v>
      </c>
    </row>
    <row r="1769" spans="1:14" x14ac:dyDescent="0.25">
      <c r="A1769">
        <v>1280.6851939999999</v>
      </c>
      <c r="B1769" s="1">
        <f>DATE(2013,11,1) + TIME(16,26,40)</f>
        <v>41579.685185185182</v>
      </c>
      <c r="C1769">
        <v>80</v>
      </c>
      <c r="D1769">
        <v>79.877479553000001</v>
      </c>
      <c r="E1769">
        <v>40</v>
      </c>
      <c r="F1769">
        <v>48.773559570000003</v>
      </c>
      <c r="G1769">
        <v>1329.2414550999999</v>
      </c>
      <c r="H1769">
        <v>1327.8900146000001</v>
      </c>
      <c r="I1769">
        <v>1340.8570557</v>
      </c>
      <c r="J1769">
        <v>1337.4210204999999</v>
      </c>
      <c r="K1769">
        <v>0</v>
      </c>
      <c r="L1769">
        <v>1650</v>
      </c>
      <c r="M1769">
        <v>1650</v>
      </c>
      <c r="N1769">
        <v>0</v>
      </c>
    </row>
    <row r="1770" spans="1:14" x14ac:dyDescent="0.25">
      <c r="A1770">
        <v>1280.752786</v>
      </c>
      <c r="B1770" s="1">
        <f>DATE(2013,11,1) + TIME(18,4,0)</f>
        <v>41579.75277777778</v>
      </c>
      <c r="C1770">
        <v>80</v>
      </c>
      <c r="D1770">
        <v>79.869987488000007</v>
      </c>
      <c r="E1770">
        <v>40</v>
      </c>
      <c r="F1770">
        <v>48.195980071999998</v>
      </c>
      <c r="G1770">
        <v>1329.2364502</v>
      </c>
      <c r="H1770">
        <v>1327.8826904</v>
      </c>
      <c r="I1770">
        <v>1340.8438721</v>
      </c>
      <c r="J1770">
        <v>1337.4034423999999</v>
      </c>
      <c r="K1770">
        <v>0</v>
      </c>
      <c r="L1770">
        <v>1650</v>
      </c>
      <c r="M1770">
        <v>1650</v>
      </c>
      <c r="N1770">
        <v>0</v>
      </c>
    </row>
    <row r="1771" spans="1:14" x14ac:dyDescent="0.25">
      <c r="A1771">
        <v>1280.8238080000001</v>
      </c>
      <c r="B1771" s="1">
        <f>DATE(2013,11,1) + TIME(19,46,16)</f>
        <v>41579.823796296296</v>
      </c>
      <c r="C1771">
        <v>80</v>
      </c>
      <c r="D1771">
        <v>79.862197875999996</v>
      </c>
      <c r="E1771">
        <v>40</v>
      </c>
      <c r="F1771">
        <v>47.635562897</v>
      </c>
      <c r="G1771">
        <v>1329.2312012</v>
      </c>
      <c r="H1771">
        <v>1327.8751221</v>
      </c>
      <c r="I1771">
        <v>1340.8309326000001</v>
      </c>
      <c r="J1771">
        <v>1337.3862305</v>
      </c>
      <c r="K1771">
        <v>0</v>
      </c>
      <c r="L1771">
        <v>1650</v>
      </c>
      <c r="M1771">
        <v>1650</v>
      </c>
      <c r="N1771">
        <v>0</v>
      </c>
    </row>
    <row r="1772" spans="1:14" x14ac:dyDescent="0.25">
      <c r="A1772">
        <v>1280.8985339999999</v>
      </c>
      <c r="B1772" s="1">
        <f>DATE(2013,11,1) + TIME(21,33,53)</f>
        <v>41579.898530092592</v>
      </c>
      <c r="C1772">
        <v>80</v>
      </c>
      <c r="D1772">
        <v>79.854087829999997</v>
      </c>
      <c r="E1772">
        <v>40</v>
      </c>
      <c r="F1772">
        <v>47.092575072999999</v>
      </c>
      <c r="G1772">
        <v>1329.2258300999999</v>
      </c>
      <c r="H1772">
        <v>1327.8673096</v>
      </c>
      <c r="I1772">
        <v>1340.8182373</v>
      </c>
      <c r="J1772">
        <v>1337.3695068</v>
      </c>
      <c r="K1772">
        <v>0</v>
      </c>
      <c r="L1772">
        <v>1650</v>
      </c>
      <c r="M1772">
        <v>1650</v>
      </c>
      <c r="N1772">
        <v>0</v>
      </c>
    </row>
    <row r="1773" spans="1:14" x14ac:dyDescent="0.25">
      <c r="A1773">
        <v>1280.977269</v>
      </c>
      <c r="B1773" s="1">
        <f>DATE(2013,11,1) + TIME(23,27,16)</f>
        <v>41579.977268518516</v>
      </c>
      <c r="C1773">
        <v>80</v>
      </c>
      <c r="D1773">
        <v>79.845626831000004</v>
      </c>
      <c r="E1773">
        <v>40</v>
      </c>
      <c r="F1773">
        <v>46.567298889</v>
      </c>
      <c r="G1773">
        <v>1329.2203368999999</v>
      </c>
      <c r="H1773">
        <v>1327.8591309000001</v>
      </c>
      <c r="I1773">
        <v>1340.8057861</v>
      </c>
      <c r="J1773">
        <v>1337.3531493999999</v>
      </c>
      <c r="K1773">
        <v>0</v>
      </c>
      <c r="L1773">
        <v>1650</v>
      </c>
      <c r="M1773">
        <v>1650</v>
      </c>
      <c r="N1773">
        <v>0</v>
      </c>
    </row>
    <row r="1774" spans="1:14" x14ac:dyDescent="0.25">
      <c r="A1774">
        <v>1281.060352</v>
      </c>
      <c r="B1774" s="1">
        <f>DATE(2013,11,2) + TIME(1,26,54)</f>
        <v>41580.060347222221</v>
      </c>
      <c r="C1774">
        <v>80</v>
      </c>
      <c r="D1774">
        <v>79.836807250999996</v>
      </c>
      <c r="E1774">
        <v>40</v>
      </c>
      <c r="F1774">
        <v>46.060050963999998</v>
      </c>
      <c r="G1774">
        <v>1329.2145995999999</v>
      </c>
      <c r="H1774">
        <v>1327.8508300999999</v>
      </c>
      <c r="I1774">
        <v>1340.7935791</v>
      </c>
      <c r="J1774">
        <v>1337.3374022999999</v>
      </c>
      <c r="K1774">
        <v>0</v>
      </c>
      <c r="L1774">
        <v>1650</v>
      </c>
      <c r="M1774">
        <v>1650</v>
      </c>
      <c r="N1774">
        <v>0</v>
      </c>
    </row>
    <row r="1775" spans="1:14" x14ac:dyDescent="0.25">
      <c r="A1775">
        <v>1281.14816</v>
      </c>
      <c r="B1775" s="1">
        <f>DATE(2013,11,2) + TIME(3,33,21)</f>
        <v>41580.148159722223</v>
      </c>
      <c r="C1775">
        <v>80</v>
      </c>
      <c r="D1775">
        <v>79.827590942</v>
      </c>
      <c r="E1775">
        <v>40</v>
      </c>
      <c r="F1775">
        <v>45.571182251000003</v>
      </c>
      <c r="G1775">
        <v>1329.2086182</v>
      </c>
      <c r="H1775">
        <v>1327.8420410000001</v>
      </c>
      <c r="I1775">
        <v>1340.7816161999999</v>
      </c>
      <c r="J1775">
        <v>1337.3220214999999</v>
      </c>
      <c r="K1775">
        <v>0</v>
      </c>
      <c r="L1775">
        <v>1650</v>
      </c>
      <c r="M1775">
        <v>1650</v>
      </c>
      <c r="N1775">
        <v>0</v>
      </c>
    </row>
    <row r="1776" spans="1:14" x14ac:dyDescent="0.25">
      <c r="A1776">
        <v>1281.241115</v>
      </c>
      <c r="B1776" s="1">
        <f>DATE(2013,11,2) + TIME(5,47,12)</f>
        <v>41580.241111111114</v>
      </c>
      <c r="C1776">
        <v>80</v>
      </c>
      <c r="D1776">
        <v>79.817947387999993</v>
      </c>
      <c r="E1776">
        <v>40</v>
      </c>
      <c r="F1776">
        <v>45.101055144999997</v>
      </c>
      <c r="G1776">
        <v>1329.2023925999999</v>
      </c>
      <c r="H1776">
        <v>1327.8330077999999</v>
      </c>
      <c r="I1776">
        <v>1340.7697754000001</v>
      </c>
      <c r="J1776">
        <v>1337.3071289</v>
      </c>
      <c r="K1776">
        <v>0</v>
      </c>
      <c r="L1776">
        <v>1650</v>
      </c>
      <c r="M1776">
        <v>1650</v>
      </c>
      <c r="N1776">
        <v>0</v>
      </c>
    </row>
    <row r="1777" spans="1:14" x14ac:dyDescent="0.25">
      <c r="A1777">
        <v>1281.3396869999999</v>
      </c>
      <c r="B1777" s="1">
        <f>DATE(2013,11,2) + TIME(8,9,8)</f>
        <v>41580.339675925927</v>
      </c>
      <c r="C1777">
        <v>80</v>
      </c>
      <c r="D1777">
        <v>79.807838439999998</v>
      </c>
      <c r="E1777">
        <v>40</v>
      </c>
      <c r="F1777">
        <v>44.650070190000001</v>
      </c>
      <c r="G1777">
        <v>1329.1959228999999</v>
      </c>
      <c r="H1777">
        <v>1327.8236084</v>
      </c>
      <c r="I1777">
        <v>1340.7583007999999</v>
      </c>
      <c r="J1777">
        <v>1337.2928466999999</v>
      </c>
      <c r="K1777">
        <v>0</v>
      </c>
      <c r="L1777">
        <v>1650</v>
      </c>
      <c r="M1777">
        <v>1650</v>
      </c>
      <c r="N1777">
        <v>0</v>
      </c>
    </row>
    <row r="1778" spans="1:14" x14ac:dyDescent="0.25">
      <c r="A1778">
        <v>1281.444405</v>
      </c>
      <c r="B1778" s="1">
        <f>DATE(2013,11,2) + TIME(10,39,56)</f>
        <v>41580.444398148145</v>
      </c>
      <c r="C1778">
        <v>80</v>
      </c>
      <c r="D1778">
        <v>79.797233582000004</v>
      </c>
      <c r="E1778">
        <v>40</v>
      </c>
      <c r="F1778">
        <v>44.218643188000001</v>
      </c>
      <c r="G1778">
        <v>1329.1892089999999</v>
      </c>
      <c r="H1778">
        <v>1327.8138428</v>
      </c>
      <c r="I1778">
        <v>1340.7470702999999</v>
      </c>
      <c r="J1778">
        <v>1337.2790527</v>
      </c>
      <c r="K1778">
        <v>0</v>
      </c>
      <c r="L1778">
        <v>1650</v>
      </c>
      <c r="M1778">
        <v>1650</v>
      </c>
      <c r="N1778">
        <v>0</v>
      </c>
    </row>
    <row r="1779" spans="1:14" x14ac:dyDescent="0.25">
      <c r="A1779">
        <v>1281.5558129999999</v>
      </c>
      <c r="B1779" s="1">
        <f>DATE(2013,11,2) + TIME(13,20,22)</f>
        <v>41580.555810185186</v>
      </c>
      <c r="C1779">
        <v>80</v>
      </c>
      <c r="D1779">
        <v>79.786102295000006</v>
      </c>
      <c r="E1779">
        <v>40</v>
      </c>
      <c r="F1779">
        <v>43.807376861999998</v>
      </c>
      <c r="G1779">
        <v>1329.1821289</v>
      </c>
      <c r="H1779">
        <v>1327.8035889</v>
      </c>
      <c r="I1779">
        <v>1340.7362060999999</v>
      </c>
      <c r="J1779">
        <v>1337.2658690999999</v>
      </c>
      <c r="K1779">
        <v>0</v>
      </c>
      <c r="L1779">
        <v>1650</v>
      </c>
      <c r="M1779">
        <v>1650</v>
      </c>
      <c r="N1779">
        <v>0</v>
      </c>
    </row>
    <row r="1780" spans="1:14" x14ac:dyDescent="0.25">
      <c r="A1780">
        <v>1281.6746129999999</v>
      </c>
      <c r="B1780" s="1">
        <f>DATE(2013,11,2) + TIME(16,11,26)</f>
        <v>41580.67460648148</v>
      </c>
      <c r="C1780">
        <v>80</v>
      </c>
      <c r="D1780">
        <v>79.774375915999997</v>
      </c>
      <c r="E1780">
        <v>40</v>
      </c>
      <c r="F1780">
        <v>43.416561127000001</v>
      </c>
      <c r="G1780">
        <v>1329.1748047000001</v>
      </c>
      <c r="H1780">
        <v>1327.7928466999999</v>
      </c>
      <c r="I1780">
        <v>1340.7254639</v>
      </c>
      <c r="J1780">
        <v>1337.2532959</v>
      </c>
      <c r="K1780">
        <v>0</v>
      </c>
      <c r="L1780">
        <v>1650</v>
      </c>
      <c r="M1780">
        <v>1650</v>
      </c>
      <c r="N1780">
        <v>0</v>
      </c>
    </row>
    <row r="1781" spans="1:14" x14ac:dyDescent="0.25">
      <c r="A1781">
        <v>1281.801567</v>
      </c>
      <c r="B1781" s="1">
        <f>DATE(2013,11,2) + TIME(19,14,15)</f>
        <v>41580.801562499997</v>
      </c>
      <c r="C1781">
        <v>80</v>
      </c>
      <c r="D1781">
        <v>79.762023925999998</v>
      </c>
      <c r="E1781">
        <v>40</v>
      </c>
      <c r="F1781">
        <v>43.046623230000002</v>
      </c>
      <c r="G1781">
        <v>1329.1671143000001</v>
      </c>
      <c r="H1781">
        <v>1327.7816161999999</v>
      </c>
      <c r="I1781">
        <v>1340.7152100000001</v>
      </c>
      <c r="J1781">
        <v>1337.2412108999999</v>
      </c>
      <c r="K1781">
        <v>0</v>
      </c>
      <c r="L1781">
        <v>1650</v>
      </c>
      <c r="M1781">
        <v>1650</v>
      </c>
      <c r="N1781">
        <v>0</v>
      </c>
    </row>
    <row r="1782" spans="1:14" x14ac:dyDescent="0.25">
      <c r="A1782">
        <v>1281.9375279999999</v>
      </c>
      <c r="B1782" s="1">
        <f>DATE(2013,11,2) + TIME(22,30,2)</f>
        <v>41580.937523148146</v>
      </c>
      <c r="C1782">
        <v>80</v>
      </c>
      <c r="D1782">
        <v>79.748970032000003</v>
      </c>
      <c r="E1782">
        <v>40</v>
      </c>
      <c r="F1782">
        <v>42.698009491000001</v>
      </c>
      <c r="G1782">
        <v>1329.1590576000001</v>
      </c>
      <c r="H1782">
        <v>1327.7698975000001</v>
      </c>
      <c r="I1782">
        <v>1340.7050781</v>
      </c>
      <c r="J1782">
        <v>1337.2297363</v>
      </c>
      <c r="K1782">
        <v>0</v>
      </c>
      <c r="L1782">
        <v>1650</v>
      </c>
      <c r="M1782">
        <v>1650</v>
      </c>
      <c r="N1782">
        <v>0</v>
      </c>
    </row>
    <row r="1783" spans="1:14" x14ac:dyDescent="0.25">
      <c r="A1783">
        <v>1282.083468</v>
      </c>
      <c r="B1783" s="1">
        <f>DATE(2013,11,3) + TIME(2,0,11)</f>
        <v>41581.083460648151</v>
      </c>
      <c r="C1783">
        <v>80</v>
      </c>
      <c r="D1783">
        <v>79.735153198000006</v>
      </c>
      <c r="E1783">
        <v>40</v>
      </c>
      <c r="F1783">
        <v>42.371143341</v>
      </c>
      <c r="G1783">
        <v>1329.1505127</v>
      </c>
      <c r="H1783">
        <v>1327.7575684000001</v>
      </c>
      <c r="I1783">
        <v>1340.6954346</v>
      </c>
      <c r="J1783">
        <v>1337.2189940999999</v>
      </c>
      <c r="K1783">
        <v>0</v>
      </c>
      <c r="L1783">
        <v>1650</v>
      </c>
      <c r="M1783">
        <v>1650</v>
      </c>
      <c r="N1783">
        <v>0</v>
      </c>
    </row>
    <row r="1784" spans="1:14" x14ac:dyDescent="0.25">
      <c r="A1784">
        <v>1282.240491</v>
      </c>
      <c r="B1784" s="1">
        <f>DATE(2013,11,3) + TIME(5,46,18)</f>
        <v>41581.240486111114</v>
      </c>
      <c r="C1784">
        <v>80</v>
      </c>
      <c r="D1784">
        <v>79.720512389999996</v>
      </c>
      <c r="E1784">
        <v>40</v>
      </c>
      <c r="F1784">
        <v>42.066413879000002</v>
      </c>
      <c r="G1784">
        <v>1329.1416016000001</v>
      </c>
      <c r="H1784">
        <v>1327.7445068</v>
      </c>
      <c r="I1784">
        <v>1340.6859131000001</v>
      </c>
      <c r="J1784">
        <v>1337.2088623</v>
      </c>
      <c r="K1784">
        <v>0</v>
      </c>
      <c r="L1784">
        <v>1650</v>
      </c>
      <c r="M1784">
        <v>1650</v>
      </c>
      <c r="N1784">
        <v>0</v>
      </c>
    </row>
    <row r="1785" spans="1:14" x14ac:dyDescent="0.25">
      <c r="A1785">
        <v>1282.4098570000001</v>
      </c>
      <c r="B1785" s="1">
        <f>DATE(2013,11,3) + TIME(9,50,11)</f>
        <v>41581.409849537034</v>
      </c>
      <c r="C1785">
        <v>80</v>
      </c>
      <c r="D1785">
        <v>79.704948424999998</v>
      </c>
      <c r="E1785">
        <v>40</v>
      </c>
      <c r="F1785">
        <v>41.784156799000002</v>
      </c>
      <c r="G1785">
        <v>1329.1320800999999</v>
      </c>
      <c r="H1785">
        <v>1327.7307129000001</v>
      </c>
      <c r="I1785">
        <v>1340.6768798999999</v>
      </c>
      <c r="J1785">
        <v>1337.1994629000001</v>
      </c>
      <c r="K1785">
        <v>0</v>
      </c>
      <c r="L1785">
        <v>1650</v>
      </c>
      <c r="M1785">
        <v>1650</v>
      </c>
      <c r="N1785">
        <v>0</v>
      </c>
    </row>
    <row r="1786" spans="1:14" x14ac:dyDescent="0.25">
      <c r="A1786">
        <v>1282.5930060000001</v>
      </c>
      <c r="B1786" s="1">
        <f>DATE(2013,11,3) + TIME(14,13,55)</f>
        <v>41581.592997685184</v>
      </c>
      <c r="C1786">
        <v>80</v>
      </c>
      <c r="D1786">
        <v>79.688369750999996</v>
      </c>
      <c r="E1786">
        <v>40</v>
      </c>
      <c r="F1786">
        <v>41.524635314999998</v>
      </c>
      <c r="G1786">
        <v>1329.1220702999999</v>
      </c>
      <c r="H1786">
        <v>1327.7161865</v>
      </c>
      <c r="I1786">
        <v>1340.6682129000001</v>
      </c>
      <c r="J1786">
        <v>1337.1906738</v>
      </c>
      <c r="K1786">
        <v>0</v>
      </c>
      <c r="L1786">
        <v>1650</v>
      </c>
      <c r="M1786">
        <v>1650</v>
      </c>
      <c r="N1786">
        <v>0</v>
      </c>
    </row>
    <row r="1787" spans="1:14" x14ac:dyDescent="0.25">
      <c r="A1787">
        <v>1282.787161</v>
      </c>
      <c r="B1787" s="1">
        <f>DATE(2013,11,3) + TIME(18,53,30)</f>
        <v>41581.787152777775</v>
      </c>
      <c r="C1787">
        <v>80</v>
      </c>
      <c r="D1787">
        <v>79.671028136999993</v>
      </c>
      <c r="E1787">
        <v>40</v>
      </c>
      <c r="F1787">
        <v>41.292457581000001</v>
      </c>
      <c r="G1787">
        <v>1329.1114502</v>
      </c>
      <c r="H1787">
        <v>1327.7009277</v>
      </c>
      <c r="I1787">
        <v>1340.6599120999999</v>
      </c>
      <c r="J1787">
        <v>1337.1828613</v>
      </c>
      <c r="K1787">
        <v>0</v>
      </c>
      <c r="L1787">
        <v>1650</v>
      </c>
      <c r="M1787">
        <v>1650</v>
      </c>
      <c r="N1787">
        <v>0</v>
      </c>
    </row>
    <row r="1788" spans="1:14" x14ac:dyDescent="0.25">
      <c r="A1788">
        <v>1282.9885690000001</v>
      </c>
      <c r="B1788" s="1">
        <f>DATE(2013,11,3) + TIME(23,43,32)</f>
        <v>41581.988564814812</v>
      </c>
      <c r="C1788">
        <v>80</v>
      </c>
      <c r="D1788">
        <v>79.653221130000006</v>
      </c>
      <c r="E1788">
        <v>40</v>
      </c>
      <c r="F1788">
        <v>41.090103149000001</v>
      </c>
      <c r="G1788">
        <v>1329.1004639</v>
      </c>
      <c r="H1788">
        <v>1327.6849365</v>
      </c>
      <c r="I1788">
        <v>1340.6523437999999</v>
      </c>
      <c r="J1788">
        <v>1337.1759033000001</v>
      </c>
      <c r="K1788">
        <v>0</v>
      </c>
      <c r="L1788">
        <v>1650</v>
      </c>
      <c r="M1788">
        <v>1650</v>
      </c>
      <c r="N1788">
        <v>0</v>
      </c>
    </row>
    <row r="1789" spans="1:14" x14ac:dyDescent="0.25">
      <c r="A1789">
        <v>1283.1978630000001</v>
      </c>
      <c r="B1789" s="1">
        <f>DATE(2013,11,4) + TIME(4,44,55)</f>
        <v>41582.197858796295</v>
      </c>
      <c r="C1789">
        <v>80</v>
      </c>
      <c r="D1789">
        <v>79.634895325000002</v>
      </c>
      <c r="E1789">
        <v>40</v>
      </c>
      <c r="F1789">
        <v>40.914302825999997</v>
      </c>
      <c r="G1789">
        <v>1329.0892334</v>
      </c>
      <c r="H1789">
        <v>1327.6687012</v>
      </c>
      <c r="I1789">
        <v>1340.6453856999999</v>
      </c>
      <c r="J1789">
        <v>1337.1699219</v>
      </c>
      <c r="K1789">
        <v>0</v>
      </c>
      <c r="L1789">
        <v>1650</v>
      </c>
      <c r="M1789">
        <v>1650</v>
      </c>
      <c r="N1789">
        <v>0</v>
      </c>
    </row>
    <row r="1790" spans="1:14" x14ac:dyDescent="0.25">
      <c r="A1790">
        <v>1283.4155659999999</v>
      </c>
      <c r="B1790" s="1">
        <f>DATE(2013,11,4) + TIME(9,58,24)</f>
        <v>41582.415555555555</v>
      </c>
      <c r="C1790">
        <v>80</v>
      </c>
      <c r="D1790">
        <v>79.616035460999996</v>
      </c>
      <c r="E1790">
        <v>40</v>
      </c>
      <c r="F1790">
        <v>40.762229918999999</v>
      </c>
      <c r="G1790">
        <v>1329.0776367000001</v>
      </c>
      <c r="H1790">
        <v>1327.6520995999999</v>
      </c>
      <c r="I1790">
        <v>1340.6389160000001</v>
      </c>
      <c r="J1790">
        <v>1337.1647949000001</v>
      </c>
      <c r="K1790">
        <v>0</v>
      </c>
      <c r="L1790">
        <v>1650</v>
      </c>
      <c r="M1790">
        <v>1650</v>
      </c>
      <c r="N1790">
        <v>0</v>
      </c>
    </row>
    <row r="1791" spans="1:14" x14ac:dyDescent="0.25">
      <c r="A1791">
        <v>1283.6422520000001</v>
      </c>
      <c r="B1791" s="1">
        <f>DATE(2013,11,4) + TIME(15,24,50)</f>
        <v>41582.642245370371</v>
      </c>
      <c r="C1791">
        <v>80</v>
      </c>
      <c r="D1791">
        <v>79.596580505000006</v>
      </c>
      <c r="E1791">
        <v>40</v>
      </c>
      <c r="F1791">
        <v>40.631301880000002</v>
      </c>
      <c r="G1791">
        <v>1329.0657959</v>
      </c>
      <c r="H1791">
        <v>1327.6350098</v>
      </c>
      <c r="I1791">
        <v>1340.6330565999999</v>
      </c>
      <c r="J1791">
        <v>1337.1602783000001</v>
      </c>
      <c r="K1791">
        <v>0</v>
      </c>
      <c r="L1791">
        <v>1650</v>
      </c>
      <c r="M1791">
        <v>1650</v>
      </c>
      <c r="N1791">
        <v>0</v>
      </c>
    </row>
    <row r="1792" spans="1:14" x14ac:dyDescent="0.25">
      <c r="A1792">
        <v>1283.8785479999999</v>
      </c>
      <c r="B1792" s="1">
        <f>DATE(2013,11,4) + TIME(21,5,6)</f>
        <v>41582.878541666665</v>
      </c>
      <c r="C1792">
        <v>80</v>
      </c>
      <c r="D1792">
        <v>79.576507567999997</v>
      </c>
      <c r="E1792">
        <v>40</v>
      </c>
      <c r="F1792">
        <v>40.519153594999999</v>
      </c>
      <c r="G1792">
        <v>1329.0537108999999</v>
      </c>
      <c r="H1792">
        <v>1327.6175536999999</v>
      </c>
      <c r="I1792">
        <v>1340.6275635</v>
      </c>
      <c r="J1792">
        <v>1337.1563721</v>
      </c>
      <c r="K1792">
        <v>0</v>
      </c>
      <c r="L1792">
        <v>1650</v>
      </c>
      <c r="M1792">
        <v>1650</v>
      </c>
      <c r="N1792">
        <v>0</v>
      </c>
    </row>
    <row r="1793" spans="1:14" x14ac:dyDescent="0.25">
      <c r="A1793">
        <v>1284.1250580000001</v>
      </c>
      <c r="B1793" s="1">
        <f>DATE(2013,11,5) + TIME(3,0,5)</f>
        <v>41583.125057870369</v>
      </c>
      <c r="C1793">
        <v>80</v>
      </c>
      <c r="D1793">
        <v>79.555770874000004</v>
      </c>
      <c r="E1793">
        <v>40</v>
      </c>
      <c r="F1793">
        <v>40.423645020000002</v>
      </c>
      <c r="G1793">
        <v>1329.0411377</v>
      </c>
      <c r="H1793">
        <v>1327.5996094</v>
      </c>
      <c r="I1793">
        <v>1340.6224365</v>
      </c>
      <c r="J1793">
        <v>1337.1530762</v>
      </c>
      <c r="K1793">
        <v>0</v>
      </c>
      <c r="L1793">
        <v>1650</v>
      </c>
      <c r="M1793">
        <v>1650</v>
      </c>
      <c r="N1793">
        <v>0</v>
      </c>
    </row>
    <row r="1794" spans="1:14" x14ac:dyDescent="0.25">
      <c r="A1794">
        <v>1284.382578</v>
      </c>
      <c r="B1794" s="1">
        <f>DATE(2013,11,5) + TIME(9,10,54)</f>
        <v>41583.382569444446</v>
      </c>
      <c r="C1794">
        <v>80</v>
      </c>
      <c r="D1794">
        <v>79.534324646000002</v>
      </c>
      <c r="E1794">
        <v>40</v>
      </c>
      <c r="F1794">
        <v>40.342765808000003</v>
      </c>
      <c r="G1794">
        <v>1329.0283202999999</v>
      </c>
      <c r="H1794">
        <v>1327.5810547000001</v>
      </c>
      <c r="I1794">
        <v>1340.6176757999999</v>
      </c>
      <c r="J1794">
        <v>1337.1501464999999</v>
      </c>
      <c r="K1794">
        <v>0</v>
      </c>
      <c r="L1794">
        <v>1650</v>
      </c>
      <c r="M1794">
        <v>1650</v>
      </c>
      <c r="N1794">
        <v>0</v>
      </c>
    </row>
    <row r="1795" spans="1:14" x14ac:dyDescent="0.25">
      <c r="A1795">
        <v>1284.651959</v>
      </c>
      <c r="B1795" s="1">
        <f>DATE(2013,11,5) + TIME(15,38,49)</f>
        <v>41583.651956018519</v>
      </c>
      <c r="C1795">
        <v>80</v>
      </c>
      <c r="D1795">
        <v>79.512100219999994</v>
      </c>
      <c r="E1795">
        <v>40</v>
      </c>
      <c r="F1795">
        <v>40.274700164999999</v>
      </c>
      <c r="G1795">
        <v>1329.0150146000001</v>
      </c>
      <c r="H1795">
        <v>1327.5618896000001</v>
      </c>
      <c r="I1795">
        <v>1340.6132812000001</v>
      </c>
      <c r="J1795">
        <v>1337.1478271000001</v>
      </c>
      <c r="K1795">
        <v>0</v>
      </c>
      <c r="L1795">
        <v>1650</v>
      </c>
      <c r="M1795">
        <v>1650</v>
      </c>
      <c r="N1795">
        <v>0</v>
      </c>
    </row>
    <row r="1796" spans="1:14" x14ac:dyDescent="0.25">
      <c r="A1796">
        <v>1284.934113</v>
      </c>
      <c r="B1796" s="1">
        <f>DATE(2013,11,5) + TIME(22,25,7)</f>
        <v>41583.934108796297</v>
      </c>
      <c r="C1796">
        <v>80</v>
      </c>
      <c r="D1796">
        <v>79.489059448000006</v>
      </c>
      <c r="E1796">
        <v>40</v>
      </c>
      <c r="F1796">
        <v>40.21780777</v>
      </c>
      <c r="G1796">
        <v>1329.0012207</v>
      </c>
      <c r="H1796">
        <v>1327.5422363</v>
      </c>
      <c r="I1796">
        <v>1340.6092529</v>
      </c>
      <c r="J1796">
        <v>1337.1457519999999</v>
      </c>
      <c r="K1796">
        <v>0</v>
      </c>
      <c r="L1796">
        <v>1650</v>
      </c>
      <c r="M1796">
        <v>1650</v>
      </c>
      <c r="N1796">
        <v>0</v>
      </c>
    </row>
    <row r="1797" spans="1:14" x14ac:dyDescent="0.25">
      <c r="A1797">
        <v>1285.2300540000001</v>
      </c>
      <c r="B1797" s="1">
        <f>DATE(2013,11,6) + TIME(5,31,16)</f>
        <v>41584.230046296296</v>
      </c>
      <c r="C1797">
        <v>80</v>
      </c>
      <c r="D1797">
        <v>79.465133667000003</v>
      </c>
      <c r="E1797">
        <v>40</v>
      </c>
      <c r="F1797">
        <v>40.170597076</v>
      </c>
      <c r="G1797">
        <v>1328.9870605000001</v>
      </c>
      <c r="H1797">
        <v>1327.5218506000001</v>
      </c>
      <c r="I1797">
        <v>1340.6053466999999</v>
      </c>
      <c r="J1797">
        <v>1337.1441649999999</v>
      </c>
      <c r="K1797">
        <v>0</v>
      </c>
      <c r="L1797">
        <v>1650</v>
      </c>
      <c r="M1797">
        <v>1650</v>
      </c>
      <c r="N1797">
        <v>0</v>
      </c>
    </row>
    <row r="1798" spans="1:14" x14ac:dyDescent="0.25">
      <c r="A1798">
        <v>1285.5409030000001</v>
      </c>
      <c r="B1798" s="1">
        <f>DATE(2013,11,6) + TIME(12,58,54)</f>
        <v>41584.540902777779</v>
      </c>
      <c r="C1798">
        <v>80</v>
      </c>
      <c r="D1798">
        <v>79.440254210999996</v>
      </c>
      <c r="E1798">
        <v>40</v>
      </c>
      <c r="F1798">
        <v>40.131713867000002</v>
      </c>
      <c r="G1798">
        <v>1328.9722899999999</v>
      </c>
      <c r="H1798">
        <v>1327.5007324000001</v>
      </c>
      <c r="I1798">
        <v>1340.6016846</v>
      </c>
      <c r="J1798">
        <v>1337.1428223</v>
      </c>
      <c r="K1798">
        <v>0</v>
      </c>
      <c r="L1798">
        <v>1650</v>
      </c>
      <c r="M1798">
        <v>1650</v>
      </c>
      <c r="N1798">
        <v>0</v>
      </c>
    </row>
    <row r="1799" spans="1:14" x14ac:dyDescent="0.25">
      <c r="A1799">
        <v>1285.867911</v>
      </c>
      <c r="B1799" s="1">
        <f>DATE(2013,11,6) + TIME(20,49,47)</f>
        <v>41584.867905092593</v>
      </c>
      <c r="C1799">
        <v>80</v>
      </c>
      <c r="D1799">
        <v>79.414352417000003</v>
      </c>
      <c r="E1799">
        <v>40</v>
      </c>
      <c r="F1799">
        <v>40.099956511999999</v>
      </c>
      <c r="G1799">
        <v>1328.9569091999999</v>
      </c>
      <c r="H1799">
        <v>1327.4787598</v>
      </c>
      <c r="I1799">
        <v>1340.5982666</v>
      </c>
      <c r="J1799">
        <v>1337.1416016000001</v>
      </c>
      <c r="K1799">
        <v>0</v>
      </c>
      <c r="L1799">
        <v>1650</v>
      </c>
      <c r="M1799">
        <v>1650</v>
      </c>
      <c r="N1799">
        <v>0</v>
      </c>
    </row>
    <row r="1800" spans="1:14" x14ac:dyDescent="0.25">
      <c r="A1800">
        <v>1286.2124779999999</v>
      </c>
      <c r="B1800" s="1">
        <f>DATE(2013,11,7) + TIME(5,5,58)</f>
        <v>41585.212476851855</v>
      </c>
      <c r="C1800">
        <v>80</v>
      </c>
      <c r="D1800">
        <v>79.38734436</v>
      </c>
      <c r="E1800">
        <v>40</v>
      </c>
      <c r="F1800">
        <v>40.074234009000001</v>
      </c>
      <c r="G1800">
        <v>1328.9410399999999</v>
      </c>
      <c r="H1800">
        <v>1327.4560547000001</v>
      </c>
      <c r="I1800">
        <v>1340.5950928</v>
      </c>
      <c r="J1800">
        <v>1337.1407471</v>
      </c>
      <c r="K1800">
        <v>0</v>
      </c>
      <c r="L1800">
        <v>1650</v>
      </c>
      <c r="M1800">
        <v>1650</v>
      </c>
      <c r="N1800">
        <v>0</v>
      </c>
    </row>
    <row r="1801" spans="1:14" x14ac:dyDescent="0.25">
      <c r="A1801">
        <v>1286.576174</v>
      </c>
      <c r="B1801" s="1">
        <f>DATE(2013,11,7) + TIME(13,49,41)</f>
        <v>41585.576168981483</v>
      </c>
      <c r="C1801">
        <v>80</v>
      </c>
      <c r="D1801">
        <v>79.359138489000003</v>
      </c>
      <c r="E1801">
        <v>40</v>
      </c>
      <c r="F1801">
        <v>40.053585052000003</v>
      </c>
      <c r="G1801">
        <v>1328.9244385</v>
      </c>
      <c r="H1801">
        <v>1327.4323730000001</v>
      </c>
      <c r="I1801">
        <v>1340.5919189000001</v>
      </c>
      <c r="J1801">
        <v>1337.1400146000001</v>
      </c>
      <c r="K1801">
        <v>0</v>
      </c>
      <c r="L1801">
        <v>1650</v>
      </c>
      <c r="M1801">
        <v>1650</v>
      </c>
      <c r="N1801">
        <v>0</v>
      </c>
    </row>
    <row r="1802" spans="1:14" x14ac:dyDescent="0.25">
      <c r="A1802">
        <v>1286.957234</v>
      </c>
      <c r="B1802" s="1">
        <f>DATE(2013,11,7) + TIME(22,58,25)</f>
        <v>41585.957233796296</v>
      </c>
      <c r="C1802">
        <v>80</v>
      </c>
      <c r="D1802">
        <v>79.329849242999998</v>
      </c>
      <c r="E1802">
        <v>40</v>
      </c>
      <c r="F1802">
        <v>40.037281036000003</v>
      </c>
      <c r="G1802">
        <v>1328.9072266000001</v>
      </c>
      <c r="H1802">
        <v>1327.4077147999999</v>
      </c>
      <c r="I1802">
        <v>1340.5889893000001</v>
      </c>
      <c r="J1802">
        <v>1337.1394043</v>
      </c>
      <c r="K1802">
        <v>0</v>
      </c>
      <c r="L1802">
        <v>1650</v>
      </c>
      <c r="M1802">
        <v>1650</v>
      </c>
      <c r="N1802">
        <v>0</v>
      </c>
    </row>
    <row r="1803" spans="1:14" x14ac:dyDescent="0.25">
      <c r="A1803">
        <v>1287.353713</v>
      </c>
      <c r="B1803" s="1">
        <f>DATE(2013,11,8) + TIME(8,29,20)</f>
        <v>41586.353703703702</v>
      </c>
      <c r="C1803">
        <v>80</v>
      </c>
      <c r="D1803">
        <v>79.299606323000006</v>
      </c>
      <c r="E1803">
        <v>40</v>
      </c>
      <c r="F1803">
        <v>40.024585723999998</v>
      </c>
      <c r="G1803">
        <v>1328.8892822</v>
      </c>
      <c r="H1803">
        <v>1327.3822021000001</v>
      </c>
      <c r="I1803">
        <v>1340.5860596</v>
      </c>
      <c r="J1803">
        <v>1337.1389160000001</v>
      </c>
      <c r="K1803">
        <v>0</v>
      </c>
      <c r="L1803">
        <v>1650</v>
      </c>
      <c r="M1803">
        <v>1650</v>
      </c>
      <c r="N1803">
        <v>0</v>
      </c>
    </row>
    <row r="1804" spans="1:14" x14ac:dyDescent="0.25">
      <c r="A1804">
        <v>1287.7660760000001</v>
      </c>
      <c r="B1804" s="1">
        <f>DATE(2013,11,8) + TIME(18,23,8)</f>
        <v>41586.766064814816</v>
      </c>
      <c r="C1804">
        <v>80</v>
      </c>
      <c r="D1804">
        <v>79.268402100000003</v>
      </c>
      <c r="E1804">
        <v>40</v>
      </c>
      <c r="F1804">
        <v>40.014766692999999</v>
      </c>
      <c r="G1804">
        <v>1328.8708495999999</v>
      </c>
      <c r="H1804">
        <v>1327.355957</v>
      </c>
      <c r="I1804">
        <v>1340.583374</v>
      </c>
      <c r="J1804">
        <v>1337.1385498</v>
      </c>
      <c r="K1804">
        <v>0</v>
      </c>
      <c r="L1804">
        <v>1650</v>
      </c>
      <c r="M1804">
        <v>1650</v>
      </c>
      <c r="N1804">
        <v>0</v>
      </c>
    </row>
    <row r="1805" spans="1:14" x14ac:dyDescent="0.25">
      <c r="A1805">
        <v>1288.195577</v>
      </c>
      <c r="B1805" s="1">
        <f>DATE(2013,11,9) + TIME(4,41,37)</f>
        <v>41587.195567129631</v>
      </c>
      <c r="C1805">
        <v>80</v>
      </c>
      <c r="D1805">
        <v>79.236183166999993</v>
      </c>
      <c r="E1805">
        <v>40</v>
      </c>
      <c r="F1805">
        <v>40.007213593000003</v>
      </c>
      <c r="G1805">
        <v>1328.8518065999999</v>
      </c>
      <c r="H1805">
        <v>1327.3288574000001</v>
      </c>
      <c r="I1805">
        <v>1340.5808105000001</v>
      </c>
      <c r="J1805">
        <v>1337.1381836</v>
      </c>
      <c r="K1805">
        <v>0</v>
      </c>
      <c r="L1805">
        <v>1650</v>
      </c>
      <c r="M1805">
        <v>1650</v>
      </c>
      <c r="N1805">
        <v>0</v>
      </c>
    </row>
    <row r="1806" spans="1:14" x14ac:dyDescent="0.25">
      <c r="A1806">
        <v>1288.643652</v>
      </c>
      <c r="B1806" s="1">
        <f>DATE(2013,11,9) + TIME(15,26,51)</f>
        <v>41587.643645833334</v>
      </c>
      <c r="C1806">
        <v>80</v>
      </c>
      <c r="D1806">
        <v>79.202873229999994</v>
      </c>
      <c r="E1806">
        <v>40</v>
      </c>
      <c r="F1806">
        <v>40.001426696999999</v>
      </c>
      <c r="G1806">
        <v>1328.8322754000001</v>
      </c>
      <c r="H1806">
        <v>1327.3010254000001</v>
      </c>
      <c r="I1806">
        <v>1340.5782471</v>
      </c>
      <c r="J1806">
        <v>1337.1378173999999</v>
      </c>
      <c r="K1806">
        <v>0</v>
      </c>
      <c r="L1806">
        <v>1650</v>
      </c>
      <c r="M1806">
        <v>1650</v>
      </c>
      <c r="N1806">
        <v>0</v>
      </c>
    </row>
    <row r="1807" spans="1:14" x14ac:dyDescent="0.25">
      <c r="A1807">
        <v>1289.1067399999999</v>
      </c>
      <c r="B1807" s="1">
        <f>DATE(2013,11,10) + TIME(2,33,42)</f>
        <v>41588.106736111113</v>
      </c>
      <c r="C1807">
        <v>80</v>
      </c>
      <c r="D1807">
        <v>79.168701171999999</v>
      </c>
      <c r="E1807">
        <v>40</v>
      </c>
      <c r="F1807">
        <v>39.997047424000002</v>
      </c>
      <c r="G1807">
        <v>1328.8120117000001</v>
      </c>
      <c r="H1807">
        <v>1327.2722168</v>
      </c>
      <c r="I1807">
        <v>1340.5758057</v>
      </c>
      <c r="J1807">
        <v>1337.1375731999999</v>
      </c>
      <c r="K1807">
        <v>0</v>
      </c>
      <c r="L1807">
        <v>1650</v>
      </c>
      <c r="M1807">
        <v>1650</v>
      </c>
      <c r="N1807">
        <v>0</v>
      </c>
    </row>
    <row r="1808" spans="1:14" x14ac:dyDescent="0.25">
      <c r="A1808">
        <v>1289.5783269999999</v>
      </c>
      <c r="B1808" s="1">
        <f>DATE(2013,11,10) + TIME(13,52,47)</f>
        <v>41588.578321759262</v>
      </c>
      <c r="C1808">
        <v>80</v>
      </c>
      <c r="D1808">
        <v>79.134040833</v>
      </c>
      <c r="E1808">
        <v>40</v>
      </c>
      <c r="F1808">
        <v>39.993778229</v>
      </c>
      <c r="G1808">
        <v>1328.7913818</v>
      </c>
      <c r="H1808">
        <v>1327.2429199000001</v>
      </c>
      <c r="I1808">
        <v>1340.5734863</v>
      </c>
      <c r="J1808">
        <v>1337.1373291</v>
      </c>
      <c r="K1808">
        <v>0</v>
      </c>
      <c r="L1808">
        <v>1650</v>
      </c>
      <c r="M1808">
        <v>1650</v>
      </c>
      <c r="N1808">
        <v>0</v>
      </c>
    </row>
    <row r="1809" spans="1:14" x14ac:dyDescent="0.25">
      <c r="A1809">
        <v>1290.0595450000001</v>
      </c>
      <c r="B1809" s="1">
        <f>DATE(2013,11,11) + TIME(1,25,44)</f>
        <v>41589.059537037036</v>
      </c>
      <c r="C1809">
        <v>80</v>
      </c>
      <c r="D1809">
        <v>79.098884583</v>
      </c>
      <c r="E1809">
        <v>40</v>
      </c>
      <c r="F1809">
        <v>39.991325377999999</v>
      </c>
      <c r="G1809">
        <v>1328.7703856999999</v>
      </c>
      <c r="H1809">
        <v>1327.2132568</v>
      </c>
      <c r="I1809">
        <v>1340.5711670000001</v>
      </c>
      <c r="J1809">
        <v>1337.1370850000001</v>
      </c>
      <c r="K1809">
        <v>0</v>
      </c>
      <c r="L1809">
        <v>1650</v>
      </c>
      <c r="M1809">
        <v>1650</v>
      </c>
      <c r="N1809">
        <v>0</v>
      </c>
    </row>
    <row r="1810" spans="1:14" x14ac:dyDescent="0.25">
      <c r="A1810">
        <v>1290.551428</v>
      </c>
      <c r="B1810" s="1">
        <f>DATE(2013,11,11) + TIME(13,14,3)</f>
        <v>41589.551423611112</v>
      </c>
      <c r="C1810">
        <v>80</v>
      </c>
      <c r="D1810">
        <v>79.063209533999995</v>
      </c>
      <c r="E1810">
        <v>40</v>
      </c>
      <c r="F1810">
        <v>39.989471436000002</v>
      </c>
      <c r="G1810">
        <v>1328.7491454999999</v>
      </c>
      <c r="H1810">
        <v>1327.1832274999999</v>
      </c>
      <c r="I1810">
        <v>1340.5690918</v>
      </c>
      <c r="J1810">
        <v>1337.1368408000001</v>
      </c>
      <c r="K1810">
        <v>0</v>
      </c>
      <c r="L1810">
        <v>1650</v>
      </c>
      <c r="M1810">
        <v>1650</v>
      </c>
      <c r="N1810">
        <v>0</v>
      </c>
    </row>
    <row r="1811" spans="1:14" x14ac:dyDescent="0.25">
      <c r="A1811">
        <v>1291.0550410000001</v>
      </c>
      <c r="B1811" s="1">
        <f>DATE(2013,11,12) + TIME(1,19,15)</f>
        <v>41590.055034722223</v>
      </c>
      <c r="C1811">
        <v>80</v>
      </c>
      <c r="D1811">
        <v>79.027000427000004</v>
      </c>
      <c r="E1811">
        <v>40</v>
      </c>
      <c r="F1811">
        <v>39.988067627</v>
      </c>
      <c r="G1811">
        <v>1328.7276611</v>
      </c>
      <c r="H1811">
        <v>1327.152832</v>
      </c>
      <c r="I1811">
        <v>1340.5670166</v>
      </c>
      <c r="J1811">
        <v>1337.1364745999999</v>
      </c>
      <c r="K1811">
        <v>0</v>
      </c>
      <c r="L1811">
        <v>1650</v>
      </c>
      <c r="M1811">
        <v>1650</v>
      </c>
      <c r="N1811">
        <v>0</v>
      </c>
    </row>
    <row r="1812" spans="1:14" x14ac:dyDescent="0.25">
      <c r="A1812">
        <v>1291.5715009999999</v>
      </c>
      <c r="B1812" s="1">
        <f>DATE(2013,11,12) + TIME(13,42,57)</f>
        <v>41590.571493055555</v>
      </c>
      <c r="C1812">
        <v>80</v>
      </c>
      <c r="D1812">
        <v>78.990203856999997</v>
      </c>
      <c r="E1812">
        <v>40</v>
      </c>
      <c r="F1812">
        <v>39.986995696999998</v>
      </c>
      <c r="G1812">
        <v>1328.7059326000001</v>
      </c>
      <c r="H1812">
        <v>1327.1219481999999</v>
      </c>
      <c r="I1812">
        <v>1340.5649414</v>
      </c>
      <c r="J1812">
        <v>1337.1362305</v>
      </c>
      <c r="K1812">
        <v>0</v>
      </c>
      <c r="L1812">
        <v>1650</v>
      </c>
      <c r="M1812">
        <v>1650</v>
      </c>
      <c r="N1812">
        <v>0</v>
      </c>
    </row>
    <row r="1813" spans="1:14" x14ac:dyDescent="0.25">
      <c r="A1813">
        <v>1292.101993</v>
      </c>
      <c r="B1813" s="1">
        <f>DATE(2013,11,13) + TIME(2,26,52)</f>
        <v>41591.101990740739</v>
      </c>
      <c r="C1813">
        <v>80</v>
      </c>
      <c r="D1813">
        <v>78.952796935999999</v>
      </c>
      <c r="E1813">
        <v>40</v>
      </c>
      <c r="F1813">
        <v>39.986171722000002</v>
      </c>
      <c r="G1813">
        <v>1328.6837158000001</v>
      </c>
      <c r="H1813">
        <v>1327.0905762</v>
      </c>
      <c r="I1813">
        <v>1340.5629882999999</v>
      </c>
      <c r="J1813">
        <v>1337.1359863</v>
      </c>
      <c r="K1813">
        <v>0</v>
      </c>
      <c r="L1813">
        <v>1650</v>
      </c>
      <c r="M1813">
        <v>1650</v>
      </c>
      <c r="N1813">
        <v>0</v>
      </c>
    </row>
    <row r="1814" spans="1:14" x14ac:dyDescent="0.25">
      <c r="A1814">
        <v>1292.6477829999999</v>
      </c>
      <c r="B1814" s="1">
        <f>DATE(2013,11,13) + TIME(15,32,48)</f>
        <v>41591.647777777776</v>
      </c>
      <c r="C1814">
        <v>80</v>
      </c>
      <c r="D1814">
        <v>78.914718628000003</v>
      </c>
      <c r="E1814">
        <v>40</v>
      </c>
      <c r="F1814">
        <v>39.985530853</v>
      </c>
      <c r="G1814">
        <v>1328.6611327999999</v>
      </c>
      <c r="H1814">
        <v>1327.0587158000001</v>
      </c>
      <c r="I1814">
        <v>1340.5611572</v>
      </c>
      <c r="J1814">
        <v>1337.1356201000001</v>
      </c>
      <c r="K1814">
        <v>0</v>
      </c>
      <c r="L1814">
        <v>1650</v>
      </c>
      <c r="M1814">
        <v>1650</v>
      </c>
      <c r="N1814">
        <v>0</v>
      </c>
    </row>
    <row r="1815" spans="1:14" x14ac:dyDescent="0.25">
      <c r="A1815">
        <v>1293.2102159999999</v>
      </c>
      <c r="B1815" s="1">
        <f>DATE(2013,11,14) + TIME(5,2,42)</f>
        <v>41592.21020833333</v>
      </c>
      <c r="C1815">
        <v>80</v>
      </c>
      <c r="D1815">
        <v>78.875907897999994</v>
      </c>
      <c r="E1815">
        <v>40</v>
      </c>
      <c r="F1815">
        <v>39.985031128000003</v>
      </c>
      <c r="G1815">
        <v>1328.6381836</v>
      </c>
      <c r="H1815">
        <v>1327.0262451000001</v>
      </c>
      <c r="I1815">
        <v>1340.5593262</v>
      </c>
      <c r="J1815">
        <v>1337.135376</v>
      </c>
      <c r="K1815">
        <v>0</v>
      </c>
      <c r="L1815">
        <v>1650</v>
      </c>
      <c r="M1815">
        <v>1650</v>
      </c>
      <c r="N1815">
        <v>0</v>
      </c>
    </row>
    <row r="1816" spans="1:14" x14ac:dyDescent="0.25">
      <c r="A1816">
        <v>1293.790737</v>
      </c>
      <c r="B1816" s="1">
        <f>DATE(2013,11,14) + TIME(18,58,39)</f>
        <v>41592.790729166663</v>
      </c>
      <c r="C1816">
        <v>80</v>
      </c>
      <c r="D1816">
        <v>78.836311339999995</v>
      </c>
      <c r="E1816">
        <v>40</v>
      </c>
      <c r="F1816">
        <v>39.984634399000001</v>
      </c>
      <c r="G1816">
        <v>1328.614624</v>
      </c>
      <c r="H1816">
        <v>1326.9930420000001</v>
      </c>
      <c r="I1816">
        <v>1340.5574951000001</v>
      </c>
      <c r="J1816">
        <v>1337.1350098</v>
      </c>
      <c r="K1816">
        <v>0</v>
      </c>
      <c r="L1816">
        <v>1650</v>
      </c>
      <c r="M1816">
        <v>1650</v>
      </c>
      <c r="N1816">
        <v>0</v>
      </c>
    </row>
    <row r="1817" spans="1:14" x14ac:dyDescent="0.25">
      <c r="A1817">
        <v>1294.3907280000001</v>
      </c>
      <c r="B1817" s="1">
        <f>DATE(2013,11,15) + TIME(9,22,38)</f>
        <v>41593.390717592592</v>
      </c>
      <c r="C1817">
        <v>80</v>
      </c>
      <c r="D1817">
        <v>78.795867920000006</v>
      </c>
      <c r="E1817">
        <v>40</v>
      </c>
      <c r="F1817">
        <v>39.984317779999998</v>
      </c>
      <c r="G1817">
        <v>1328.5905762</v>
      </c>
      <c r="H1817">
        <v>1326.9592285000001</v>
      </c>
      <c r="I1817">
        <v>1340.5557861</v>
      </c>
      <c r="J1817">
        <v>1337.1347656</v>
      </c>
      <c r="K1817">
        <v>0</v>
      </c>
      <c r="L1817">
        <v>1650</v>
      </c>
      <c r="M1817">
        <v>1650</v>
      </c>
      <c r="N1817">
        <v>0</v>
      </c>
    </row>
    <row r="1818" spans="1:14" x14ac:dyDescent="0.25">
      <c r="A1818">
        <v>1295.011949</v>
      </c>
      <c r="B1818" s="1">
        <f>DATE(2013,11,16) + TIME(0,17,12)</f>
        <v>41594.011944444443</v>
      </c>
      <c r="C1818">
        <v>80</v>
      </c>
      <c r="D1818">
        <v>78.754493713000002</v>
      </c>
      <c r="E1818">
        <v>40</v>
      </c>
      <c r="F1818">
        <v>39.984066009999999</v>
      </c>
      <c r="G1818">
        <v>1328.5660399999999</v>
      </c>
      <c r="H1818">
        <v>1326.9245605000001</v>
      </c>
      <c r="I1818">
        <v>1340.5540771000001</v>
      </c>
      <c r="J1818">
        <v>1337.1343993999999</v>
      </c>
      <c r="K1818">
        <v>0</v>
      </c>
      <c r="L1818">
        <v>1650</v>
      </c>
      <c r="M1818">
        <v>1650</v>
      </c>
      <c r="N1818">
        <v>0</v>
      </c>
    </row>
    <row r="1819" spans="1:14" x14ac:dyDescent="0.25">
      <c r="A1819">
        <v>1295.6563309999999</v>
      </c>
      <c r="B1819" s="1">
        <f>DATE(2013,11,16) + TIME(15,45,6)</f>
        <v>41594.656319444446</v>
      </c>
      <c r="C1819">
        <v>80</v>
      </c>
      <c r="D1819">
        <v>78.712104796999995</v>
      </c>
      <c r="E1819">
        <v>40</v>
      </c>
      <c r="F1819">
        <v>39.983860016000001</v>
      </c>
      <c r="G1819">
        <v>1328.5407714999999</v>
      </c>
      <c r="H1819">
        <v>1326.8890381000001</v>
      </c>
      <c r="I1819">
        <v>1340.5523682</v>
      </c>
      <c r="J1819">
        <v>1337.1340332</v>
      </c>
      <c r="K1819">
        <v>0</v>
      </c>
      <c r="L1819">
        <v>1650</v>
      </c>
      <c r="M1819">
        <v>1650</v>
      </c>
      <c r="N1819">
        <v>0</v>
      </c>
    </row>
    <row r="1820" spans="1:14" x14ac:dyDescent="0.25">
      <c r="A1820">
        <v>1296.325914</v>
      </c>
      <c r="B1820" s="1">
        <f>DATE(2013,11,17) + TIME(7,49,19)</f>
        <v>41595.325914351852</v>
      </c>
      <c r="C1820">
        <v>80</v>
      </c>
      <c r="D1820">
        <v>78.668624878000003</v>
      </c>
      <c r="E1820">
        <v>40</v>
      </c>
      <c r="F1820">
        <v>39.983692169000001</v>
      </c>
      <c r="G1820">
        <v>1328.5148925999999</v>
      </c>
      <c r="H1820">
        <v>1326.8525391000001</v>
      </c>
      <c r="I1820">
        <v>1340.5507812000001</v>
      </c>
      <c r="J1820">
        <v>1337.1336670000001</v>
      </c>
      <c r="K1820">
        <v>0</v>
      </c>
      <c r="L1820">
        <v>1650</v>
      </c>
      <c r="M1820">
        <v>1650</v>
      </c>
      <c r="N1820">
        <v>0</v>
      </c>
    </row>
    <row r="1821" spans="1:14" x14ac:dyDescent="0.25">
      <c r="A1821">
        <v>1297.0229509999999</v>
      </c>
      <c r="B1821" s="1">
        <f>DATE(2013,11,18) + TIME(0,33,2)</f>
        <v>41596.022939814815</v>
      </c>
      <c r="C1821">
        <v>80</v>
      </c>
      <c r="D1821">
        <v>78.623947143999999</v>
      </c>
      <c r="E1821">
        <v>40</v>
      </c>
      <c r="F1821">
        <v>39.983554839999996</v>
      </c>
      <c r="G1821">
        <v>1328.4881591999999</v>
      </c>
      <c r="H1821">
        <v>1326.8150635</v>
      </c>
      <c r="I1821">
        <v>1340.5491943</v>
      </c>
      <c r="J1821">
        <v>1337.1333007999999</v>
      </c>
      <c r="K1821">
        <v>0</v>
      </c>
      <c r="L1821">
        <v>1650</v>
      </c>
      <c r="M1821">
        <v>1650</v>
      </c>
      <c r="N1821">
        <v>0</v>
      </c>
    </row>
    <row r="1822" spans="1:14" x14ac:dyDescent="0.25">
      <c r="A1822">
        <v>1297.749928</v>
      </c>
      <c r="B1822" s="1">
        <f>DATE(2013,11,18) + TIME(17,59,53)</f>
        <v>41596.749918981484</v>
      </c>
      <c r="C1822">
        <v>80</v>
      </c>
      <c r="D1822">
        <v>78.577972411999994</v>
      </c>
      <c r="E1822">
        <v>40</v>
      </c>
      <c r="F1822">
        <v>39.983440399000003</v>
      </c>
      <c r="G1822">
        <v>1328.4606934000001</v>
      </c>
      <c r="H1822">
        <v>1326.7764893000001</v>
      </c>
      <c r="I1822">
        <v>1340.5476074000001</v>
      </c>
      <c r="J1822">
        <v>1337.1329346</v>
      </c>
      <c r="K1822">
        <v>0</v>
      </c>
      <c r="L1822">
        <v>1650</v>
      </c>
      <c r="M1822">
        <v>1650</v>
      </c>
      <c r="N1822">
        <v>0</v>
      </c>
    </row>
    <row r="1823" spans="1:14" x14ac:dyDescent="0.25">
      <c r="A1823">
        <v>1298.50963</v>
      </c>
      <c r="B1823" s="1">
        <f>DATE(2013,11,19) + TIME(12,13,52)</f>
        <v>41597.509629629632</v>
      </c>
      <c r="C1823">
        <v>80</v>
      </c>
      <c r="D1823">
        <v>78.530578613000003</v>
      </c>
      <c r="E1823">
        <v>40</v>
      </c>
      <c r="F1823">
        <v>39.983348845999998</v>
      </c>
      <c r="G1823">
        <v>1328.432251</v>
      </c>
      <c r="H1823">
        <v>1326.7366943</v>
      </c>
      <c r="I1823">
        <v>1340.5460204999999</v>
      </c>
      <c r="J1823">
        <v>1337.1326904</v>
      </c>
      <c r="K1823">
        <v>0</v>
      </c>
      <c r="L1823">
        <v>1650</v>
      </c>
      <c r="M1823">
        <v>1650</v>
      </c>
      <c r="N1823">
        <v>0</v>
      </c>
    </row>
    <row r="1824" spans="1:14" x14ac:dyDescent="0.25">
      <c r="A1824">
        <v>1299.3051700000001</v>
      </c>
      <c r="B1824" s="1">
        <f>DATE(2013,11,20) + TIME(7,19,26)</f>
        <v>41598.305162037039</v>
      </c>
      <c r="C1824">
        <v>80</v>
      </c>
      <c r="D1824">
        <v>78.481651306000003</v>
      </c>
      <c r="E1824">
        <v>40</v>
      </c>
      <c r="F1824">
        <v>39.983268738</v>
      </c>
      <c r="G1824">
        <v>1328.402832</v>
      </c>
      <c r="H1824">
        <v>1326.6954346</v>
      </c>
      <c r="I1824">
        <v>1340.5445557</v>
      </c>
      <c r="J1824">
        <v>1337.1323242000001</v>
      </c>
      <c r="K1824">
        <v>0</v>
      </c>
      <c r="L1824">
        <v>1650</v>
      </c>
      <c r="M1824">
        <v>1650</v>
      </c>
      <c r="N1824">
        <v>0</v>
      </c>
    </row>
    <row r="1825" spans="1:14" x14ac:dyDescent="0.25">
      <c r="A1825">
        <v>1300.1400349999999</v>
      </c>
      <c r="B1825" s="1">
        <f>DATE(2013,11,21) + TIME(3,21,39)</f>
        <v>41599.140034722222</v>
      </c>
      <c r="C1825">
        <v>80</v>
      </c>
      <c r="D1825">
        <v>78.431030273000005</v>
      </c>
      <c r="E1825">
        <v>40</v>
      </c>
      <c r="F1825">
        <v>39.983203887999998</v>
      </c>
      <c r="G1825">
        <v>1328.3723144999999</v>
      </c>
      <c r="H1825">
        <v>1326.652832</v>
      </c>
      <c r="I1825">
        <v>1340.5429687999999</v>
      </c>
      <c r="J1825">
        <v>1337.1319579999999</v>
      </c>
      <c r="K1825">
        <v>0</v>
      </c>
      <c r="L1825">
        <v>1650</v>
      </c>
      <c r="M1825">
        <v>1650</v>
      </c>
      <c r="N1825">
        <v>0</v>
      </c>
    </row>
    <row r="1826" spans="1:14" x14ac:dyDescent="0.25">
      <c r="A1826">
        <v>1301.018182</v>
      </c>
      <c r="B1826" s="1">
        <f>DATE(2013,11,22) + TIME(0,26,10)</f>
        <v>41600.018171296295</v>
      </c>
      <c r="C1826">
        <v>80</v>
      </c>
      <c r="D1826">
        <v>78.378578185999999</v>
      </c>
      <c r="E1826">
        <v>40</v>
      </c>
      <c r="F1826">
        <v>39.983150481999999</v>
      </c>
      <c r="G1826">
        <v>1328.3406981999999</v>
      </c>
      <c r="H1826">
        <v>1326.6085204999999</v>
      </c>
      <c r="I1826">
        <v>1340.5415039</v>
      </c>
      <c r="J1826">
        <v>1337.1315918</v>
      </c>
      <c r="K1826">
        <v>0</v>
      </c>
      <c r="L1826">
        <v>1650</v>
      </c>
      <c r="M1826">
        <v>1650</v>
      </c>
      <c r="N1826">
        <v>0</v>
      </c>
    </row>
    <row r="1827" spans="1:14" x14ac:dyDescent="0.25">
      <c r="A1827">
        <v>1301.9272100000001</v>
      </c>
      <c r="B1827" s="1">
        <f>DATE(2013,11,22) + TIME(22,15,10)</f>
        <v>41600.927199074074</v>
      </c>
      <c r="C1827">
        <v>80</v>
      </c>
      <c r="D1827">
        <v>78.324684142999999</v>
      </c>
      <c r="E1827">
        <v>40</v>
      </c>
      <c r="F1827">
        <v>39.983100890999999</v>
      </c>
      <c r="G1827">
        <v>1328.3077393000001</v>
      </c>
      <c r="H1827">
        <v>1326.5626221</v>
      </c>
      <c r="I1827">
        <v>1340.5400391000001</v>
      </c>
      <c r="J1827">
        <v>1337.1312256000001</v>
      </c>
      <c r="K1827">
        <v>0</v>
      </c>
      <c r="L1827">
        <v>1650</v>
      </c>
      <c r="M1827">
        <v>1650</v>
      </c>
      <c r="N1827">
        <v>0</v>
      </c>
    </row>
    <row r="1828" spans="1:14" x14ac:dyDescent="0.25">
      <c r="A1828">
        <v>1302.8528899999999</v>
      </c>
      <c r="B1828" s="1">
        <f>DATE(2013,11,23) + TIME(20,28,9)</f>
        <v>41601.852881944447</v>
      </c>
      <c r="C1828">
        <v>80</v>
      </c>
      <c r="D1828">
        <v>78.269935607999997</v>
      </c>
      <c r="E1828">
        <v>40</v>
      </c>
      <c r="F1828">
        <v>39.983062744000001</v>
      </c>
      <c r="G1828">
        <v>1328.2740478999999</v>
      </c>
      <c r="H1828">
        <v>1326.515625</v>
      </c>
      <c r="I1828">
        <v>1340.5386963000001</v>
      </c>
      <c r="J1828">
        <v>1337.1308594</v>
      </c>
      <c r="K1828">
        <v>0</v>
      </c>
      <c r="L1828">
        <v>1650</v>
      </c>
      <c r="M1828">
        <v>1650</v>
      </c>
      <c r="N1828">
        <v>0</v>
      </c>
    </row>
    <row r="1829" spans="1:14" x14ac:dyDescent="0.25">
      <c r="A1829">
        <v>1303.7975980000001</v>
      </c>
      <c r="B1829" s="1">
        <f>DATE(2013,11,24) + TIME(19,8,32)</f>
        <v>41602.797592592593</v>
      </c>
      <c r="C1829">
        <v>80</v>
      </c>
      <c r="D1829">
        <v>78.214500427000004</v>
      </c>
      <c r="E1829">
        <v>40</v>
      </c>
      <c r="F1829">
        <v>39.983032227000002</v>
      </c>
      <c r="G1829">
        <v>1328.2398682</v>
      </c>
      <c r="H1829">
        <v>1326.4678954999999</v>
      </c>
      <c r="I1829">
        <v>1340.5372314000001</v>
      </c>
      <c r="J1829">
        <v>1337.1304932</v>
      </c>
      <c r="K1829">
        <v>0</v>
      </c>
      <c r="L1829">
        <v>1650</v>
      </c>
      <c r="M1829">
        <v>1650</v>
      </c>
      <c r="N1829">
        <v>0</v>
      </c>
    </row>
    <row r="1830" spans="1:14" x14ac:dyDescent="0.25">
      <c r="A1830">
        <v>1304.7635319999999</v>
      </c>
      <c r="B1830" s="1">
        <f>DATE(2013,11,25) + TIME(18,19,29)</f>
        <v>41603.76353009259</v>
      </c>
      <c r="C1830">
        <v>80</v>
      </c>
      <c r="D1830">
        <v>78.158424377000003</v>
      </c>
      <c r="E1830">
        <v>40</v>
      </c>
      <c r="F1830">
        <v>39.983005523999999</v>
      </c>
      <c r="G1830">
        <v>1328.2052002</v>
      </c>
      <c r="H1830">
        <v>1326.4196777</v>
      </c>
      <c r="I1830">
        <v>1340.5360106999999</v>
      </c>
      <c r="J1830">
        <v>1337.130249</v>
      </c>
      <c r="K1830">
        <v>0</v>
      </c>
      <c r="L1830">
        <v>1650</v>
      </c>
      <c r="M1830">
        <v>1650</v>
      </c>
      <c r="N1830">
        <v>0</v>
      </c>
    </row>
    <row r="1831" spans="1:14" x14ac:dyDescent="0.25">
      <c r="A1831">
        <v>1305.7530320000001</v>
      </c>
      <c r="B1831" s="1">
        <f>DATE(2013,11,26) + TIME(18,4,21)</f>
        <v>41604.753020833334</v>
      </c>
      <c r="C1831">
        <v>80</v>
      </c>
      <c r="D1831">
        <v>78.101692200000002</v>
      </c>
      <c r="E1831">
        <v>40</v>
      </c>
      <c r="F1831">
        <v>39.982982634999999</v>
      </c>
      <c r="G1831">
        <v>1328.1700439000001</v>
      </c>
      <c r="H1831">
        <v>1326.3707274999999</v>
      </c>
      <c r="I1831">
        <v>1340.5347899999999</v>
      </c>
      <c r="J1831">
        <v>1337.1298827999999</v>
      </c>
      <c r="K1831">
        <v>0</v>
      </c>
      <c r="L1831">
        <v>1650</v>
      </c>
      <c r="M1831">
        <v>1650</v>
      </c>
      <c r="N1831">
        <v>0</v>
      </c>
    </row>
    <row r="1832" spans="1:14" x14ac:dyDescent="0.25">
      <c r="A1832">
        <v>1306.768613</v>
      </c>
      <c r="B1832" s="1">
        <f>DATE(2013,11,27) + TIME(18,26,48)</f>
        <v>41605.768611111111</v>
      </c>
      <c r="C1832">
        <v>80</v>
      </c>
      <c r="D1832">
        <v>78.044227599999999</v>
      </c>
      <c r="E1832">
        <v>40</v>
      </c>
      <c r="F1832">
        <v>39.982959747000002</v>
      </c>
      <c r="G1832">
        <v>1328.1345214999999</v>
      </c>
      <c r="H1832">
        <v>1326.3211670000001</v>
      </c>
      <c r="I1832">
        <v>1340.5335693</v>
      </c>
      <c r="J1832">
        <v>1337.1296387</v>
      </c>
      <c r="K1832">
        <v>0</v>
      </c>
      <c r="L1832">
        <v>1650</v>
      </c>
      <c r="M1832">
        <v>1650</v>
      </c>
      <c r="N1832">
        <v>0</v>
      </c>
    </row>
    <row r="1833" spans="1:14" x14ac:dyDescent="0.25">
      <c r="A1833">
        <v>1307.8129899999999</v>
      </c>
      <c r="B1833" s="1">
        <f>DATE(2013,11,28) + TIME(19,30,42)</f>
        <v>41606.812986111108</v>
      </c>
      <c r="C1833">
        <v>80</v>
      </c>
      <c r="D1833">
        <v>77.985939025999997</v>
      </c>
      <c r="E1833">
        <v>40</v>
      </c>
      <c r="F1833">
        <v>39.982940673999998</v>
      </c>
      <c r="G1833">
        <v>1328.0982666</v>
      </c>
      <c r="H1833">
        <v>1326.2707519999999</v>
      </c>
      <c r="I1833">
        <v>1340.5323486</v>
      </c>
      <c r="J1833">
        <v>1337.1293945</v>
      </c>
      <c r="K1833">
        <v>0</v>
      </c>
      <c r="L1833">
        <v>1650</v>
      </c>
      <c r="M1833">
        <v>1650</v>
      </c>
      <c r="N1833">
        <v>0</v>
      </c>
    </row>
    <row r="1834" spans="1:14" x14ac:dyDescent="0.25">
      <c r="A1834">
        <v>1308.88903</v>
      </c>
      <c r="B1834" s="1">
        <f>DATE(2013,11,29) + TIME(21,20,12)</f>
        <v>41607.889027777775</v>
      </c>
      <c r="C1834">
        <v>80</v>
      </c>
      <c r="D1834">
        <v>77.926712035999998</v>
      </c>
      <c r="E1834">
        <v>40</v>
      </c>
      <c r="F1834">
        <v>39.982921599999997</v>
      </c>
      <c r="G1834">
        <v>1328.0614014</v>
      </c>
      <c r="H1834">
        <v>1326.2196045000001</v>
      </c>
      <c r="I1834">
        <v>1340.53125</v>
      </c>
      <c r="J1834">
        <v>1337.1291504000001</v>
      </c>
      <c r="K1834">
        <v>0</v>
      </c>
      <c r="L1834">
        <v>1650</v>
      </c>
      <c r="M1834">
        <v>1650</v>
      </c>
      <c r="N1834">
        <v>0</v>
      </c>
    </row>
    <row r="1835" spans="1:14" x14ac:dyDescent="0.25">
      <c r="A1835">
        <v>1310</v>
      </c>
      <c r="B1835" s="1">
        <f>DATE(2013,12,1) + TIME(0,0,0)</f>
        <v>41609</v>
      </c>
      <c r="C1835">
        <v>80</v>
      </c>
      <c r="D1835">
        <v>77.866394043</v>
      </c>
      <c r="E1835">
        <v>40</v>
      </c>
      <c r="F1835">
        <v>39.982906342</v>
      </c>
      <c r="G1835">
        <v>1328.0239257999999</v>
      </c>
      <c r="H1835">
        <v>1326.1674805</v>
      </c>
      <c r="I1835">
        <v>1340.5302733999999</v>
      </c>
      <c r="J1835">
        <v>1337.1289062000001</v>
      </c>
      <c r="K1835">
        <v>0</v>
      </c>
      <c r="L1835">
        <v>1650</v>
      </c>
      <c r="M1835">
        <v>1650</v>
      </c>
      <c r="N1835">
        <v>0</v>
      </c>
    </row>
    <row r="1836" spans="1:14" x14ac:dyDescent="0.25">
      <c r="A1836">
        <v>1311.110782</v>
      </c>
      <c r="B1836" s="1">
        <f>DATE(2013,12,2) + TIME(2,39,31)</f>
        <v>41610.110775462963</v>
      </c>
      <c r="C1836">
        <v>80</v>
      </c>
      <c r="D1836">
        <v>77.805892943999993</v>
      </c>
      <c r="E1836">
        <v>40</v>
      </c>
      <c r="F1836">
        <v>39.982891082999998</v>
      </c>
      <c r="G1836">
        <v>1327.9855957</v>
      </c>
      <c r="H1836">
        <v>1326.1145019999999</v>
      </c>
      <c r="I1836">
        <v>1340.5291748</v>
      </c>
      <c r="J1836">
        <v>1337.1287841999999</v>
      </c>
      <c r="K1836">
        <v>0</v>
      </c>
      <c r="L1836">
        <v>1650</v>
      </c>
      <c r="M1836">
        <v>1650</v>
      </c>
      <c r="N1836">
        <v>0</v>
      </c>
    </row>
    <row r="1837" spans="1:14" x14ac:dyDescent="0.25">
      <c r="A1837">
        <v>1312.3007</v>
      </c>
      <c r="B1837" s="1">
        <f>DATE(2013,12,3) + TIME(7,13,0)</f>
        <v>41611.300694444442</v>
      </c>
      <c r="C1837">
        <v>80</v>
      </c>
      <c r="D1837">
        <v>77.743522643999995</v>
      </c>
      <c r="E1837">
        <v>40</v>
      </c>
      <c r="F1837">
        <v>39.982875823999997</v>
      </c>
      <c r="G1837">
        <v>1327.9472656</v>
      </c>
      <c r="H1837">
        <v>1326.0611572</v>
      </c>
      <c r="I1837">
        <v>1340.5281981999999</v>
      </c>
      <c r="J1837">
        <v>1337.1285399999999</v>
      </c>
      <c r="K1837">
        <v>0</v>
      </c>
      <c r="L1837">
        <v>1650</v>
      </c>
      <c r="M1837">
        <v>1650</v>
      </c>
      <c r="N1837">
        <v>0</v>
      </c>
    </row>
    <row r="1838" spans="1:14" x14ac:dyDescent="0.25">
      <c r="A1838">
        <v>1313.5348759999999</v>
      </c>
      <c r="B1838" s="1">
        <f>DATE(2013,12,4) + TIME(12,50,13)</f>
        <v>41612.534872685188</v>
      </c>
      <c r="C1838">
        <v>80</v>
      </c>
      <c r="D1838">
        <v>77.679359435999999</v>
      </c>
      <c r="E1838">
        <v>40</v>
      </c>
      <c r="F1838">
        <v>39.982860565000003</v>
      </c>
      <c r="G1838">
        <v>1327.9072266000001</v>
      </c>
      <c r="H1838">
        <v>1326.0058594</v>
      </c>
      <c r="I1838">
        <v>1340.5272216999999</v>
      </c>
      <c r="J1838">
        <v>1337.128418</v>
      </c>
      <c r="K1838">
        <v>0</v>
      </c>
      <c r="L1838">
        <v>1650</v>
      </c>
      <c r="M1838">
        <v>1650</v>
      </c>
      <c r="N1838">
        <v>0</v>
      </c>
    </row>
    <row r="1839" spans="1:14" x14ac:dyDescent="0.25">
      <c r="A1839">
        <v>1314.8191409999999</v>
      </c>
      <c r="B1839" s="1">
        <f>DATE(2013,12,5) + TIME(19,39,33)</f>
        <v>41613.819131944445</v>
      </c>
      <c r="C1839">
        <v>80</v>
      </c>
      <c r="D1839">
        <v>77.613319396999998</v>
      </c>
      <c r="E1839">
        <v>40</v>
      </c>
      <c r="F1839">
        <v>39.982849121000001</v>
      </c>
      <c r="G1839">
        <v>1327.8660889</v>
      </c>
      <c r="H1839">
        <v>1325.9488524999999</v>
      </c>
      <c r="I1839">
        <v>1340.5262451000001</v>
      </c>
      <c r="J1839">
        <v>1337.1282959</v>
      </c>
      <c r="K1839">
        <v>0</v>
      </c>
      <c r="L1839">
        <v>1650</v>
      </c>
      <c r="M1839">
        <v>1650</v>
      </c>
      <c r="N1839">
        <v>0</v>
      </c>
    </row>
    <row r="1840" spans="1:14" x14ac:dyDescent="0.25">
      <c r="A1840">
        <v>1316.1584359999999</v>
      </c>
      <c r="B1840" s="1">
        <f>DATE(2013,12,7) + TIME(3,48,8)</f>
        <v>41615.158425925925</v>
      </c>
      <c r="C1840">
        <v>80</v>
      </c>
      <c r="D1840">
        <v>77.545257567999997</v>
      </c>
      <c r="E1840">
        <v>40</v>
      </c>
      <c r="F1840">
        <v>39.982833862</v>
      </c>
      <c r="G1840">
        <v>1327.8237305</v>
      </c>
      <c r="H1840">
        <v>1325.8903809000001</v>
      </c>
      <c r="I1840">
        <v>1340.5253906</v>
      </c>
      <c r="J1840">
        <v>1337.1281738</v>
      </c>
      <c r="K1840">
        <v>0</v>
      </c>
      <c r="L1840">
        <v>1650</v>
      </c>
      <c r="M1840">
        <v>1650</v>
      </c>
      <c r="N1840">
        <v>0</v>
      </c>
    </row>
    <row r="1841" spans="1:14" x14ac:dyDescent="0.25">
      <c r="A1841">
        <v>1317.5583409999999</v>
      </c>
      <c r="B1841" s="1">
        <f>DATE(2013,12,8) + TIME(13,24,0)</f>
        <v>41616.558333333334</v>
      </c>
      <c r="C1841">
        <v>80</v>
      </c>
      <c r="D1841">
        <v>77.474945067999997</v>
      </c>
      <c r="E1841">
        <v>40</v>
      </c>
      <c r="F1841">
        <v>39.982818604000002</v>
      </c>
      <c r="G1841">
        <v>1327.7800293</v>
      </c>
      <c r="H1841">
        <v>1325.8300781</v>
      </c>
      <c r="I1841">
        <v>1340.5244141000001</v>
      </c>
      <c r="J1841">
        <v>1337.1281738</v>
      </c>
      <c r="K1841">
        <v>0</v>
      </c>
      <c r="L1841">
        <v>1650</v>
      </c>
      <c r="M1841">
        <v>1650</v>
      </c>
      <c r="N1841">
        <v>0</v>
      </c>
    </row>
    <row r="1842" spans="1:14" x14ac:dyDescent="0.25">
      <c r="A1842">
        <v>1319.0251310000001</v>
      </c>
      <c r="B1842" s="1">
        <f>DATE(2013,12,10) + TIME(0,36,11)</f>
        <v>41618.025127314817</v>
      </c>
      <c r="C1842">
        <v>80</v>
      </c>
      <c r="D1842">
        <v>77.402114867999998</v>
      </c>
      <c r="E1842">
        <v>40</v>
      </c>
      <c r="F1842">
        <v>39.982803345000001</v>
      </c>
      <c r="G1842">
        <v>1327.7349853999999</v>
      </c>
      <c r="H1842">
        <v>1325.7679443</v>
      </c>
      <c r="I1842">
        <v>1340.5235596</v>
      </c>
      <c r="J1842">
        <v>1337.1280518000001</v>
      </c>
      <c r="K1842">
        <v>0</v>
      </c>
      <c r="L1842">
        <v>1650</v>
      </c>
      <c r="M1842">
        <v>1650</v>
      </c>
      <c r="N1842">
        <v>0</v>
      </c>
    </row>
    <row r="1843" spans="1:14" x14ac:dyDescent="0.25">
      <c r="A1843">
        <v>1320.565916</v>
      </c>
      <c r="B1843" s="1">
        <f>DATE(2013,12,11) + TIME(13,34,55)</f>
        <v>41619.56591435185</v>
      </c>
      <c r="C1843">
        <v>80</v>
      </c>
      <c r="D1843">
        <v>77.326454162999994</v>
      </c>
      <c r="E1843">
        <v>40</v>
      </c>
      <c r="F1843">
        <v>39.982788085999999</v>
      </c>
      <c r="G1843">
        <v>1327.6882324000001</v>
      </c>
      <c r="H1843">
        <v>1325.7036132999999</v>
      </c>
      <c r="I1843">
        <v>1340.5227050999999</v>
      </c>
      <c r="J1843">
        <v>1337.1280518000001</v>
      </c>
      <c r="K1843">
        <v>0</v>
      </c>
      <c r="L1843">
        <v>1650</v>
      </c>
      <c r="M1843">
        <v>1650</v>
      </c>
      <c r="N1843">
        <v>0</v>
      </c>
    </row>
    <row r="1844" spans="1:14" x14ac:dyDescent="0.25">
      <c r="A1844">
        <v>1322.168187</v>
      </c>
      <c r="B1844" s="1">
        <f>DATE(2013,12,13) + TIME(4,2,11)</f>
        <v>41621.168182870373</v>
      </c>
      <c r="C1844">
        <v>80</v>
      </c>
      <c r="D1844">
        <v>77.248001099000007</v>
      </c>
      <c r="E1844">
        <v>40</v>
      </c>
      <c r="F1844">
        <v>39.982772826999998</v>
      </c>
      <c r="G1844">
        <v>1327.6398925999999</v>
      </c>
      <c r="H1844">
        <v>1325.6370850000001</v>
      </c>
      <c r="I1844">
        <v>1340.5218506000001</v>
      </c>
      <c r="J1844">
        <v>1337.1280518000001</v>
      </c>
      <c r="K1844">
        <v>0</v>
      </c>
      <c r="L1844">
        <v>1650</v>
      </c>
      <c r="M1844">
        <v>1650</v>
      </c>
      <c r="N1844">
        <v>0</v>
      </c>
    </row>
    <row r="1845" spans="1:14" x14ac:dyDescent="0.25">
      <c r="A1845">
        <v>1323.8053829999999</v>
      </c>
      <c r="B1845" s="1">
        <f>DATE(2013,12,14) + TIME(19,19,45)</f>
        <v>41622.805381944447</v>
      </c>
      <c r="C1845">
        <v>80</v>
      </c>
      <c r="D1845">
        <v>77.167373656999999</v>
      </c>
      <c r="E1845">
        <v>40</v>
      </c>
      <c r="F1845">
        <v>39.982757567999997</v>
      </c>
      <c r="G1845">
        <v>1327.5902100000001</v>
      </c>
      <c r="H1845">
        <v>1325.5688477000001</v>
      </c>
      <c r="I1845">
        <v>1340.5209961</v>
      </c>
      <c r="J1845">
        <v>1337.1281738</v>
      </c>
      <c r="K1845">
        <v>0</v>
      </c>
      <c r="L1845">
        <v>1650</v>
      </c>
      <c r="M1845">
        <v>1650</v>
      </c>
      <c r="N1845">
        <v>0</v>
      </c>
    </row>
    <row r="1846" spans="1:14" x14ac:dyDescent="0.25">
      <c r="A1846">
        <v>1325.48233</v>
      </c>
      <c r="B1846" s="1">
        <f>DATE(2013,12,16) + TIME(11,34,33)</f>
        <v>41624.48232638889</v>
      </c>
      <c r="C1846">
        <v>80</v>
      </c>
      <c r="D1846">
        <v>77.084968567000004</v>
      </c>
      <c r="E1846">
        <v>40</v>
      </c>
      <c r="F1846">
        <v>39.982742309999999</v>
      </c>
      <c r="G1846">
        <v>1327.5397949000001</v>
      </c>
      <c r="H1846">
        <v>1325.4995117000001</v>
      </c>
      <c r="I1846">
        <v>1340.5201416</v>
      </c>
      <c r="J1846">
        <v>1337.1281738</v>
      </c>
      <c r="K1846">
        <v>0</v>
      </c>
      <c r="L1846">
        <v>1650</v>
      </c>
      <c r="M1846">
        <v>1650</v>
      </c>
      <c r="N1846">
        <v>0</v>
      </c>
    </row>
    <row r="1847" spans="1:14" x14ac:dyDescent="0.25">
      <c r="A1847">
        <v>1327.2034610000001</v>
      </c>
      <c r="B1847" s="1">
        <f>DATE(2013,12,18) + TIME(4,52,59)</f>
        <v>41626.203460648147</v>
      </c>
      <c r="C1847">
        <v>80</v>
      </c>
      <c r="D1847">
        <v>77.000770568999997</v>
      </c>
      <c r="E1847">
        <v>40</v>
      </c>
      <c r="F1847">
        <v>39.982727050999998</v>
      </c>
      <c r="G1847">
        <v>1327.4886475000001</v>
      </c>
      <c r="H1847">
        <v>1325.4293213000001</v>
      </c>
      <c r="I1847">
        <v>1340.5194091999999</v>
      </c>
      <c r="J1847">
        <v>1337.1282959</v>
      </c>
      <c r="K1847">
        <v>0</v>
      </c>
      <c r="L1847">
        <v>1650</v>
      </c>
      <c r="M1847">
        <v>1650</v>
      </c>
      <c r="N1847">
        <v>0</v>
      </c>
    </row>
    <row r="1848" spans="1:14" x14ac:dyDescent="0.25">
      <c r="A1848">
        <v>1328.973741</v>
      </c>
      <c r="B1848" s="1">
        <f>DATE(2013,12,19) + TIME(23,22,11)</f>
        <v>41627.973738425928</v>
      </c>
      <c r="C1848">
        <v>80</v>
      </c>
      <c r="D1848">
        <v>76.914566039999997</v>
      </c>
      <c r="E1848">
        <v>40</v>
      </c>
      <c r="F1848">
        <v>39.982711792000003</v>
      </c>
      <c r="G1848">
        <v>1327.4368896000001</v>
      </c>
      <c r="H1848">
        <v>1325.3581543</v>
      </c>
      <c r="I1848">
        <v>1340.5186768000001</v>
      </c>
      <c r="J1848">
        <v>1337.1285399999999</v>
      </c>
      <c r="K1848">
        <v>0</v>
      </c>
      <c r="L1848">
        <v>1650</v>
      </c>
      <c r="M1848">
        <v>1650</v>
      </c>
      <c r="N1848">
        <v>0</v>
      </c>
    </row>
    <row r="1849" spans="1:14" x14ac:dyDescent="0.25">
      <c r="A1849">
        <v>1330.784756</v>
      </c>
      <c r="B1849" s="1">
        <f>DATE(2013,12,21) + TIME(18,50,2)</f>
        <v>41629.784745370373</v>
      </c>
      <c r="C1849">
        <v>80</v>
      </c>
      <c r="D1849">
        <v>76.826301575000002</v>
      </c>
      <c r="E1849">
        <v>40</v>
      </c>
      <c r="F1849">
        <v>39.982696533000002</v>
      </c>
      <c r="G1849">
        <v>1327.3843993999999</v>
      </c>
      <c r="H1849">
        <v>1325.2861327999999</v>
      </c>
      <c r="I1849">
        <v>1340.5179443</v>
      </c>
      <c r="J1849">
        <v>1337.1286620999999</v>
      </c>
      <c r="K1849">
        <v>0</v>
      </c>
      <c r="L1849">
        <v>1650</v>
      </c>
      <c r="M1849">
        <v>1650</v>
      </c>
      <c r="N1849">
        <v>0</v>
      </c>
    </row>
    <row r="1850" spans="1:14" x14ac:dyDescent="0.25">
      <c r="A1850">
        <v>1332.648731</v>
      </c>
      <c r="B1850" s="1">
        <f>DATE(2013,12,23) + TIME(15,34,10)</f>
        <v>41631.648726851854</v>
      </c>
      <c r="C1850">
        <v>80</v>
      </c>
      <c r="D1850">
        <v>76.735771178999997</v>
      </c>
      <c r="E1850">
        <v>40</v>
      </c>
      <c r="F1850">
        <v>39.982681274000001</v>
      </c>
      <c r="G1850">
        <v>1327.3312988</v>
      </c>
      <c r="H1850">
        <v>1325.2133789</v>
      </c>
      <c r="I1850">
        <v>1340.5172118999999</v>
      </c>
      <c r="J1850">
        <v>1337.1289062000001</v>
      </c>
      <c r="K1850">
        <v>0</v>
      </c>
      <c r="L1850">
        <v>1650</v>
      </c>
      <c r="M1850">
        <v>1650</v>
      </c>
      <c r="N1850">
        <v>0</v>
      </c>
    </row>
    <row r="1851" spans="1:14" x14ac:dyDescent="0.25">
      <c r="A1851">
        <v>1334.5799440000001</v>
      </c>
      <c r="B1851" s="1">
        <f>DATE(2013,12,25) + TIME(13,55,7)</f>
        <v>41633.579942129632</v>
      </c>
      <c r="C1851">
        <v>80</v>
      </c>
      <c r="D1851">
        <v>76.642417907999999</v>
      </c>
      <c r="E1851">
        <v>40</v>
      </c>
      <c r="F1851">
        <v>39.982666016000003</v>
      </c>
      <c r="G1851">
        <v>1327.2774658000001</v>
      </c>
      <c r="H1851">
        <v>1325.1396483999999</v>
      </c>
      <c r="I1851">
        <v>1340.5164795000001</v>
      </c>
      <c r="J1851">
        <v>1337.1291504000001</v>
      </c>
      <c r="K1851">
        <v>0</v>
      </c>
      <c r="L1851">
        <v>1650</v>
      </c>
      <c r="M1851">
        <v>1650</v>
      </c>
      <c r="N1851">
        <v>0</v>
      </c>
    </row>
    <row r="1852" spans="1:14" x14ac:dyDescent="0.25">
      <c r="A1852">
        <v>1336.5795599999999</v>
      </c>
      <c r="B1852" s="1">
        <f>DATE(2013,12,27) + TIME(13,54,34)</f>
        <v>41635.579560185186</v>
      </c>
      <c r="C1852">
        <v>80</v>
      </c>
      <c r="D1852">
        <v>76.545707703000005</v>
      </c>
      <c r="E1852">
        <v>40</v>
      </c>
      <c r="F1852">
        <v>39.982650757000002</v>
      </c>
      <c r="G1852">
        <v>1327.2225341999999</v>
      </c>
      <c r="H1852">
        <v>1325.0645752</v>
      </c>
      <c r="I1852">
        <v>1340.5157471</v>
      </c>
      <c r="J1852">
        <v>1337.1293945</v>
      </c>
      <c r="K1852">
        <v>0</v>
      </c>
      <c r="L1852">
        <v>1650</v>
      </c>
      <c r="M1852">
        <v>1650</v>
      </c>
      <c r="N1852">
        <v>0</v>
      </c>
    </row>
    <row r="1853" spans="1:14" x14ac:dyDescent="0.25">
      <c r="A1853">
        <v>1338.598663</v>
      </c>
      <c r="B1853" s="1">
        <f>DATE(2013,12,29) + TIME(14,22,4)</f>
        <v>41637.598657407405</v>
      </c>
      <c r="C1853">
        <v>80</v>
      </c>
      <c r="D1853">
        <v>76.446105957</v>
      </c>
      <c r="E1853">
        <v>40</v>
      </c>
      <c r="F1853">
        <v>39.982635498</v>
      </c>
      <c r="G1853">
        <v>1327.166626</v>
      </c>
      <c r="H1853">
        <v>1324.9882812000001</v>
      </c>
      <c r="I1853">
        <v>1340.5151367000001</v>
      </c>
      <c r="J1853">
        <v>1337.1296387</v>
      </c>
      <c r="K1853">
        <v>0</v>
      </c>
      <c r="L1853">
        <v>1650</v>
      </c>
      <c r="M1853">
        <v>1650</v>
      </c>
      <c r="N1853">
        <v>0</v>
      </c>
    </row>
    <row r="1854" spans="1:14" x14ac:dyDescent="0.25">
      <c r="A1854">
        <v>1340.6497260000001</v>
      </c>
      <c r="B1854" s="1">
        <f>DATE(2013,12,31) + TIME(15,35,36)</f>
        <v>41639.649722222224</v>
      </c>
      <c r="C1854">
        <v>80</v>
      </c>
      <c r="D1854">
        <v>76.344299316000004</v>
      </c>
      <c r="E1854">
        <v>40</v>
      </c>
      <c r="F1854">
        <v>39.982620238999999</v>
      </c>
      <c r="G1854">
        <v>1327.1107178</v>
      </c>
      <c r="H1854">
        <v>1324.9117432</v>
      </c>
      <c r="I1854">
        <v>1340.5144043</v>
      </c>
      <c r="J1854">
        <v>1337.1300048999999</v>
      </c>
      <c r="K1854">
        <v>0</v>
      </c>
      <c r="L1854">
        <v>1650</v>
      </c>
      <c r="M1854">
        <v>1650</v>
      </c>
      <c r="N1854">
        <v>0</v>
      </c>
    </row>
    <row r="1855" spans="1:14" x14ac:dyDescent="0.25">
      <c r="A1855">
        <v>1341</v>
      </c>
      <c r="B1855" s="1">
        <f>DATE(2014,1,1) + TIME(0,0,0)</f>
        <v>41640</v>
      </c>
      <c r="C1855">
        <v>80</v>
      </c>
      <c r="D1855">
        <v>76.304000853999995</v>
      </c>
      <c r="E1855">
        <v>40</v>
      </c>
      <c r="F1855">
        <v>39.982616425000003</v>
      </c>
      <c r="G1855">
        <v>1327.0595702999999</v>
      </c>
      <c r="H1855">
        <v>1324.8453368999999</v>
      </c>
      <c r="I1855">
        <v>1340.5135498</v>
      </c>
      <c r="J1855">
        <v>1337.1301269999999</v>
      </c>
      <c r="K1855">
        <v>0</v>
      </c>
      <c r="L1855">
        <v>1650</v>
      </c>
      <c r="M1855">
        <v>1650</v>
      </c>
      <c r="N1855">
        <v>0</v>
      </c>
    </row>
    <row r="1856" spans="1:14" x14ac:dyDescent="0.25">
      <c r="A1856">
        <v>1343.096174</v>
      </c>
      <c r="B1856" s="1">
        <f>DATE(2014,1,3) + TIME(2,18,29)</f>
        <v>41642.096168981479</v>
      </c>
      <c r="C1856">
        <v>80</v>
      </c>
      <c r="D1856">
        <v>76.214950561999999</v>
      </c>
      <c r="E1856">
        <v>40</v>
      </c>
      <c r="F1856">
        <v>39.982601166000002</v>
      </c>
      <c r="G1856">
        <v>1327.0401611</v>
      </c>
      <c r="H1856">
        <v>1324.8135986</v>
      </c>
      <c r="I1856">
        <v>1340.5136719</v>
      </c>
      <c r="J1856">
        <v>1337.1303711</v>
      </c>
      <c r="K1856">
        <v>0</v>
      </c>
      <c r="L1856">
        <v>1650</v>
      </c>
      <c r="M1856">
        <v>1650</v>
      </c>
      <c r="N1856">
        <v>0</v>
      </c>
    </row>
    <row r="1857" spans="1:14" x14ac:dyDescent="0.25">
      <c r="A1857">
        <v>1345.2636210000001</v>
      </c>
      <c r="B1857" s="1">
        <f>DATE(2014,1,5) + TIME(6,19,36)</f>
        <v>41644.263611111113</v>
      </c>
      <c r="C1857">
        <v>80</v>
      </c>
      <c r="D1857">
        <v>76.112113953000005</v>
      </c>
      <c r="E1857">
        <v>40</v>
      </c>
      <c r="F1857">
        <v>39.982585907000001</v>
      </c>
      <c r="G1857">
        <v>1326.9870605000001</v>
      </c>
      <c r="H1857">
        <v>1324.7423096</v>
      </c>
      <c r="I1857">
        <v>1340.5129394999999</v>
      </c>
      <c r="J1857">
        <v>1337.1307373</v>
      </c>
      <c r="K1857">
        <v>0</v>
      </c>
      <c r="L1857">
        <v>1650</v>
      </c>
      <c r="M1857">
        <v>1650</v>
      </c>
      <c r="N1857">
        <v>0</v>
      </c>
    </row>
    <row r="1858" spans="1:14" x14ac:dyDescent="0.25">
      <c r="A1858">
        <v>1347.4717000000001</v>
      </c>
      <c r="B1858" s="1">
        <f>DATE(2014,1,7) + TIME(11,19,14)</f>
        <v>41646.471689814818</v>
      </c>
      <c r="C1858">
        <v>80</v>
      </c>
      <c r="D1858">
        <v>76.002059936999999</v>
      </c>
      <c r="E1858">
        <v>40</v>
      </c>
      <c r="F1858">
        <v>39.982570647999999</v>
      </c>
      <c r="G1858">
        <v>1326.9310303</v>
      </c>
      <c r="H1858">
        <v>1324.6663818</v>
      </c>
      <c r="I1858">
        <v>1340.5123291</v>
      </c>
      <c r="J1858">
        <v>1337.1311035000001</v>
      </c>
      <c r="K1858">
        <v>0</v>
      </c>
      <c r="L1858">
        <v>1650</v>
      </c>
      <c r="M1858">
        <v>1650</v>
      </c>
      <c r="N1858">
        <v>0</v>
      </c>
    </row>
    <row r="1859" spans="1:14" x14ac:dyDescent="0.25">
      <c r="A1859">
        <v>1349.7344909999999</v>
      </c>
      <c r="B1859" s="1">
        <f>DATE(2014,1,9) + TIME(17,37,39)</f>
        <v>41648.734479166669</v>
      </c>
      <c r="C1859">
        <v>80</v>
      </c>
      <c r="D1859">
        <v>75.887275696000003</v>
      </c>
      <c r="E1859">
        <v>40</v>
      </c>
      <c r="F1859">
        <v>39.982551575000002</v>
      </c>
      <c r="G1859">
        <v>1326.8739014</v>
      </c>
      <c r="H1859">
        <v>1324.5886230000001</v>
      </c>
      <c r="I1859">
        <v>1340.5115966999999</v>
      </c>
      <c r="J1859">
        <v>1337.1315918</v>
      </c>
      <c r="K1859">
        <v>0</v>
      </c>
      <c r="L1859">
        <v>1650</v>
      </c>
      <c r="M1859">
        <v>1650</v>
      </c>
      <c r="N1859">
        <v>0</v>
      </c>
    </row>
    <row r="1860" spans="1:14" x14ac:dyDescent="0.25">
      <c r="A1860">
        <v>1352.0689709999999</v>
      </c>
      <c r="B1860" s="1">
        <f>DATE(2014,1,12) + TIME(1,39,19)</f>
        <v>41651.068969907406</v>
      </c>
      <c r="C1860">
        <v>80</v>
      </c>
      <c r="D1860">
        <v>75.767860412999994</v>
      </c>
      <c r="E1860">
        <v>40</v>
      </c>
      <c r="F1860">
        <v>39.982536316000001</v>
      </c>
      <c r="G1860">
        <v>1326.8160399999999</v>
      </c>
      <c r="H1860">
        <v>1324.5100098</v>
      </c>
      <c r="I1860">
        <v>1340.5108643000001</v>
      </c>
      <c r="J1860">
        <v>1337.1319579999999</v>
      </c>
      <c r="K1860">
        <v>0</v>
      </c>
      <c r="L1860">
        <v>1650</v>
      </c>
      <c r="M1860">
        <v>1650</v>
      </c>
      <c r="N1860">
        <v>0</v>
      </c>
    </row>
    <row r="1861" spans="1:14" x14ac:dyDescent="0.25">
      <c r="A1861">
        <v>1354.4821460000001</v>
      </c>
      <c r="B1861" s="1">
        <f>DATE(2014,1,14) + TIME(11,34,17)</f>
        <v>41653.482141203705</v>
      </c>
      <c r="C1861">
        <v>80</v>
      </c>
      <c r="D1861">
        <v>75.643241881999998</v>
      </c>
      <c r="E1861">
        <v>40</v>
      </c>
      <c r="F1861">
        <v>39.982521057</v>
      </c>
      <c r="G1861">
        <v>1326.7574463000001</v>
      </c>
      <c r="H1861">
        <v>1324.4301757999999</v>
      </c>
      <c r="I1861">
        <v>1340.5102539</v>
      </c>
      <c r="J1861">
        <v>1337.1324463000001</v>
      </c>
      <c r="K1861">
        <v>0</v>
      </c>
      <c r="L1861">
        <v>1650</v>
      </c>
      <c r="M1861">
        <v>1650</v>
      </c>
      <c r="N1861">
        <v>0</v>
      </c>
    </row>
    <row r="1862" spans="1:14" x14ac:dyDescent="0.25">
      <c r="A1862">
        <v>1356.912562</v>
      </c>
      <c r="B1862" s="1">
        <f>DATE(2014,1,16) + TIME(21,54,5)</f>
        <v>41655.912557870368</v>
      </c>
      <c r="C1862">
        <v>80</v>
      </c>
      <c r="D1862">
        <v>75.513816833000007</v>
      </c>
      <c r="E1862">
        <v>40</v>
      </c>
      <c r="F1862">
        <v>39.982501984000002</v>
      </c>
      <c r="G1862">
        <v>1326.697876</v>
      </c>
      <c r="H1862">
        <v>1324.3493652</v>
      </c>
      <c r="I1862">
        <v>1340.5095214999999</v>
      </c>
      <c r="J1862">
        <v>1337.1329346</v>
      </c>
      <c r="K1862">
        <v>0</v>
      </c>
      <c r="L1862">
        <v>1650</v>
      </c>
      <c r="M1862">
        <v>1650</v>
      </c>
      <c r="N1862">
        <v>0</v>
      </c>
    </row>
    <row r="1863" spans="1:14" x14ac:dyDescent="0.25">
      <c r="A1863">
        <v>1359.374319</v>
      </c>
      <c r="B1863" s="1">
        <f>DATE(2014,1,19) + TIME(8,59,1)</f>
        <v>41658.37431712963</v>
      </c>
      <c r="C1863">
        <v>80</v>
      </c>
      <c r="D1863">
        <v>75.380844116000006</v>
      </c>
      <c r="E1863">
        <v>40</v>
      </c>
      <c r="F1863">
        <v>39.982486725000001</v>
      </c>
      <c r="G1863">
        <v>1326.6384277</v>
      </c>
      <c r="H1863">
        <v>1324.2685547000001</v>
      </c>
      <c r="I1863">
        <v>1340.5087891000001</v>
      </c>
      <c r="J1863">
        <v>1337.1333007999999</v>
      </c>
      <c r="K1863">
        <v>0</v>
      </c>
      <c r="L1863">
        <v>1650</v>
      </c>
      <c r="M1863">
        <v>1650</v>
      </c>
      <c r="N1863">
        <v>0</v>
      </c>
    </row>
    <row r="1864" spans="1:14" x14ac:dyDescent="0.25">
      <c r="A1864">
        <v>1361.8837080000001</v>
      </c>
      <c r="B1864" s="1">
        <f>DATE(2014,1,21) + TIME(21,12,32)</f>
        <v>41660.883703703701</v>
      </c>
      <c r="C1864">
        <v>80</v>
      </c>
      <c r="D1864">
        <v>75.244033813000001</v>
      </c>
      <c r="E1864">
        <v>40</v>
      </c>
      <c r="F1864">
        <v>39.982467651</v>
      </c>
      <c r="G1864">
        <v>1326.5791016000001</v>
      </c>
      <c r="H1864">
        <v>1324.1879882999999</v>
      </c>
      <c r="I1864">
        <v>1340.5079346</v>
      </c>
      <c r="J1864">
        <v>1337.1337891000001</v>
      </c>
      <c r="K1864">
        <v>0</v>
      </c>
      <c r="L1864">
        <v>1650</v>
      </c>
      <c r="M1864">
        <v>1650</v>
      </c>
      <c r="N1864">
        <v>0</v>
      </c>
    </row>
    <row r="1865" spans="1:14" x14ac:dyDescent="0.25">
      <c r="A1865">
        <v>1364.458171</v>
      </c>
      <c r="B1865" s="1">
        <f>DATE(2014,1,24) + TIME(10,59,45)</f>
        <v>41663.45815972222</v>
      </c>
      <c r="C1865">
        <v>80</v>
      </c>
      <c r="D1865">
        <v>75.102561950999998</v>
      </c>
      <c r="E1865">
        <v>40</v>
      </c>
      <c r="F1865">
        <v>39.982452393000003</v>
      </c>
      <c r="G1865">
        <v>1326.5198975000001</v>
      </c>
      <c r="H1865">
        <v>1324.1075439000001</v>
      </c>
      <c r="I1865">
        <v>1340.5072021000001</v>
      </c>
      <c r="J1865">
        <v>1337.1342772999999</v>
      </c>
      <c r="K1865">
        <v>0</v>
      </c>
      <c r="L1865">
        <v>1650</v>
      </c>
      <c r="M1865">
        <v>1650</v>
      </c>
      <c r="N1865">
        <v>0</v>
      </c>
    </row>
    <row r="1866" spans="1:14" x14ac:dyDescent="0.25">
      <c r="A1866">
        <v>1367.09175</v>
      </c>
      <c r="B1866" s="1">
        <f>DATE(2014,1,27) + TIME(2,12,7)</f>
        <v>41666.091747685183</v>
      </c>
      <c r="C1866">
        <v>80</v>
      </c>
      <c r="D1866">
        <v>74.955589294000006</v>
      </c>
      <c r="E1866">
        <v>40</v>
      </c>
      <c r="F1866">
        <v>39.982437134000001</v>
      </c>
      <c r="G1866">
        <v>1326.4602050999999</v>
      </c>
      <c r="H1866">
        <v>1324.0266113</v>
      </c>
      <c r="I1866">
        <v>1340.5064697</v>
      </c>
      <c r="J1866">
        <v>1337.1347656</v>
      </c>
      <c r="K1866">
        <v>0</v>
      </c>
      <c r="L1866">
        <v>1650</v>
      </c>
      <c r="M1866">
        <v>1650</v>
      </c>
      <c r="N1866">
        <v>0</v>
      </c>
    </row>
    <row r="1867" spans="1:14" x14ac:dyDescent="0.25">
      <c r="A1867">
        <v>1369.7917660000001</v>
      </c>
      <c r="B1867" s="1">
        <f>DATE(2014,1,29) + TIME(19,0,8)</f>
        <v>41668.791759259257</v>
      </c>
      <c r="C1867">
        <v>80</v>
      </c>
      <c r="D1867">
        <v>74.802764893000003</v>
      </c>
      <c r="E1867">
        <v>40</v>
      </c>
      <c r="F1867">
        <v>39.982418060000001</v>
      </c>
      <c r="G1867">
        <v>1326.4001464999999</v>
      </c>
      <c r="H1867">
        <v>1323.9453125</v>
      </c>
      <c r="I1867">
        <v>1340.5056152</v>
      </c>
      <c r="J1867">
        <v>1337.1352539</v>
      </c>
      <c r="K1867">
        <v>0</v>
      </c>
      <c r="L1867">
        <v>1650</v>
      </c>
      <c r="M1867">
        <v>1650</v>
      </c>
      <c r="N1867">
        <v>0</v>
      </c>
    </row>
    <row r="1868" spans="1:14" x14ac:dyDescent="0.25">
      <c r="A1868">
        <v>1372</v>
      </c>
      <c r="B1868" s="1">
        <f>DATE(2014,2,1) + TIME(0,0,0)</f>
        <v>41671</v>
      </c>
      <c r="C1868">
        <v>80</v>
      </c>
      <c r="D1868">
        <v>74.653022766000007</v>
      </c>
      <c r="E1868">
        <v>40</v>
      </c>
      <c r="F1868">
        <v>39.982402802000003</v>
      </c>
      <c r="G1868">
        <v>1326.340332</v>
      </c>
      <c r="H1868">
        <v>1323.8647461</v>
      </c>
      <c r="I1868">
        <v>1340.5046387</v>
      </c>
      <c r="J1868">
        <v>1337.1356201000001</v>
      </c>
      <c r="K1868">
        <v>0</v>
      </c>
      <c r="L1868">
        <v>1650</v>
      </c>
      <c r="M1868">
        <v>1650</v>
      </c>
      <c r="N1868">
        <v>0</v>
      </c>
    </row>
    <row r="1869" spans="1:14" x14ac:dyDescent="0.25">
      <c r="A1869">
        <v>1374.7878720000001</v>
      </c>
      <c r="B1869" s="1">
        <f>DATE(2014,2,3) + TIME(18,54,32)</f>
        <v>41673.787870370368</v>
      </c>
      <c r="C1869">
        <v>80</v>
      </c>
      <c r="D1869">
        <v>74.506568908999995</v>
      </c>
      <c r="E1869">
        <v>40</v>
      </c>
      <c r="F1869">
        <v>39.982387543000002</v>
      </c>
      <c r="G1869">
        <v>1326.2880858999999</v>
      </c>
      <c r="H1869">
        <v>1323.7921143000001</v>
      </c>
      <c r="I1869">
        <v>1340.5040283000001</v>
      </c>
      <c r="J1869">
        <v>1337.1361084</v>
      </c>
      <c r="K1869">
        <v>0</v>
      </c>
      <c r="L1869">
        <v>1650</v>
      </c>
      <c r="M1869">
        <v>1650</v>
      </c>
      <c r="N1869">
        <v>0</v>
      </c>
    </row>
    <row r="1870" spans="1:14" x14ac:dyDescent="0.25">
      <c r="A1870">
        <v>1377.632824</v>
      </c>
      <c r="B1870" s="1">
        <f>DATE(2014,2,6) + TIME(15,11,16)</f>
        <v>41676.632824074077</v>
      </c>
      <c r="C1870">
        <v>80</v>
      </c>
      <c r="D1870">
        <v>74.341766356999997</v>
      </c>
      <c r="E1870">
        <v>40</v>
      </c>
      <c r="F1870">
        <v>39.982372284</v>
      </c>
      <c r="G1870">
        <v>1326.2298584</v>
      </c>
      <c r="H1870">
        <v>1323.7144774999999</v>
      </c>
      <c r="I1870">
        <v>1340.5030518000001</v>
      </c>
      <c r="J1870">
        <v>1337.1364745999999</v>
      </c>
      <c r="K1870">
        <v>0</v>
      </c>
      <c r="L1870">
        <v>1650</v>
      </c>
      <c r="M1870">
        <v>1650</v>
      </c>
      <c r="N1870">
        <v>0</v>
      </c>
    </row>
    <row r="1871" spans="1:14" x14ac:dyDescent="0.25">
      <c r="A1871">
        <v>1380.519364</v>
      </c>
      <c r="B1871" s="1">
        <f>DATE(2014,2,9) + TIME(12,27,53)</f>
        <v>41679.519363425927</v>
      </c>
      <c r="C1871">
        <v>80</v>
      </c>
      <c r="D1871">
        <v>74.167961121000005</v>
      </c>
      <c r="E1871">
        <v>40</v>
      </c>
      <c r="F1871">
        <v>39.982353209999999</v>
      </c>
      <c r="G1871">
        <v>1326.1699219</v>
      </c>
      <c r="H1871">
        <v>1323.6336670000001</v>
      </c>
      <c r="I1871">
        <v>1340.5020752</v>
      </c>
      <c r="J1871">
        <v>1337.1369629000001</v>
      </c>
      <c r="K1871">
        <v>0</v>
      </c>
      <c r="L1871">
        <v>1650</v>
      </c>
      <c r="M1871">
        <v>1650</v>
      </c>
      <c r="N1871">
        <v>0</v>
      </c>
    </row>
    <row r="1872" spans="1:14" x14ac:dyDescent="0.25">
      <c r="A1872">
        <v>1383.467701</v>
      </c>
      <c r="B1872" s="1">
        <f>DATE(2014,2,12) + TIME(11,13,29)</f>
        <v>41682.46769675926</v>
      </c>
      <c r="C1872">
        <v>80</v>
      </c>
      <c r="D1872">
        <v>73.98765564</v>
      </c>
      <c r="E1872">
        <v>40</v>
      </c>
      <c r="F1872">
        <v>39.982337952000002</v>
      </c>
      <c r="G1872">
        <v>1326.1096190999999</v>
      </c>
      <c r="H1872">
        <v>1323.5522461</v>
      </c>
      <c r="I1872">
        <v>1340.5010986</v>
      </c>
      <c r="J1872">
        <v>1337.1373291</v>
      </c>
      <c r="K1872">
        <v>0</v>
      </c>
      <c r="L1872">
        <v>1650</v>
      </c>
      <c r="M1872">
        <v>1650</v>
      </c>
      <c r="N1872">
        <v>0</v>
      </c>
    </row>
    <row r="1873" spans="1:14" x14ac:dyDescent="0.25">
      <c r="A1873">
        <v>1386.4998639999999</v>
      </c>
      <c r="B1873" s="1">
        <f>DATE(2014,2,15) + TIME(11,59,48)</f>
        <v>41685.499861111108</v>
      </c>
      <c r="C1873">
        <v>80</v>
      </c>
      <c r="D1873">
        <v>73.800354003999999</v>
      </c>
      <c r="E1873">
        <v>40</v>
      </c>
      <c r="F1873">
        <v>39.982318878000001</v>
      </c>
      <c r="G1873">
        <v>1326.0491943</v>
      </c>
      <c r="H1873">
        <v>1323.4705810999999</v>
      </c>
      <c r="I1873">
        <v>1340.5</v>
      </c>
      <c r="J1873">
        <v>1337.1378173999999</v>
      </c>
      <c r="K1873">
        <v>0</v>
      </c>
      <c r="L1873">
        <v>1650</v>
      </c>
      <c r="M1873">
        <v>1650</v>
      </c>
      <c r="N1873">
        <v>0</v>
      </c>
    </row>
    <row r="1874" spans="1:14" x14ac:dyDescent="0.25">
      <c r="A1874">
        <v>1389.6045819999999</v>
      </c>
      <c r="B1874" s="1">
        <f>DATE(2014,2,18) + TIME(14,30,35)</f>
        <v>41688.604571759257</v>
      </c>
      <c r="C1874">
        <v>80</v>
      </c>
      <c r="D1874">
        <v>73.605186462000006</v>
      </c>
      <c r="E1874">
        <v>40</v>
      </c>
      <c r="F1874">
        <v>39.982303619</v>
      </c>
      <c r="G1874">
        <v>1325.9884033000001</v>
      </c>
      <c r="H1874">
        <v>1323.3884277</v>
      </c>
      <c r="I1874">
        <v>1340.4989014</v>
      </c>
      <c r="J1874">
        <v>1337.1381836</v>
      </c>
      <c r="K1874">
        <v>0</v>
      </c>
      <c r="L1874">
        <v>1650</v>
      </c>
      <c r="M1874">
        <v>1650</v>
      </c>
      <c r="N1874">
        <v>0</v>
      </c>
    </row>
    <row r="1875" spans="1:14" x14ac:dyDescent="0.25">
      <c r="A1875">
        <v>1392.8050860000001</v>
      </c>
      <c r="B1875" s="1">
        <f>DATE(2014,2,21) + TIME(19,19,19)</f>
        <v>41691.805081018516</v>
      </c>
      <c r="C1875">
        <v>80</v>
      </c>
      <c r="D1875">
        <v>73.401901245000005</v>
      </c>
      <c r="E1875">
        <v>40</v>
      </c>
      <c r="F1875">
        <v>39.982284546000002</v>
      </c>
      <c r="G1875">
        <v>1325.9272461</v>
      </c>
      <c r="H1875">
        <v>1323.3059082</v>
      </c>
      <c r="I1875">
        <v>1340.4976807</v>
      </c>
      <c r="J1875">
        <v>1337.1385498</v>
      </c>
      <c r="K1875">
        <v>0</v>
      </c>
      <c r="L1875">
        <v>1650</v>
      </c>
      <c r="M1875">
        <v>1650</v>
      </c>
      <c r="N1875">
        <v>0</v>
      </c>
    </row>
    <row r="1876" spans="1:14" x14ac:dyDescent="0.25">
      <c r="A1876">
        <v>1396.0302650000001</v>
      </c>
      <c r="B1876" s="1">
        <f>DATE(2014,2,25) + TIME(0,43,34)</f>
        <v>41695.03025462963</v>
      </c>
      <c r="C1876">
        <v>80</v>
      </c>
      <c r="D1876">
        <v>73.190391540999997</v>
      </c>
      <c r="E1876">
        <v>40</v>
      </c>
      <c r="F1876">
        <v>39.982269287000001</v>
      </c>
      <c r="G1876">
        <v>1325.8654785000001</v>
      </c>
      <c r="H1876">
        <v>1323.2227783000001</v>
      </c>
      <c r="I1876">
        <v>1340.4964600000001</v>
      </c>
      <c r="J1876">
        <v>1337.1389160000001</v>
      </c>
      <c r="K1876">
        <v>0</v>
      </c>
      <c r="L1876">
        <v>1650</v>
      </c>
      <c r="M1876">
        <v>1650</v>
      </c>
      <c r="N1876">
        <v>0</v>
      </c>
    </row>
    <row r="1877" spans="1:14" x14ac:dyDescent="0.25">
      <c r="A1877">
        <v>1399.2901300000001</v>
      </c>
      <c r="B1877" s="1">
        <f>DATE(2014,2,28) + TIME(6,57,47)</f>
        <v>41698.290127314816</v>
      </c>
      <c r="C1877">
        <v>80</v>
      </c>
      <c r="D1877">
        <v>72.973144531000003</v>
      </c>
      <c r="E1877">
        <v>40</v>
      </c>
      <c r="F1877">
        <v>39.982250213999997</v>
      </c>
      <c r="G1877">
        <v>1325.8041992000001</v>
      </c>
      <c r="H1877">
        <v>1323.1400146000001</v>
      </c>
      <c r="I1877">
        <v>1340.4952393000001</v>
      </c>
      <c r="J1877">
        <v>1337.1391602000001</v>
      </c>
      <c r="K1877">
        <v>0</v>
      </c>
      <c r="L1877">
        <v>1650</v>
      </c>
      <c r="M1877">
        <v>1650</v>
      </c>
      <c r="N1877">
        <v>0</v>
      </c>
    </row>
    <row r="1878" spans="1:14" x14ac:dyDescent="0.25">
      <c r="A1878">
        <v>1400</v>
      </c>
      <c r="B1878" s="1">
        <f>DATE(2014,3,1) + TIME(0,0,0)</f>
        <v>41699</v>
      </c>
      <c r="C1878">
        <v>80</v>
      </c>
      <c r="D1878">
        <v>72.845352172999995</v>
      </c>
      <c r="E1878">
        <v>40</v>
      </c>
      <c r="F1878">
        <v>39.982246398999997</v>
      </c>
      <c r="G1878">
        <v>1325.7459716999999</v>
      </c>
      <c r="H1878">
        <v>1323.065918</v>
      </c>
      <c r="I1878">
        <v>1340.4937743999999</v>
      </c>
      <c r="J1878">
        <v>1337.1392822</v>
      </c>
      <c r="K1878">
        <v>0</v>
      </c>
      <c r="L1878">
        <v>1650</v>
      </c>
      <c r="M1878">
        <v>1650</v>
      </c>
      <c r="N1878">
        <v>0</v>
      </c>
    </row>
    <row r="1879" spans="1:14" x14ac:dyDescent="0.25">
      <c r="A1879">
        <v>1403.318045</v>
      </c>
      <c r="B1879" s="1">
        <f>DATE(2014,3,4) + TIME(7,37,59)</f>
        <v>41702.318043981482</v>
      </c>
      <c r="C1879">
        <v>80</v>
      </c>
      <c r="D1879">
        <v>72.684593200999998</v>
      </c>
      <c r="E1879">
        <v>40</v>
      </c>
      <c r="F1879">
        <v>39.982231140000003</v>
      </c>
      <c r="G1879">
        <v>1325.7230225000001</v>
      </c>
      <c r="H1879">
        <v>1323.0268555</v>
      </c>
      <c r="I1879">
        <v>1340.4936522999999</v>
      </c>
      <c r="J1879">
        <v>1337.1395264</v>
      </c>
      <c r="K1879">
        <v>0</v>
      </c>
      <c r="L1879">
        <v>1650</v>
      </c>
      <c r="M1879">
        <v>1650</v>
      </c>
      <c r="N1879">
        <v>0</v>
      </c>
    </row>
    <row r="1880" spans="1:14" x14ac:dyDescent="0.25">
      <c r="A1880">
        <v>1406.7418680000001</v>
      </c>
      <c r="B1880" s="1">
        <f>DATE(2014,3,7) + TIME(17,48,17)</f>
        <v>41705.741863425923</v>
      </c>
      <c r="C1880">
        <v>80</v>
      </c>
      <c r="D1880">
        <v>72.465751647999994</v>
      </c>
      <c r="E1880">
        <v>40</v>
      </c>
      <c r="F1880">
        <v>39.982215881000002</v>
      </c>
      <c r="G1880">
        <v>1325.6683350000001</v>
      </c>
      <c r="H1880">
        <v>1322.9558105000001</v>
      </c>
      <c r="I1880">
        <v>1340.4921875</v>
      </c>
      <c r="J1880">
        <v>1337.1397704999999</v>
      </c>
      <c r="K1880">
        <v>0</v>
      </c>
      <c r="L1880">
        <v>1650</v>
      </c>
      <c r="M1880">
        <v>1650</v>
      </c>
      <c r="N1880">
        <v>0</v>
      </c>
    </row>
    <row r="1881" spans="1:14" x14ac:dyDescent="0.25">
      <c r="A1881">
        <v>1410.267218</v>
      </c>
      <c r="B1881" s="1">
        <f>DATE(2014,3,11) + TIME(6,24,47)</f>
        <v>41709.267210648148</v>
      </c>
      <c r="C1881">
        <v>80</v>
      </c>
      <c r="D1881">
        <v>72.226638793999996</v>
      </c>
      <c r="E1881">
        <v>40</v>
      </c>
      <c r="F1881">
        <v>39.982200622999997</v>
      </c>
      <c r="G1881">
        <v>1325.6088867000001</v>
      </c>
      <c r="H1881">
        <v>1322.8763428</v>
      </c>
      <c r="I1881">
        <v>1340.4907227000001</v>
      </c>
      <c r="J1881">
        <v>1337.1398925999999</v>
      </c>
      <c r="K1881">
        <v>0</v>
      </c>
      <c r="L1881">
        <v>1650</v>
      </c>
      <c r="M1881">
        <v>1650</v>
      </c>
      <c r="N1881">
        <v>0</v>
      </c>
    </row>
    <row r="1882" spans="1:14" x14ac:dyDescent="0.25">
      <c r="A1882">
        <v>1413.88024</v>
      </c>
      <c r="B1882" s="1">
        <f>DATE(2014,3,14) + TIME(21,7,32)</f>
        <v>41712.880231481482</v>
      </c>
      <c r="C1882">
        <v>80</v>
      </c>
      <c r="D1882">
        <v>71.975181579999997</v>
      </c>
      <c r="E1882">
        <v>40</v>
      </c>
      <c r="F1882">
        <v>39.982181549000003</v>
      </c>
      <c r="G1882">
        <v>1325.5480957</v>
      </c>
      <c r="H1882">
        <v>1322.7945557</v>
      </c>
      <c r="I1882">
        <v>1340.4891356999999</v>
      </c>
      <c r="J1882">
        <v>1337.1400146000001</v>
      </c>
      <c r="K1882">
        <v>0</v>
      </c>
      <c r="L1882">
        <v>1650</v>
      </c>
      <c r="M1882">
        <v>1650</v>
      </c>
      <c r="N1882">
        <v>0</v>
      </c>
    </row>
    <row r="1883" spans="1:14" x14ac:dyDescent="0.25">
      <c r="A1883">
        <v>1417.5178559999999</v>
      </c>
      <c r="B1883" s="1">
        <f>DATE(2014,3,18) + TIME(12,25,42)</f>
        <v>41716.517847222225</v>
      </c>
      <c r="C1883">
        <v>80</v>
      </c>
      <c r="D1883">
        <v>71.714233398000005</v>
      </c>
      <c r="E1883">
        <v>40</v>
      </c>
      <c r="F1883">
        <v>39.982166290000002</v>
      </c>
      <c r="G1883">
        <v>1325.4866943</v>
      </c>
      <c r="H1883">
        <v>1322.7121582</v>
      </c>
      <c r="I1883">
        <v>1340.4875488</v>
      </c>
      <c r="J1883">
        <v>1337.1401367000001</v>
      </c>
      <c r="K1883">
        <v>0</v>
      </c>
      <c r="L1883">
        <v>1650</v>
      </c>
      <c r="M1883">
        <v>1650</v>
      </c>
      <c r="N1883">
        <v>0</v>
      </c>
    </row>
    <row r="1884" spans="1:14" x14ac:dyDescent="0.25">
      <c r="A1884">
        <v>1421.2069059999999</v>
      </c>
      <c r="B1884" s="1">
        <f>DATE(2014,3,22) + TIME(4,57,56)</f>
        <v>41720.20689814815</v>
      </c>
      <c r="C1884">
        <v>80</v>
      </c>
      <c r="D1884">
        <v>71.446815490999995</v>
      </c>
      <c r="E1884">
        <v>40</v>
      </c>
      <c r="F1884">
        <v>39.982151031000001</v>
      </c>
      <c r="G1884">
        <v>1325.4259033000001</v>
      </c>
      <c r="H1884">
        <v>1322.630249</v>
      </c>
      <c r="I1884">
        <v>1340.4858397999999</v>
      </c>
      <c r="J1884">
        <v>1337.1401367000001</v>
      </c>
      <c r="K1884">
        <v>0</v>
      </c>
      <c r="L1884">
        <v>1650</v>
      </c>
      <c r="M1884">
        <v>1650</v>
      </c>
      <c r="N1884">
        <v>0</v>
      </c>
    </row>
    <row r="1885" spans="1:14" x14ac:dyDescent="0.25">
      <c r="A1885">
        <v>1424.9758260000001</v>
      </c>
      <c r="B1885" s="1">
        <f>DATE(2014,3,25) + TIME(23,25,11)</f>
        <v>41723.975821759261</v>
      </c>
      <c r="C1885">
        <v>80</v>
      </c>
      <c r="D1885">
        <v>71.171852111999996</v>
      </c>
      <c r="E1885">
        <v>40</v>
      </c>
      <c r="F1885">
        <v>39.982135773000003</v>
      </c>
      <c r="G1885">
        <v>1325.3657227000001</v>
      </c>
      <c r="H1885">
        <v>1322.5489502</v>
      </c>
      <c r="I1885">
        <v>1340.4841309000001</v>
      </c>
      <c r="J1885">
        <v>1337.1401367000001</v>
      </c>
      <c r="K1885">
        <v>0</v>
      </c>
      <c r="L1885">
        <v>1650</v>
      </c>
      <c r="M1885">
        <v>1650</v>
      </c>
      <c r="N1885">
        <v>0</v>
      </c>
    </row>
    <row r="1886" spans="1:14" x14ac:dyDescent="0.25">
      <c r="A1886">
        <v>1428.8557310000001</v>
      </c>
      <c r="B1886" s="1">
        <f>DATE(2014,3,29) + TIME(20,32,15)</f>
        <v>41727.855729166666</v>
      </c>
      <c r="C1886">
        <v>80</v>
      </c>
      <c r="D1886">
        <v>70.887443542</v>
      </c>
      <c r="E1886">
        <v>40</v>
      </c>
      <c r="F1886">
        <v>39.982120514000002</v>
      </c>
      <c r="G1886">
        <v>1325.3055420000001</v>
      </c>
      <c r="H1886">
        <v>1322.4680175999999</v>
      </c>
      <c r="I1886">
        <v>1340.4822998</v>
      </c>
      <c r="J1886">
        <v>1337.1400146000001</v>
      </c>
      <c r="K1886">
        <v>0</v>
      </c>
      <c r="L1886">
        <v>1650</v>
      </c>
      <c r="M1886">
        <v>1650</v>
      </c>
      <c r="N1886">
        <v>0</v>
      </c>
    </row>
    <row r="1887" spans="1:14" x14ac:dyDescent="0.25">
      <c r="A1887">
        <v>1431</v>
      </c>
      <c r="B1887" s="1">
        <f>DATE(2014,4,1) + TIME(0,0,0)</f>
        <v>41730</v>
      </c>
      <c r="C1887">
        <v>80</v>
      </c>
      <c r="D1887">
        <v>70.629386901999993</v>
      </c>
      <c r="E1887">
        <v>40</v>
      </c>
      <c r="F1887">
        <v>39.98210907</v>
      </c>
      <c r="G1887">
        <v>1325.2458495999999</v>
      </c>
      <c r="H1887">
        <v>1322.3892822</v>
      </c>
      <c r="I1887">
        <v>1340.4802245999999</v>
      </c>
      <c r="J1887">
        <v>1337.1398925999999</v>
      </c>
      <c r="K1887">
        <v>0</v>
      </c>
      <c r="L1887">
        <v>1650</v>
      </c>
      <c r="M1887">
        <v>1650</v>
      </c>
      <c r="N1887">
        <v>0</v>
      </c>
    </row>
    <row r="1888" spans="1:14" x14ac:dyDescent="0.25">
      <c r="A1888">
        <v>1435.0097370000001</v>
      </c>
      <c r="B1888" s="1">
        <f>DATE(2014,4,5) + TIME(0,14,1)</f>
        <v>41734.009733796294</v>
      </c>
      <c r="C1888">
        <v>80</v>
      </c>
      <c r="D1888">
        <v>70.409500121999997</v>
      </c>
      <c r="E1888">
        <v>40</v>
      </c>
      <c r="F1888">
        <v>39.982097625999998</v>
      </c>
      <c r="G1888">
        <v>1325.2059326000001</v>
      </c>
      <c r="H1888">
        <v>1322.3302002</v>
      </c>
      <c r="I1888">
        <v>1340.4792480000001</v>
      </c>
      <c r="J1888">
        <v>1337.1397704999999</v>
      </c>
      <c r="K1888">
        <v>0</v>
      </c>
      <c r="L1888">
        <v>1650</v>
      </c>
      <c r="M1888">
        <v>1650</v>
      </c>
      <c r="N1888">
        <v>0</v>
      </c>
    </row>
    <row r="1889" spans="1:14" x14ac:dyDescent="0.25">
      <c r="A1889">
        <v>1439.0799</v>
      </c>
      <c r="B1889" s="1">
        <f>DATE(2014,4,9) + TIME(1,55,3)</f>
        <v>41738.079895833333</v>
      </c>
      <c r="C1889">
        <v>80</v>
      </c>
      <c r="D1889">
        <v>70.111877441000004</v>
      </c>
      <c r="E1889">
        <v>40</v>
      </c>
      <c r="F1889">
        <v>39.982082366999997</v>
      </c>
      <c r="G1889">
        <v>1325.1508789</v>
      </c>
      <c r="H1889">
        <v>1322.2591553</v>
      </c>
      <c r="I1889">
        <v>1340.4771728999999</v>
      </c>
      <c r="J1889">
        <v>1337.1395264</v>
      </c>
      <c r="K1889">
        <v>0</v>
      </c>
      <c r="L1889">
        <v>1650</v>
      </c>
      <c r="M1889">
        <v>1650</v>
      </c>
      <c r="N1889">
        <v>0</v>
      </c>
    </row>
    <row r="1890" spans="1:14" x14ac:dyDescent="0.25">
      <c r="A1890">
        <v>1443.2249039999999</v>
      </c>
      <c r="B1890" s="1">
        <f>DATE(2014,4,13) + TIME(5,23,51)</f>
        <v>41742.224895833337</v>
      </c>
      <c r="C1890">
        <v>80</v>
      </c>
      <c r="D1890">
        <v>69.793998717999997</v>
      </c>
      <c r="E1890">
        <v>40</v>
      </c>
      <c r="F1890">
        <v>39.982067108000003</v>
      </c>
      <c r="G1890">
        <v>1325.0920410000001</v>
      </c>
      <c r="H1890">
        <v>1322.1802978999999</v>
      </c>
      <c r="I1890">
        <v>1340.4749756000001</v>
      </c>
      <c r="J1890">
        <v>1337.1392822</v>
      </c>
      <c r="K1890">
        <v>0</v>
      </c>
      <c r="L1890">
        <v>1650</v>
      </c>
      <c r="M1890">
        <v>1650</v>
      </c>
      <c r="N1890">
        <v>0</v>
      </c>
    </row>
    <row r="1891" spans="1:14" x14ac:dyDescent="0.25">
      <c r="A1891">
        <v>1447.479171</v>
      </c>
      <c r="B1891" s="1">
        <f>DATE(2014,4,17) + TIME(11,30,0)</f>
        <v>41746.479166666664</v>
      </c>
      <c r="C1891">
        <v>80</v>
      </c>
      <c r="D1891">
        <v>69.464416503999999</v>
      </c>
      <c r="E1891">
        <v>40</v>
      </c>
      <c r="F1891">
        <v>39.982051849000001</v>
      </c>
      <c r="G1891">
        <v>1325.0328368999999</v>
      </c>
      <c r="H1891">
        <v>1322.1005858999999</v>
      </c>
      <c r="I1891">
        <v>1340.4727783000001</v>
      </c>
      <c r="J1891">
        <v>1337.1389160000001</v>
      </c>
      <c r="K1891">
        <v>0</v>
      </c>
      <c r="L1891">
        <v>1650</v>
      </c>
      <c r="M1891">
        <v>1650</v>
      </c>
      <c r="N1891">
        <v>0</v>
      </c>
    </row>
    <row r="1892" spans="1:14" x14ac:dyDescent="0.25">
      <c r="A1892">
        <v>1451.88166</v>
      </c>
      <c r="B1892" s="1">
        <f>DATE(2014,4,21) + TIME(21,9,35)</f>
        <v>41750.881655092591</v>
      </c>
      <c r="C1892">
        <v>80</v>
      </c>
      <c r="D1892">
        <v>69.122085571</v>
      </c>
      <c r="E1892">
        <v>40</v>
      </c>
      <c r="F1892">
        <v>39.982040404999999</v>
      </c>
      <c r="G1892">
        <v>1324.9735106999999</v>
      </c>
      <c r="H1892">
        <v>1322.0206298999999</v>
      </c>
      <c r="I1892">
        <v>1340.4703368999999</v>
      </c>
      <c r="J1892">
        <v>1337.1384277</v>
      </c>
      <c r="K1892">
        <v>0</v>
      </c>
      <c r="L1892">
        <v>1650</v>
      </c>
      <c r="M1892">
        <v>1650</v>
      </c>
      <c r="N1892">
        <v>0</v>
      </c>
    </row>
    <row r="1893" spans="1:14" x14ac:dyDescent="0.25">
      <c r="A1893">
        <v>1456.33475</v>
      </c>
      <c r="B1893" s="1">
        <f>DATE(2014,4,26) + TIME(8,2,2)</f>
        <v>41755.334745370368</v>
      </c>
      <c r="C1893">
        <v>80</v>
      </c>
      <c r="D1893">
        <v>68.765968322999996</v>
      </c>
      <c r="E1893">
        <v>40</v>
      </c>
      <c r="F1893">
        <v>39.982025145999998</v>
      </c>
      <c r="G1893">
        <v>1324.9139404</v>
      </c>
      <c r="H1893">
        <v>1321.9403076000001</v>
      </c>
      <c r="I1893">
        <v>1340.4678954999999</v>
      </c>
      <c r="J1893">
        <v>1337.1378173999999</v>
      </c>
      <c r="K1893">
        <v>0</v>
      </c>
      <c r="L1893">
        <v>1650</v>
      </c>
      <c r="M1893">
        <v>1650</v>
      </c>
      <c r="N1893">
        <v>0</v>
      </c>
    </row>
    <row r="1894" spans="1:14" x14ac:dyDescent="0.25">
      <c r="A1894">
        <v>1458.667375</v>
      </c>
      <c r="B1894" s="1">
        <f>DATE(2014,4,28) + TIME(16,1,1)</f>
        <v>41757.667372685188</v>
      </c>
      <c r="C1894">
        <v>80</v>
      </c>
      <c r="D1894">
        <v>68.446449279999996</v>
      </c>
      <c r="E1894">
        <v>40</v>
      </c>
      <c r="F1894">
        <v>39.982017517000003</v>
      </c>
      <c r="G1894">
        <v>1324.8549805</v>
      </c>
      <c r="H1894">
        <v>1321.8629149999999</v>
      </c>
      <c r="I1894">
        <v>1340.4652100000001</v>
      </c>
      <c r="J1894">
        <v>1337.1370850000001</v>
      </c>
      <c r="K1894">
        <v>0</v>
      </c>
      <c r="L1894">
        <v>1650</v>
      </c>
      <c r="M1894">
        <v>1650</v>
      </c>
      <c r="N1894">
        <v>0</v>
      </c>
    </row>
    <row r="1895" spans="1:14" x14ac:dyDescent="0.25">
      <c r="A1895">
        <v>1461</v>
      </c>
      <c r="B1895" s="1">
        <f>DATE(2014,5,1) + TIME(0,0,0)</f>
        <v>41760</v>
      </c>
      <c r="C1895">
        <v>80</v>
      </c>
      <c r="D1895">
        <v>68.220443725999999</v>
      </c>
      <c r="E1895">
        <v>40</v>
      </c>
      <c r="F1895">
        <v>39.982009888</v>
      </c>
      <c r="G1895">
        <v>1324.8179932</v>
      </c>
      <c r="H1895">
        <v>1321.8084716999999</v>
      </c>
      <c r="I1895">
        <v>1340.4638672000001</v>
      </c>
      <c r="J1895">
        <v>1337.1367187999999</v>
      </c>
      <c r="K1895">
        <v>0</v>
      </c>
      <c r="L1895">
        <v>1650</v>
      </c>
      <c r="M1895">
        <v>1650</v>
      </c>
      <c r="N1895">
        <v>0</v>
      </c>
    </row>
    <row r="1896" spans="1:14" x14ac:dyDescent="0.25">
      <c r="A1896">
        <v>1461.0000010000001</v>
      </c>
      <c r="B1896" s="1">
        <f>DATE(2014,5,1) + TIME(0,0,0)</f>
        <v>41760</v>
      </c>
      <c r="C1896">
        <v>80</v>
      </c>
      <c r="D1896">
        <v>68.220565796000002</v>
      </c>
      <c r="E1896">
        <v>40</v>
      </c>
      <c r="F1896">
        <v>39.981945037999999</v>
      </c>
      <c r="G1896">
        <v>1328.7080077999999</v>
      </c>
      <c r="H1896">
        <v>1325.5794678</v>
      </c>
      <c r="I1896">
        <v>1336.6057129000001</v>
      </c>
      <c r="J1896">
        <v>1333.6685791</v>
      </c>
      <c r="K1896">
        <v>1650</v>
      </c>
      <c r="L1896">
        <v>0</v>
      </c>
      <c r="M1896">
        <v>0</v>
      </c>
      <c r="N1896">
        <v>1650</v>
      </c>
    </row>
    <row r="1897" spans="1:14" x14ac:dyDescent="0.25">
      <c r="A1897">
        <v>1461.000004</v>
      </c>
      <c r="B1897" s="1">
        <f>DATE(2014,5,1) + TIME(0,0,0)</f>
        <v>41760</v>
      </c>
      <c r="C1897">
        <v>80</v>
      </c>
      <c r="D1897">
        <v>68.220787048000005</v>
      </c>
      <c r="E1897">
        <v>40</v>
      </c>
      <c r="F1897">
        <v>39.981815337999997</v>
      </c>
      <c r="G1897">
        <v>1329.8446045000001</v>
      </c>
      <c r="H1897">
        <v>1326.8996582</v>
      </c>
      <c r="I1897">
        <v>1335.5124512</v>
      </c>
      <c r="J1897">
        <v>1332.5751952999999</v>
      </c>
      <c r="K1897">
        <v>1650</v>
      </c>
      <c r="L1897">
        <v>0</v>
      </c>
      <c r="M1897">
        <v>0</v>
      </c>
      <c r="N1897">
        <v>1650</v>
      </c>
    </row>
    <row r="1898" spans="1:14" x14ac:dyDescent="0.25">
      <c r="A1898">
        <v>1461.0000130000001</v>
      </c>
      <c r="B1898" s="1">
        <f>DATE(2014,5,1) + TIME(0,0,1)</f>
        <v>41760.000011574077</v>
      </c>
      <c r="C1898">
        <v>80</v>
      </c>
      <c r="D1898">
        <v>68.221145629999995</v>
      </c>
      <c r="E1898">
        <v>40</v>
      </c>
      <c r="F1898">
        <v>39.981616973999998</v>
      </c>
      <c r="G1898">
        <v>1331.489624</v>
      </c>
      <c r="H1898">
        <v>1328.578125</v>
      </c>
      <c r="I1898">
        <v>1333.8848877</v>
      </c>
      <c r="J1898">
        <v>1330.947876</v>
      </c>
      <c r="K1898">
        <v>1650</v>
      </c>
      <c r="L1898">
        <v>0</v>
      </c>
      <c r="M1898">
        <v>0</v>
      </c>
      <c r="N1898">
        <v>1650</v>
      </c>
    </row>
    <row r="1899" spans="1:14" x14ac:dyDescent="0.25">
      <c r="A1899">
        <v>1461.0000399999999</v>
      </c>
      <c r="B1899" s="1">
        <f>DATE(2014,5,1) + TIME(0,0,3)</f>
        <v>41760.000034722223</v>
      </c>
      <c r="C1899">
        <v>80</v>
      </c>
      <c r="D1899">
        <v>68.221778869999994</v>
      </c>
      <c r="E1899">
        <v>40</v>
      </c>
      <c r="F1899">
        <v>39.981399535999998</v>
      </c>
      <c r="G1899">
        <v>1333.3316649999999</v>
      </c>
      <c r="H1899">
        <v>1330.3530272999999</v>
      </c>
      <c r="I1899">
        <v>1332.0681152</v>
      </c>
      <c r="J1899">
        <v>1329.1318358999999</v>
      </c>
      <c r="K1899">
        <v>1650</v>
      </c>
      <c r="L1899">
        <v>0</v>
      </c>
      <c r="M1899">
        <v>0</v>
      </c>
      <c r="N1899">
        <v>1650</v>
      </c>
    </row>
    <row r="1900" spans="1:14" x14ac:dyDescent="0.25">
      <c r="A1900">
        <v>1461.000121</v>
      </c>
      <c r="B1900" s="1">
        <f>DATE(2014,5,1) + TIME(0,0,10)</f>
        <v>41760.000115740739</v>
      </c>
      <c r="C1900">
        <v>80</v>
      </c>
      <c r="D1900">
        <v>68.223228454999997</v>
      </c>
      <c r="E1900">
        <v>40</v>
      </c>
      <c r="F1900">
        <v>39.981178284000002</v>
      </c>
      <c r="G1900">
        <v>1335.1815185999999</v>
      </c>
      <c r="H1900">
        <v>1332.1301269999999</v>
      </c>
      <c r="I1900">
        <v>1330.2572021000001</v>
      </c>
      <c r="J1900">
        <v>1327.3210449000001</v>
      </c>
      <c r="K1900">
        <v>1650</v>
      </c>
      <c r="L1900">
        <v>0</v>
      </c>
      <c r="M1900">
        <v>0</v>
      </c>
      <c r="N1900">
        <v>1650</v>
      </c>
    </row>
    <row r="1901" spans="1:14" x14ac:dyDescent="0.25">
      <c r="A1901">
        <v>1461.000364</v>
      </c>
      <c r="B1901" s="1">
        <f>DATE(2014,5,1) + TIME(0,0,31)</f>
        <v>41760.000358796293</v>
      </c>
      <c r="C1901">
        <v>80</v>
      </c>
      <c r="D1901">
        <v>68.227172851999995</v>
      </c>
      <c r="E1901">
        <v>40</v>
      </c>
      <c r="F1901">
        <v>39.980949402</v>
      </c>
      <c r="G1901">
        <v>1337.0183105000001</v>
      </c>
      <c r="H1901">
        <v>1333.8957519999999</v>
      </c>
      <c r="I1901">
        <v>1328.4615478999999</v>
      </c>
      <c r="J1901">
        <v>1325.5163574000001</v>
      </c>
      <c r="K1901">
        <v>1650</v>
      </c>
      <c r="L1901">
        <v>0</v>
      </c>
      <c r="M1901">
        <v>0</v>
      </c>
      <c r="N1901">
        <v>1650</v>
      </c>
    </row>
    <row r="1902" spans="1:14" x14ac:dyDescent="0.25">
      <c r="A1902">
        <v>1461.0010930000001</v>
      </c>
      <c r="B1902" s="1">
        <f>DATE(2014,5,1) + TIME(0,1,34)</f>
        <v>41760.001087962963</v>
      </c>
      <c r="C1902">
        <v>80</v>
      </c>
      <c r="D1902">
        <v>68.238761901999993</v>
      </c>
      <c r="E1902">
        <v>40</v>
      </c>
      <c r="F1902">
        <v>39.980701447000001</v>
      </c>
      <c r="G1902">
        <v>1338.7489014</v>
      </c>
      <c r="H1902">
        <v>1335.5545654</v>
      </c>
      <c r="I1902">
        <v>1326.7353516000001</v>
      </c>
      <c r="J1902">
        <v>1323.7554932</v>
      </c>
      <c r="K1902">
        <v>1650</v>
      </c>
      <c r="L1902">
        <v>0</v>
      </c>
      <c r="M1902">
        <v>0</v>
      </c>
      <c r="N1902">
        <v>1650</v>
      </c>
    </row>
    <row r="1903" spans="1:14" x14ac:dyDescent="0.25">
      <c r="A1903">
        <v>1461.0032799999999</v>
      </c>
      <c r="B1903" s="1">
        <f>DATE(2014,5,1) + TIME(0,4,43)</f>
        <v>41760.003275462965</v>
      </c>
      <c r="C1903">
        <v>80</v>
      </c>
      <c r="D1903">
        <v>68.273513793999996</v>
      </c>
      <c r="E1903">
        <v>40</v>
      </c>
      <c r="F1903">
        <v>39.980403899999999</v>
      </c>
      <c r="G1903">
        <v>1340.0897216999999</v>
      </c>
      <c r="H1903">
        <v>1336.8416748</v>
      </c>
      <c r="I1903">
        <v>1325.3087158000001</v>
      </c>
      <c r="J1903">
        <v>1322.2872314000001</v>
      </c>
      <c r="K1903">
        <v>1650</v>
      </c>
      <c r="L1903">
        <v>0</v>
      </c>
      <c r="M1903">
        <v>0</v>
      </c>
      <c r="N1903">
        <v>1650</v>
      </c>
    </row>
    <row r="1904" spans="1:14" x14ac:dyDescent="0.25">
      <c r="A1904">
        <v>1461.0098410000001</v>
      </c>
      <c r="B1904" s="1">
        <f>DATE(2014,5,1) + TIME(0,14,10)</f>
        <v>41760.009837962964</v>
      </c>
      <c r="C1904">
        <v>80</v>
      </c>
      <c r="D1904">
        <v>68.377136230000005</v>
      </c>
      <c r="E1904">
        <v>40</v>
      </c>
      <c r="F1904">
        <v>39.979930877999998</v>
      </c>
      <c r="G1904">
        <v>1340.8353271000001</v>
      </c>
      <c r="H1904">
        <v>1337.5688477000001</v>
      </c>
      <c r="I1904">
        <v>1324.4625243999999</v>
      </c>
      <c r="J1904">
        <v>1321.4199219</v>
      </c>
      <c r="K1904">
        <v>1650</v>
      </c>
      <c r="L1904">
        <v>0</v>
      </c>
      <c r="M1904">
        <v>0</v>
      </c>
      <c r="N1904">
        <v>1650</v>
      </c>
    </row>
    <row r="1905" spans="1:14" x14ac:dyDescent="0.25">
      <c r="A1905">
        <v>1461.029524</v>
      </c>
      <c r="B1905" s="1">
        <f>DATE(2014,5,1) + TIME(0,42,30)</f>
        <v>41760.029513888891</v>
      </c>
      <c r="C1905">
        <v>80</v>
      </c>
      <c r="D1905">
        <v>68.679641724000007</v>
      </c>
      <c r="E1905">
        <v>40</v>
      </c>
      <c r="F1905">
        <v>39.978790283000002</v>
      </c>
      <c r="G1905">
        <v>1341.0626221</v>
      </c>
      <c r="H1905">
        <v>1337.8093262</v>
      </c>
      <c r="I1905">
        <v>1324.199707</v>
      </c>
      <c r="J1905">
        <v>1321.1516113</v>
      </c>
      <c r="K1905">
        <v>1650</v>
      </c>
      <c r="L1905">
        <v>0</v>
      </c>
      <c r="M1905">
        <v>0</v>
      </c>
      <c r="N1905">
        <v>1650</v>
      </c>
    </row>
    <row r="1906" spans="1:14" x14ac:dyDescent="0.25">
      <c r="A1906">
        <v>1461.060608</v>
      </c>
      <c r="B1906" s="1">
        <f>DATE(2014,5,1) + TIME(1,27,16)</f>
        <v>41760.060601851852</v>
      </c>
      <c r="C1906">
        <v>80</v>
      </c>
      <c r="D1906">
        <v>69.137847899999997</v>
      </c>
      <c r="E1906">
        <v>40</v>
      </c>
      <c r="F1906">
        <v>39.977062224999997</v>
      </c>
      <c r="G1906">
        <v>1341.0718993999999</v>
      </c>
      <c r="H1906">
        <v>1337.8393555</v>
      </c>
      <c r="I1906">
        <v>1324.1715088000001</v>
      </c>
      <c r="J1906">
        <v>1321.1226807</v>
      </c>
      <c r="K1906">
        <v>1650</v>
      </c>
      <c r="L1906">
        <v>0</v>
      </c>
      <c r="M1906">
        <v>0</v>
      </c>
      <c r="N1906">
        <v>1650</v>
      </c>
    </row>
    <row r="1907" spans="1:14" x14ac:dyDescent="0.25">
      <c r="A1907">
        <v>1461.0923640000001</v>
      </c>
      <c r="B1907" s="1">
        <f>DATE(2014,5,1) + TIME(2,13,0)</f>
        <v>41760.092361111114</v>
      </c>
      <c r="C1907">
        <v>80</v>
      </c>
      <c r="D1907">
        <v>69.587615967000005</v>
      </c>
      <c r="E1907">
        <v>40</v>
      </c>
      <c r="F1907">
        <v>39.975315094000003</v>
      </c>
      <c r="G1907">
        <v>1341.0666504000001</v>
      </c>
      <c r="H1907">
        <v>1337.8459473</v>
      </c>
      <c r="I1907">
        <v>1324.1705322</v>
      </c>
      <c r="J1907">
        <v>1321.1214600000001</v>
      </c>
      <c r="K1907">
        <v>1650</v>
      </c>
      <c r="L1907">
        <v>0</v>
      </c>
      <c r="M1907">
        <v>0</v>
      </c>
      <c r="N1907">
        <v>1650</v>
      </c>
    </row>
    <row r="1908" spans="1:14" x14ac:dyDescent="0.25">
      <c r="A1908">
        <v>1461.124814</v>
      </c>
      <c r="B1908" s="1">
        <f>DATE(2014,5,1) + TIME(2,59,43)</f>
        <v>41760.124803240738</v>
      </c>
      <c r="C1908">
        <v>80</v>
      </c>
      <c r="D1908">
        <v>70.028831482000001</v>
      </c>
      <c r="E1908">
        <v>40</v>
      </c>
      <c r="F1908">
        <v>39.973541259999998</v>
      </c>
      <c r="G1908">
        <v>1341.0593262</v>
      </c>
      <c r="H1908">
        <v>1337.8496094</v>
      </c>
      <c r="I1908">
        <v>1324.1707764</v>
      </c>
      <c r="J1908">
        <v>1321.1217041</v>
      </c>
      <c r="K1908">
        <v>1650</v>
      </c>
      <c r="L1908">
        <v>0</v>
      </c>
      <c r="M1908">
        <v>0</v>
      </c>
      <c r="N1908">
        <v>1650</v>
      </c>
    </row>
    <row r="1909" spans="1:14" x14ac:dyDescent="0.25">
      <c r="A1909">
        <v>1461.1579260000001</v>
      </c>
      <c r="B1909" s="1">
        <f>DATE(2014,5,1) + TIME(3,47,24)</f>
        <v>41760.157916666663</v>
      </c>
      <c r="C1909">
        <v>80</v>
      </c>
      <c r="D1909">
        <v>70.460395813000005</v>
      </c>
      <c r="E1909">
        <v>40</v>
      </c>
      <c r="F1909">
        <v>39.971752166999998</v>
      </c>
      <c r="G1909">
        <v>1341.0538329999999</v>
      </c>
      <c r="H1909">
        <v>1337.8537598</v>
      </c>
      <c r="I1909">
        <v>1324.1710204999999</v>
      </c>
      <c r="J1909">
        <v>1321.1218262</v>
      </c>
      <c r="K1909">
        <v>1650</v>
      </c>
      <c r="L1909">
        <v>0</v>
      </c>
      <c r="M1909">
        <v>0</v>
      </c>
      <c r="N1909">
        <v>1650</v>
      </c>
    </row>
    <row r="1910" spans="1:14" x14ac:dyDescent="0.25">
      <c r="A1910">
        <v>1461.191732</v>
      </c>
      <c r="B1910" s="1">
        <f>DATE(2014,5,1) + TIME(4,36,5)</f>
        <v>41760.191724537035</v>
      </c>
      <c r="C1910">
        <v>80</v>
      </c>
      <c r="D1910">
        <v>70.882682799999998</v>
      </c>
      <c r="E1910">
        <v>40</v>
      </c>
      <c r="F1910">
        <v>39.969936371000003</v>
      </c>
      <c r="G1910">
        <v>1341.0504149999999</v>
      </c>
      <c r="H1910">
        <v>1337.8590088000001</v>
      </c>
      <c r="I1910">
        <v>1324.1711425999999</v>
      </c>
      <c r="J1910">
        <v>1321.1218262</v>
      </c>
      <c r="K1910">
        <v>1650</v>
      </c>
      <c r="L1910">
        <v>0</v>
      </c>
      <c r="M1910">
        <v>0</v>
      </c>
      <c r="N1910">
        <v>1650</v>
      </c>
    </row>
    <row r="1911" spans="1:14" x14ac:dyDescent="0.25">
      <c r="A1911">
        <v>1461.2262679999999</v>
      </c>
      <c r="B1911" s="1">
        <f>DATE(2014,5,1) + TIME(5,25,49)</f>
        <v>41760.226261574076</v>
      </c>
      <c r="C1911">
        <v>80</v>
      </c>
      <c r="D1911">
        <v>71.295730590999995</v>
      </c>
      <c r="E1911">
        <v>40</v>
      </c>
      <c r="F1911">
        <v>39.968101501</v>
      </c>
      <c r="G1911">
        <v>1341.0490723</v>
      </c>
      <c r="H1911">
        <v>1337.8653564000001</v>
      </c>
      <c r="I1911">
        <v>1324.1713867000001</v>
      </c>
      <c r="J1911">
        <v>1321.1218262</v>
      </c>
      <c r="K1911">
        <v>1650</v>
      </c>
      <c r="L1911">
        <v>0</v>
      </c>
      <c r="M1911">
        <v>0</v>
      </c>
      <c r="N1911">
        <v>1650</v>
      </c>
    </row>
    <row r="1912" spans="1:14" x14ac:dyDescent="0.25">
      <c r="A1912">
        <v>1461.2615679999999</v>
      </c>
      <c r="B1912" s="1">
        <f>DATE(2014,5,1) + TIME(6,16,39)</f>
        <v>41760.261562500003</v>
      </c>
      <c r="C1912">
        <v>80</v>
      </c>
      <c r="D1912">
        <v>71.699569702000005</v>
      </c>
      <c r="E1912">
        <v>40</v>
      </c>
      <c r="F1912">
        <v>39.966239928999997</v>
      </c>
      <c r="G1912">
        <v>1341.0498047000001</v>
      </c>
      <c r="H1912">
        <v>1337.8726807</v>
      </c>
      <c r="I1912">
        <v>1324.1715088000001</v>
      </c>
      <c r="J1912">
        <v>1321.1218262</v>
      </c>
      <c r="K1912">
        <v>1650</v>
      </c>
      <c r="L1912">
        <v>0</v>
      </c>
      <c r="M1912">
        <v>0</v>
      </c>
      <c r="N1912">
        <v>1650</v>
      </c>
    </row>
    <row r="1913" spans="1:14" x14ac:dyDescent="0.25">
      <c r="A1913">
        <v>1461.2976719999999</v>
      </c>
      <c r="B1913" s="1">
        <f>DATE(2014,5,1) + TIME(7,8,38)</f>
        <v>41760.297662037039</v>
      </c>
      <c r="C1913">
        <v>80</v>
      </c>
      <c r="D1913">
        <v>72.094215392999999</v>
      </c>
      <c r="E1913">
        <v>40</v>
      </c>
      <c r="F1913">
        <v>39.964351653999998</v>
      </c>
      <c r="G1913">
        <v>1341.0523682</v>
      </c>
      <c r="H1913">
        <v>1337.8811035000001</v>
      </c>
      <c r="I1913">
        <v>1324.1715088000001</v>
      </c>
      <c r="J1913">
        <v>1321.1217041</v>
      </c>
      <c r="K1913">
        <v>1650</v>
      </c>
      <c r="L1913">
        <v>0</v>
      </c>
      <c r="M1913">
        <v>0</v>
      </c>
      <c r="N1913">
        <v>1650</v>
      </c>
    </row>
    <row r="1914" spans="1:14" x14ac:dyDescent="0.25">
      <c r="A1914">
        <v>1461.3346200000001</v>
      </c>
      <c r="B1914" s="1">
        <f>DATE(2014,5,1) + TIME(8,1,51)</f>
        <v>41760.334618055553</v>
      </c>
      <c r="C1914">
        <v>80</v>
      </c>
      <c r="D1914">
        <v>72.479660034000005</v>
      </c>
      <c r="E1914">
        <v>40</v>
      </c>
      <c r="F1914">
        <v>39.962440491000002</v>
      </c>
      <c r="G1914">
        <v>1341.0568848</v>
      </c>
      <c r="H1914">
        <v>1337.8905029</v>
      </c>
      <c r="I1914">
        <v>1324.1716309000001</v>
      </c>
      <c r="J1914">
        <v>1321.1217041</v>
      </c>
      <c r="K1914">
        <v>1650</v>
      </c>
      <c r="L1914">
        <v>0</v>
      </c>
      <c r="M1914">
        <v>0</v>
      </c>
      <c r="N1914">
        <v>1650</v>
      </c>
    </row>
    <row r="1915" spans="1:14" x14ac:dyDescent="0.25">
      <c r="A1915">
        <v>1461.3724569999999</v>
      </c>
      <c r="B1915" s="1">
        <f>DATE(2014,5,1) + TIME(8,56,20)</f>
        <v>41760.372453703705</v>
      </c>
      <c r="C1915">
        <v>80</v>
      </c>
      <c r="D1915">
        <v>72.855888367000006</v>
      </c>
      <c r="E1915">
        <v>40</v>
      </c>
      <c r="F1915">
        <v>39.960494994999998</v>
      </c>
      <c r="G1915">
        <v>1341.0631103999999</v>
      </c>
      <c r="H1915">
        <v>1337.9007568</v>
      </c>
      <c r="I1915">
        <v>1324.1717529</v>
      </c>
      <c r="J1915">
        <v>1321.121582</v>
      </c>
      <c r="K1915">
        <v>1650</v>
      </c>
      <c r="L1915">
        <v>0</v>
      </c>
      <c r="M1915">
        <v>0</v>
      </c>
      <c r="N1915">
        <v>1650</v>
      </c>
    </row>
    <row r="1916" spans="1:14" x14ac:dyDescent="0.25">
      <c r="A1916">
        <v>1461.4112230000001</v>
      </c>
      <c r="B1916" s="1">
        <f>DATE(2014,5,1) + TIME(9,52,9)</f>
        <v>41760.411215277774</v>
      </c>
      <c r="C1916">
        <v>80</v>
      </c>
      <c r="D1916">
        <v>73.222831725999995</v>
      </c>
      <c r="E1916">
        <v>40</v>
      </c>
      <c r="F1916">
        <v>39.958522797000001</v>
      </c>
      <c r="G1916">
        <v>1341.0710449000001</v>
      </c>
      <c r="H1916">
        <v>1337.9118652</v>
      </c>
      <c r="I1916">
        <v>1324.171875</v>
      </c>
      <c r="J1916">
        <v>1321.1214600000001</v>
      </c>
      <c r="K1916">
        <v>1650</v>
      </c>
      <c r="L1916">
        <v>0</v>
      </c>
      <c r="M1916">
        <v>0</v>
      </c>
      <c r="N1916">
        <v>1650</v>
      </c>
    </row>
    <row r="1917" spans="1:14" x14ac:dyDescent="0.25">
      <c r="A1917">
        <v>1461.450969</v>
      </c>
      <c r="B1917" s="1">
        <f>DATE(2014,5,1) + TIME(10,49,23)</f>
        <v>41760.450960648152</v>
      </c>
      <c r="C1917">
        <v>80</v>
      </c>
      <c r="D1917">
        <v>73.580459594999994</v>
      </c>
      <c r="E1917">
        <v>40</v>
      </c>
      <c r="F1917">
        <v>39.956520081000001</v>
      </c>
      <c r="G1917">
        <v>1341.0805664</v>
      </c>
      <c r="H1917">
        <v>1337.9239502</v>
      </c>
      <c r="I1917">
        <v>1324.171875</v>
      </c>
      <c r="J1917">
        <v>1321.1213379000001</v>
      </c>
      <c r="K1917">
        <v>1650</v>
      </c>
      <c r="L1917">
        <v>0</v>
      </c>
      <c r="M1917">
        <v>0</v>
      </c>
      <c r="N1917">
        <v>1650</v>
      </c>
    </row>
    <row r="1918" spans="1:14" x14ac:dyDescent="0.25">
      <c r="A1918">
        <v>1461.491753</v>
      </c>
      <c r="B1918" s="1">
        <f>DATE(2014,5,1) + TIME(11,48,7)</f>
        <v>41760.491747685184</v>
      </c>
      <c r="C1918">
        <v>80</v>
      </c>
      <c r="D1918">
        <v>73.928764342999997</v>
      </c>
      <c r="E1918">
        <v>40</v>
      </c>
      <c r="F1918">
        <v>39.954483031999999</v>
      </c>
      <c r="G1918">
        <v>1341.0915527</v>
      </c>
      <c r="H1918">
        <v>1337.9366454999999</v>
      </c>
      <c r="I1918">
        <v>1324.171875</v>
      </c>
      <c r="J1918">
        <v>1321.1212158000001</v>
      </c>
      <c r="K1918">
        <v>1650</v>
      </c>
      <c r="L1918">
        <v>0</v>
      </c>
      <c r="M1918">
        <v>0</v>
      </c>
      <c r="N1918">
        <v>1650</v>
      </c>
    </row>
    <row r="1919" spans="1:14" x14ac:dyDescent="0.25">
      <c r="A1919">
        <v>1461.5336319999999</v>
      </c>
      <c r="B1919" s="1">
        <f>DATE(2014,5,1) + TIME(12,48,25)</f>
        <v>41760.533622685187</v>
      </c>
      <c r="C1919">
        <v>80</v>
      </c>
      <c r="D1919">
        <v>74.267692565999994</v>
      </c>
      <c r="E1919">
        <v>40</v>
      </c>
      <c r="F1919">
        <v>39.952411652000002</v>
      </c>
      <c r="G1919">
        <v>1341.104126</v>
      </c>
      <c r="H1919">
        <v>1337.9501952999999</v>
      </c>
      <c r="I1919">
        <v>1324.1719971</v>
      </c>
      <c r="J1919">
        <v>1321.1210937999999</v>
      </c>
      <c r="K1919">
        <v>1650</v>
      </c>
      <c r="L1919">
        <v>0</v>
      </c>
      <c r="M1919">
        <v>0</v>
      </c>
      <c r="N1919">
        <v>1650</v>
      </c>
    </row>
    <row r="1920" spans="1:14" x14ac:dyDescent="0.25">
      <c r="A1920">
        <v>1461.5766679999999</v>
      </c>
      <c r="B1920" s="1">
        <f>DATE(2014,5,1) + TIME(13,50,24)</f>
        <v>41760.576666666668</v>
      </c>
      <c r="C1920">
        <v>80</v>
      </c>
      <c r="D1920">
        <v>74.597175598000007</v>
      </c>
      <c r="E1920">
        <v>40</v>
      </c>
      <c r="F1920">
        <v>39.950302123999997</v>
      </c>
      <c r="G1920">
        <v>1341.1179199000001</v>
      </c>
      <c r="H1920">
        <v>1337.9644774999999</v>
      </c>
      <c r="I1920">
        <v>1324.1719971</v>
      </c>
      <c r="J1920">
        <v>1321.1208495999999</v>
      </c>
      <c r="K1920">
        <v>1650</v>
      </c>
      <c r="L1920">
        <v>0</v>
      </c>
      <c r="M1920">
        <v>0</v>
      </c>
      <c r="N1920">
        <v>1650</v>
      </c>
    </row>
    <row r="1921" spans="1:14" x14ac:dyDescent="0.25">
      <c r="A1921">
        <v>1461.6209269999999</v>
      </c>
      <c r="B1921" s="1">
        <f>DATE(2014,5,1) + TIME(14,54,8)</f>
        <v>41760.620925925927</v>
      </c>
      <c r="C1921">
        <v>80</v>
      </c>
      <c r="D1921">
        <v>74.917144774999997</v>
      </c>
      <c r="E1921">
        <v>40</v>
      </c>
      <c r="F1921">
        <v>39.948154449</v>
      </c>
      <c r="G1921">
        <v>1341.1330565999999</v>
      </c>
      <c r="H1921">
        <v>1337.9793701000001</v>
      </c>
      <c r="I1921">
        <v>1324.1719971</v>
      </c>
      <c r="J1921">
        <v>1321.1207274999999</v>
      </c>
      <c r="K1921">
        <v>1650</v>
      </c>
      <c r="L1921">
        <v>0</v>
      </c>
      <c r="M1921">
        <v>0</v>
      </c>
      <c r="N1921">
        <v>1650</v>
      </c>
    </row>
    <row r="1922" spans="1:14" x14ac:dyDescent="0.25">
      <c r="A1922">
        <v>1461.6664820000001</v>
      </c>
      <c r="B1922" s="1">
        <f>DATE(2014,5,1) + TIME(15,59,44)</f>
        <v>41760.666481481479</v>
      </c>
      <c r="C1922">
        <v>80</v>
      </c>
      <c r="D1922">
        <v>75.227348328000005</v>
      </c>
      <c r="E1922">
        <v>40</v>
      </c>
      <c r="F1922">
        <v>39.945960999</v>
      </c>
      <c r="G1922">
        <v>1341.1494141000001</v>
      </c>
      <c r="H1922">
        <v>1337.994751</v>
      </c>
      <c r="I1922">
        <v>1324.1719971</v>
      </c>
      <c r="J1922">
        <v>1321.1204834</v>
      </c>
      <c r="K1922">
        <v>1650</v>
      </c>
      <c r="L1922">
        <v>0</v>
      </c>
      <c r="M1922">
        <v>0</v>
      </c>
      <c r="N1922">
        <v>1650</v>
      </c>
    </row>
    <row r="1923" spans="1:14" x14ac:dyDescent="0.25">
      <c r="A1923">
        <v>1461.713409</v>
      </c>
      <c r="B1923" s="1">
        <f>DATE(2014,5,1) + TIME(17,7,18)</f>
        <v>41760.713402777779</v>
      </c>
      <c r="C1923">
        <v>80</v>
      </c>
      <c r="D1923">
        <v>75.527809142999999</v>
      </c>
      <c r="E1923">
        <v>40</v>
      </c>
      <c r="F1923">
        <v>39.943725585999999</v>
      </c>
      <c r="G1923">
        <v>1341.1668701000001</v>
      </c>
      <c r="H1923">
        <v>1338.0108643000001</v>
      </c>
      <c r="I1923">
        <v>1324.1719971</v>
      </c>
      <c r="J1923">
        <v>1321.1202393000001</v>
      </c>
      <c r="K1923">
        <v>1650</v>
      </c>
      <c r="L1923">
        <v>0</v>
      </c>
      <c r="M1923">
        <v>0</v>
      </c>
      <c r="N1923">
        <v>1650</v>
      </c>
    </row>
    <row r="1924" spans="1:14" x14ac:dyDescent="0.25">
      <c r="A1924">
        <v>1461.7617929999999</v>
      </c>
      <c r="B1924" s="1">
        <f>DATE(2014,5,1) + TIME(18,16,58)</f>
        <v>41760.761782407404</v>
      </c>
      <c r="C1924">
        <v>80</v>
      </c>
      <c r="D1924">
        <v>75.818496703999998</v>
      </c>
      <c r="E1924">
        <v>40</v>
      </c>
      <c r="F1924">
        <v>39.941444396999998</v>
      </c>
      <c r="G1924">
        <v>1341.1854248</v>
      </c>
      <c r="H1924">
        <v>1338.0274658000001</v>
      </c>
      <c r="I1924">
        <v>1324.1719971</v>
      </c>
      <c r="J1924">
        <v>1321.1199951000001</v>
      </c>
      <c r="K1924">
        <v>1650</v>
      </c>
      <c r="L1924">
        <v>0</v>
      </c>
      <c r="M1924">
        <v>0</v>
      </c>
      <c r="N1924">
        <v>1650</v>
      </c>
    </row>
    <row r="1925" spans="1:14" x14ac:dyDescent="0.25">
      <c r="A1925">
        <v>1461.8117259999999</v>
      </c>
      <c r="B1925" s="1">
        <f>DATE(2014,5,1) + TIME(19,28,53)</f>
        <v>41760.811724537038</v>
      </c>
      <c r="C1925">
        <v>80</v>
      </c>
      <c r="D1925">
        <v>76.099334717000005</v>
      </c>
      <c r="E1925">
        <v>40</v>
      </c>
      <c r="F1925">
        <v>39.939109801999997</v>
      </c>
      <c r="G1925">
        <v>1341.2049560999999</v>
      </c>
      <c r="H1925">
        <v>1338.0444336</v>
      </c>
      <c r="I1925">
        <v>1324.1719971</v>
      </c>
      <c r="J1925">
        <v>1321.119751</v>
      </c>
      <c r="K1925">
        <v>1650</v>
      </c>
      <c r="L1925">
        <v>0</v>
      </c>
      <c r="M1925">
        <v>0</v>
      </c>
      <c r="N1925">
        <v>1650</v>
      </c>
    </row>
    <row r="1926" spans="1:14" x14ac:dyDescent="0.25">
      <c r="A1926">
        <v>1461.8633150000001</v>
      </c>
      <c r="B1926" s="1">
        <f>DATE(2014,5,1) + TIME(20,43,10)</f>
        <v>41760.863310185188</v>
      </c>
      <c r="C1926">
        <v>80</v>
      </c>
      <c r="D1926">
        <v>76.370269774999997</v>
      </c>
      <c r="E1926">
        <v>40</v>
      </c>
      <c r="F1926">
        <v>39.936725615999997</v>
      </c>
      <c r="G1926">
        <v>1341.2254639</v>
      </c>
      <c r="H1926">
        <v>1338.0620117000001</v>
      </c>
      <c r="I1926">
        <v>1324.1719971</v>
      </c>
      <c r="J1926">
        <v>1321.1195068</v>
      </c>
      <c r="K1926">
        <v>1650</v>
      </c>
      <c r="L1926">
        <v>0</v>
      </c>
      <c r="M1926">
        <v>0</v>
      </c>
      <c r="N1926">
        <v>1650</v>
      </c>
    </row>
    <row r="1927" spans="1:14" x14ac:dyDescent="0.25">
      <c r="A1927">
        <v>1461.916651</v>
      </c>
      <c r="B1927" s="1">
        <f>DATE(2014,5,1) + TIME(21,59,58)</f>
        <v>41760.916643518518</v>
      </c>
      <c r="C1927">
        <v>80</v>
      </c>
      <c r="D1927">
        <v>76.631118774000001</v>
      </c>
      <c r="E1927">
        <v>40</v>
      </c>
      <c r="F1927">
        <v>39.934284210000001</v>
      </c>
      <c r="G1927">
        <v>1341.2467041</v>
      </c>
      <c r="H1927">
        <v>1338.0798339999999</v>
      </c>
      <c r="I1927">
        <v>1324.171875</v>
      </c>
      <c r="J1927">
        <v>1321.1192627</v>
      </c>
      <c r="K1927">
        <v>1650</v>
      </c>
      <c r="L1927">
        <v>0</v>
      </c>
      <c r="M1927">
        <v>0</v>
      </c>
      <c r="N1927">
        <v>1650</v>
      </c>
    </row>
    <row r="1928" spans="1:14" x14ac:dyDescent="0.25">
      <c r="A1928">
        <v>1461.971763</v>
      </c>
      <c r="B1928" s="1">
        <f>DATE(2014,5,1) + TIME(23,19,20)</f>
        <v>41760.971759259257</v>
      </c>
      <c r="C1928">
        <v>80</v>
      </c>
      <c r="D1928">
        <v>76.881446838000002</v>
      </c>
      <c r="E1928">
        <v>40</v>
      </c>
      <c r="F1928">
        <v>39.931785583</v>
      </c>
      <c r="G1928">
        <v>1341.2689209</v>
      </c>
      <c r="H1928">
        <v>1338.0981445</v>
      </c>
      <c r="I1928">
        <v>1324.171875</v>
      </c>
      <c r="J1928">
        <v>1321.1188964999999</v>
      </c>
      <c r="K1928">
        <v>1650</v>
      </c>
      <c r="L1928">
        <v>0</v>
      </c>
      <c r="M1928">
        <v>0</v>
      </c>
      <c r="N1928">
        <v>1650</v>
      </c>
    </row>
    <row r="1929" spans="1:14" x14ac:dyDescent="0.25">
      <c r="A1929">
        <v>1462.028765</v>
      </c>
      <c r="B1929" s="1">
        <f>DATE(2014,5,2) + TIME(0,41,25)</f>
        <v>41761.028761574074</v>
      </c>
      <c r="C1929">
        <v>80</v>
      </c>
      <c r="D1929">
        <v>77.121192932</v>
      </c>
      <c r="E1929">
        <v>40</v>
      </c>
      <c r="F1929">
        <v>39.929229736000003</v>
      </c>
      <c r="G1929">
        <v>1341.291626</v>
      </c>
      <c r="H1929">
        <v>1338.1166992000001</v>
      </c>
      <c r="I1929">
        <v>1324.171875</v>
      </c>
      <c r="J1929">
        <v>1321.1186522999999</v>
      </c>
      <c r="K1929">
        <v>1650</v>
      </c>
      <c r="L1929">
        <v>0</v>
      </c>
      <c r="M1929">
        <v>0</v>
      </c>
      <c r="N1929">
        <v>1650</v>
      </c>
    </row>
    <row r="1930" spans="1:14" x14ac:dyDescent="0.25">
      <c r="A1930">
        <v>1462.0877780000001</v>
      </c>
      <c r="B1930" s="1">
        <f>DATE(2014,5,2) + TIME(2,6,24)</f>
        <v>41761.087777777779</v>
      </c>
      <c r="C1930">
        <v>80</v>
      </c>
      <c r="D1930">
        <v>77.350318908999995</v>
      </c>
      <c r="E1930">
        <v>40</v>
      </c>
      <c r="F1930">
        <v>39.926609038999999</v>
      </c>
      <c r="G1930">
        <v>1341.3150635</v>
      </c>
      <c r="H1930">
        <v>1338.135376</v>
      </c>
      <c r="I1930">
        <v>1324.1717529</v>
      </c>
      <c r="J1930">
        <v>1321.1182861</v>
      </c>
      <c r="K1930">
        <v>1650</v>
      </c>
      <c r="L1930">
        <v>0</v>
      </c>
      <c r="M1930">
        <v>0</v>
      </c>
      <c r="N1930">
        <v>1650</v>
      </c>
    </row>
    <row r="1931" spans="1:14" x14ac:dyDescent="0.25">
      <c r="A1931">
        <v>1462.148936</v>
      </c>
      <c r="B1931" s="1">
        <f>DATE(2014,5,2) + TIME(3,34,28)</f>
        <v>41761.148935185185</v>
      </c>
      <c r="C1931">
        <v>80</v>
      </c>
      <c r="D1931">
        <v>77.568794249999996</v>
      </c>
      <c r="E1931">
        <v>40</v>
      </c>
      <c r="F1931">
        <v>39.923919677999997</v>
      </c>
      <c r="G1931">
        <v>1341.3388672000001</v>
      </c>
      <c r="H1931">
        <v>1338.1542969</v>
      </c>
      <c r="I1931">
        <v>1324.1717529</v>
      </c>
      <c r="J1931">
        <v>1321.1180420000001</v>
      </c>
      <c r="K1931">
        <v>1650</v>
      </c>
      <c r="L1931">
        <v>0</v>
      </c>
      <c r="M1931">
        <v>0</v>
      </c>
      <c r="N1931">
        <v>1650</v>
      </c>
    </row>
    <row r="1932" spans="1:14" x14ac:dyDescent="0.25">
      <c r="A1932">
        <v>1462.2123939999999</v>
      </c>
      <c r="B1932" s="1">
        <f>DATE(2014,5,2) + TIME(5,5,50)</f>
        <v>41761.212384259263</v>
      </c>
      <c r="C1932">
        <v>80</v>
      </c>
      <c r="D1932">
        <v>77.776618958</v>
      </c>
      <c r="E1932">
        <v>40</v>
      </c>
      <c r="F1932">
        <v>39.921161652000002</v>
      </c>
      <c r="G1932">
        <v>1341.3631591999999</v>
      </c>
      <c r="H1932">
        <v>1338.1733397999999</v>
      </c>
      <c r="I1932">
        <v>1324.1716309000001</v>
      </c>
      <c r="J1932">
        <v>1321.1176757999999</v>
      </c>
      <c r="K1932">
        <v>1650</v>
      </c>
      <c r="L1932">
        <v>0</v>
      </c>
      <c r="M1932">
        <v>0</v>
      </c>
      <c r="N1932">
        <v>1650</v>
      </c>
    </row>
    <row r="1933" spans="1:14" x14ac:dyDescent="0.25">
      <c r="A1933">
        <v>1462.2783219999999</v>
      </c>
      <c r="B1933" s="1">
        <f>DATE(2014,5,2) + TIME(6,40,47)</f>
        <v>41761.278321759259</v>
      </c>
      <c r="C1933">
        <v>80</v>
      </c>
      <c r="D1933">
        <v>77.973831176999994</v>
      </c>
      <c r="E1933">
        <v>40</v>
      </c>
      <c r="F1933">
        <v>39.918327331999997</v>
      </c>
      <c r="G1933">
        <v>1341.3878173999999</v>
      </c>
      <c r="H1933">
        <v>1338.1925048999999</v>
      </c>
      <c r="I1933">
        <v>1324.1715088000001</v>
      </c>
      <c r="J1933">
        <v>1321.1173096</v>
      </c>
      <c r="K1933">
        <v>1650</v>
      </c>
      <c r="L1933">
        <v>0</v>
      </c>
      <c r="M1933">
        <v>0</v>
      </c>
      <c r="N1933">
        <v>1650</v>
      </c>
    </row>
    <row r="1934" spans="1:14" x14ac:dyDescent="0.25">
      <c r="A1934">
        <v>1462.3468780000001</v>
      </c>
      <c r="B1934" s="1">
        <f>DATE(2014,5,2) + TIME(8,19,30)</f>
        <v>41761.346875000003</v>
      </c>
      <c r="C1934">
        <v>80</v>
      </c>
      <c r="D1934">
        <v>78.160369872999993</v>
      </c>
      <c r="E1934">
        <v>40</v>
      </c>
      <c r="F1934">
        <v>39.915409087999997</v>
      </c>
      <c r="G1934">
        <v>1341.4127197</v>
      </c>
      <c r="H1934">
        <v>1338.2116699000001</v>
      </c>
      <c r="I1934">
        <v>1324.1715088000001</v>
      </c>
      <c r="J1934">
        <v>1321.1169434000001</v>
      </c>
      <c r="K1934">
        <v>1650</v>
      </c>
      <c r="L1934">
        <v>0</v>
      </c>
      <c r="M1934">
        <v>0</v>
      </c>
      <c r="N1934">
        <v>1650</v>
      </c>
    </row>
    <row r="1935" spans="1:14" x14ac:dyDescent="0.25">
      <c r="A1935">
        <v>1462.418253</v>
      </c>
      <c r="B1935" s="1">
        <f>DATE(2014,5,2) + TIME(10,2,17)</f>
        <v>41761.418252314812</v>
      </c>
      <c r="C1935">
        <v>80</v>
      </c>
      <c r="D1935">
        <v>78.336273192999997</v>
      </c>
      <c r="E1935">
        <v>40</v>
      </c>
      <c r="F1935">
        <v>39.912406920999999</v>
      </c>
      <c r="G1935">
        <v>1341.4377440999999</v>
      </c>
      <c r="H1935">
        <v>1338.2307129000001</v>
      </c>
      <c r="I1935">
        <v>1324.1713867000001</v>
      </c>
      <c r="J1935">
        <v>1321.1165771000001</v>
      </c>
      <c r="K1935">
        <v>1650</v>
      </c>
      <c r="L1935">
        <v>0</v>
      </c>
      <c r="M1935">
        <v>0</v>
      </c>
      <c r="N1935">
        <v>1650</v>
      </c>
    </row>
    <row r="1936" spans="1:14" x14ac:dyDescent="0.25">
      <c r="A1936">
        <v>1462.492659</v>
      </c>
      <c r="B1936" s="1">
        <f>DATE(2014,5,2) + TIME(11,49,25)</f>
        <v>41761.492650462962</v>
      </c>
      <c r="C1936">
        <v>80</v>
      </c>
      <c r="D1936">
        <v>78.501602172999995</v>
      </c>
      <c r="E1936">
        <v>40</v>
      </c>
      <c r="F1936">
        <v>39.909309387</v>
      </c>
      <c r="G1936">
        <v>1341.4628906</v>
      </c>
      <c r="H1936">
        <v>1338.2497559000001</v>
      </c>
      <c r="I1936">
        <v>1324.1712646000001</v>
      </c>
      <c r="J1936">
        <v>1321.1162108999999</v>
      </c>
      <c r="K1936">
        <v>1650</v>
      </c>
      <c r="L1936">
        <v>0</v>
      </c>
      <c r="M1936">
        <v>0</v>
      </c>
      <c r="N1936">
        <v>1650</v>
      </c>
    </row>
    <row r="1937" spans="1:14" x14ac:dyDescent="0.25">
      <c r="A1937">
        <v>1462.570332</v>
      </c>
      <c r="B1937" s="1">
        <f>DATE(2014,5,2) + TIME(13,41,16)</f>
        <v>41761.570324074077</v>
      </c>
      <c r="C1937">
        <v>80</v>
      </c>
      <c r="D1937">
        <v>78.656440735000004</v>
      </c>
      <c r="E1937">
        <v>40</v>
      </c>
      <c r="F1937">
        <v>39.906112671000002</v>
      </c>
      <c r="G1937">
        <v>1341.4880370999999</v>
      </c>
      <c r="H1937">
        <v>1338.2687988</v>
      </c>
      <c r="I1937">
        <v>1324.1711425999999</v>
      </c>
      <c r="J1937">
        <v>1321.1157227000001</v>
      </c>
      <c r="K1937">
        <v>1650</v>
      </c>
      <c r="L1937">
        <v>0</v>
      </c>
      <c r="M1937">
        <v>0</v>
      </c>
      <c r="N1937">
        <v>1650</v>
      </c>
    </row>
    <row r="1938" spans="1:14" x14ac:dyDescent="0.25">
      <c r="A1938">
        <v>1462.651531</v>
      </c>
      <c r="B1938" s="1">
        <f>DATE(2014,5,2) + TIME(15,38,12)</f>
        <v>41761.65152777778</v>
      </c>
      <c r="C1938">
        <v>80</v>
      </c>
      <c r="D1938">
        <v>78.800903320000003</v>
      </c>
      <c r="E1938">
        <v>40</v>
      </c>
      <c r="F1938">
        <v>39.902805327999999</v>
      </c>
      <c r="G1938">
        <v>1341.5131836</v>
      </c>
      <c r="H1938">
        <v>1338.2874756000001</v>
      </c>
      <c r="I1938">
        <v>1324.1710204999999</v>
      </c>
      <c r="J1938">
        <v>1321.1153564000001</v>
      </c>
      <c r="K1938">
        <v>1650</v>
      </c>
      <c r="L1938">
        <v>0</v>
      </c>
      <c r="M1938">
        <v>0</v>
      </c>
      <c r="N1938">
        <v>1650</v>
      </c>
    </row>
    <row r="1939" spans="1:14" x14ac:dyDescent="0.25">
      <c r="A1939">
        <v>1462.736549</v>
      </c>
      <c r="B1939" s="1">
        <f>DATE(2014,5,2) + TIME(17,40,37)</f>
        <v>41761.736539351848</v>
      </c>
      <c r="C1939">
        <v>80</v>
      </c>
      <c r="D1939">
        <v>78.935112000000004</v>
      </c>
      <c r="E1939">
        <v>40</v>
      </c>
      <c r="F1939">
        <v>39.899383544999999</v>
      </c>
      <c r="G1939">
        <v>1341.5382079999999</v>
      </c>
      <c r="H1939">
        <v>1338.3060303</v>
      </c>
      <c r="I1939">
        <v>1324.1708983999999</v>
      </c>
      <c r="J1939">
        <v>1321.1149902</v>
      </c>
      <c r="K1939">
        <v>1650</v>
      </c>
      <c r="L1939">
        <v>0</v>
      </c>
      <c r="M1939">
        <v>0</v>
      </c>
      <c r="N1939">
        <v>1650</v>
      </c>
    </row>
    <row r="1940" spans="1:14" x14ac:dyDescent="0.25">
      <c r="A1940">
        <v>1462.8257120000001</v>
      </c>
      <c r="B1940" s="1">
        <f>DATE(2014,5,2) + TIME(19,49,1)</f>
        <v>41761.825706018521</v>
      </c>
      <c r="C1940">
        <v>80</v>
      </c>
      <c r="D1940">
        <v>79.059257506999998</v>
      </c>
      <c r="E1940">
        <v>40</v>
      </c>
      <c r="F1940">
        <v>39.895839690999999</v>
      </c>
      <c r="G1940">
        <v>1341.5628661999999</v>
      </c>
      <c r="H1940">
        <v>1338.3243408000001</v>
      </c>
      <c r="I1940">
        <v>1324.1707764</v>
      </c>
      <c r="J1940">
        <v>1321.1145019999999</v>
      </c>
      <c r="K1940">
        <v>1650</v>
      </c>
      <c r="L1940">
        <v>0</v>
      </c>
      <c r="M1940">
        <v>0</v>
      </c>
      <c r="N1940">
        <v>1650</v>
      </c>
    </row>
    <row r="1941" spans="1:14" x14ac:dyDescent="0.25">
      <c r="A1941">
        <v>1462.9193889999999</v>
      </c>
      <c r="B1941" s="1">
        <f>DATE(2014,5,2) + TIME(22,3,55)</f>
        <v>41761.919386574074</v>
      </c>
      <c r="C1941">
        <v>80</v>
      </c>
      <c r="D1941">
        <v>79.173530579000001</v>
      </c>
      <c r="E1941">
        <v>40</v>
      </c>
      <c r="F1941">
        <v>39.892158508000001</v>
      </c>
      <c r="G1941">
        <v>1341.5872803</v>
      </c>
      <c r="H1941">
        <v>1338.3422852000001</v>
      </c>
      <c r="I1941">
        <v>1324.1706543</v>
      </c>
      <c r="J1941">
        <v>1321.1140137</v>
      </c>
      <c r="K1941">
        <v>1650</v>
      </c>
      <c r="L1941">
        <v>0</v>
      </c>
      <c r="M1941">
        <v>0</v>
      </c>
      <c r="N1941">
        <v>1650</v>
      </c>
    </row>
    <row r="1942" spans="1:14" x14ac:dyDescent="0.25">
      <c r="A1942">
        <v>1463.0179969999999</v>
      </c>
      <c r="B1942" s="1">
        <f>DATE(2014,5,3) + TIME(0,25,54)</f>
        <v>41762.01798611111</v>
      </c>
      <c r="C1942">
        <v>80</v>
      </c>
      <c r="D1942">
        <v>79.278175353999998</v>
      </c>
      <c r="E1942">
        <v>40</v>
      </c>
      <c r="F1942">
        <v>39.888328551999997</v>
      </c>
      <c r="G1942">
        <v>1341.6113281</v>
      </c>
      <c r="H1942">
        <v>1338.3598632999999</v>
      </c>
      <c r="I1942">
        <v>1324.1705322</v>
      </c>
      <c r="J1942">
        <v>1321.1136475000001</v>
      </c>
      <c r="K1942">
        <v>1650</v>
      </c>
      <c r="L1942">
        <v>0</v>
      </c>
      <c r="M1942">
        <v>0</v>
      </c>
      <c r="N1942">
        <v>1650</v>
      </c>
    </row>
    <row r="1943" spans="1:14" x14ac:dyDescent="0.25">
      <c r="A1943">
        <v>1463.1220780000001</v>
      </c>
      <c r="B1943" s="1">
        <f>DATE(2014,5,3) + TIME(2,55,47)</f>
        <v>41762.122071759259</v>
      </c>
      <c r="C1943">
        <v>80</v>
      </c>
      <c r="D1943">
        <v>79.373512267999999</v>
      </c>
      <c r="E1943">
        <v>40</v>
      </c>
      <c r="F1943">
        <v>39.884334564</v>
      </c>
      <c r="G1943">
        <v>1341.6347656</v>
      </c>
      <c r="H1943">
        <v>1338.3770752</v>
      </c>
      <c r="I1943">
        <v>1324.1704102000001</v>
      </c>
      <c r="J1943">
        <v>1321.1131591999999</v>
      </c>
      <c r="K1943">
        <v>1650</v>
      </c>
      <c r="L1943">
        <v>0</v>
      </c>
      <c r="M1943">
        <v>0</v>
      </c>
      <c r="N1943">
        <v>1650</v>
      </c>
    </row>
    <row r="1944" spans="1:14" x14ac:dyDescent="0.25">
      <c r="A1944">
        <v>1463.232129</v>
      </c>
      <c r="B1944" s="1">
        <f>DATE(2014,5,3) + TIME(5,34,15)</f>
        <v>41762.232118055559</v>
      </c>
      <c r="C1944">
        <v>80</v>
      </c>
      <c r="D1944">
        <v>79.459785460999996</v>
      </c>
      <c r="E1944">
        <v>40</v>
      </c>
      <c r="F1944">
        <v>39.880165099999999</v>
      </c>
      <c r="G1944">
        <v>1341.6577147999999</v>
      </c>
      <c r="H1944">
        <v>1338.3937988</v>
      </c>
      <c r="I1944">
        <v>1324.1702881000001</v>
      </c>
      <c r="J1944">
        <v>1321.1126709</v>
      </c>
      <c r="K1944">
        <v>1650</v>
      </c>
      <c r="L1944">
        <v>0</v>
      </c>
      <c r="M1944">
        <v>0</v>
      </c>
      <c r="N1944">
        <v>1650</v>
      </c>
    </row>
    <row r="1945" spans="1:14" x14ac:dyDescent="0.25">
      <c r="A1945">
        <v>1463.3487720000001</v>
      </c>
      <c r="B1945" s="1">
        <f>DATE(2014,5,3) + TIME(8,22,13)</f>
        <v>41762.348761574074</v>
      </c>
      <c r="C1945">
        <v>80</v>
      </c>
      <c r="D1945">
        <v>79.537338257000002</v>
      </c>
      <c r="E1945">
        <v>40</v>
      </c>
      <c r="F1945">
        <v>39.875801086000003</v>
      </c>
      <c r="G1945">
        <v>1341.6799315999999</v>
      </c>
      <c r="H1945">
        <v>1338.4100341999999</v>
      </c>
      <c r="I1945">
        <v>1324.1701660000001</v>
      </c>
      <c r="J1945">
        <v>1321.1121826000001</v>
      </c>
      <c r="K1945">
        <v>1650</v>
      </c>
      <c r="L1945">
        <v>0</v>
      </c>
      <c r="M1945">
        <v>0</v>
      </c>
      <c r="N1945">
        <v>1650</v>
      </c>
    </row>
    <row r="1946" spans="1:14" x14ac:dyDescent="0.25">
      <c r="A1946">
        <v>1463.4727399999999</v>
      </c>
      <c r="B1946" s="1">
        <f>DATE(2014,5,3) + TIME(11,20,44)</f>
        <v>41762.472731481481</v>
      </c>
      <c r="C1946">
        <v>80</v>
      </c>
      <c r="D1946">
        <v>79.606536864999995</v>
      </c>
      <c r="E1946">
        <v>40</v>
      </c>
      <c r="F1946">
        <v>39.871223450000002</v>
      </c>
      <c r="G1946">
        <v>1341.7014160000001</v>
      </c>
      <c r="H1946">
        <v>1338.4256591999999</v>
      </c>
      <c r="I1946">
        <v>1324.1699219</v>
      </c>
      <c r="J1946">
        <v>1321.1116943</v>
      </c>
      <c r="K1946">
        <v>1650</v>
      </c>
      <c r="L1946">
        <v>0</v>
      </c>
      <c r="M1946">
        <v>0</v>
      </c>
      <c r="N1946">
        <v>1650</v>
      </c>
    </row>
    <row r="1947" spans="1:14" x14ac:dyDescent="0.25">
      <c r="A1947">
        <v>1463.6037060000001</v>
      </c>
      <c r="B1947" s="1">
        <f>DATE(2014,5,3) + TIME(14,29,20)</f>
        <v>41762.603703703702</v>
      </c>
      <c r="C1947">
        <v>80</v>
      </c>
      <c r="D1947">
        <v>79.667335510000001</v>
      </c>
      <c r="E1947">
        <v>40</v>
      </c>
      <c r="F1947">
        <v>39.866447448999999</v>
      </c>
      <c r="G1947">
        <v>1341.7222899999999</v>
      </c>
      <c r="H1947">
        <v>1338.4407959</v>
      </c>
      <c r="I1947">
        <v>1324.1697998</v>
      </c>
      <c r="J1947">
        <v>1321.1110839999999</v>
      </c>
      <c r="K1947">
        <v>1650</v>
      </c>
      <c r="L1947">
        <v>0</v>
      </c>
      <c r="M1947">
        <v>0</v>
      </c>
      <c r="N1947">
        <v>1650</v>
      </c>
    </row>
    <row r="1948" spans="1:14" x14ac:dyDescent="0.25">
      <c r="A1948">
        <v>1463.7357569999999</v>
      </c>
      <c r="B1948" s="1">
        <f>DATE(2014,5,3) + TIME(17,39,29)</f>
        <v>41762.735752314817</v>
      </c>
      <c r="C1948">
        <v>80</v>
      </c>
      <c r="D1948">
        <v>79.718231200999995</v>
      </c>
      <c r="E1948">
        <v>40</v>
      </c>
      <c r="F1948">
        <v>39.861667633000003</v>
      </c>
      <c r="G1948">
        <v>1341.7425536999999</v>
      </c>
      <c r="H1948">
        <v>1338.4554443</v>
      </c>
      <c r="I1948">
        <v>1324.1696777</v>
      </c>
      <c r="J1948">
        <v>1321.1105957</v>
      </c>
      <c r="K1948">
        <v>1650</v>
      </c>
      <c r="L1948">
        <v>0</v>
      </c>
      <c r="M1948">
        <v>0</v>
      </c>
      <c r="N1948">
        <v>1650</v>
      </c>
    </row>
    <row r="1949" spans="1:14" x14ac:dyDescent="0.25">
      <c r="A1949">
        <v>1463.8695379999999</v>
      </c>
      <c r="B1949" s="1">
        <f>DATE(2014,5,3) + TIME(20,52,8)</f>
        <v>41762.869537037041</v>
      </c>
      <c r="C1949">
        <v>80</v>
      </c>
      <c r="D1949">
        <v>79.760932921999995</v>
      </c>
      <c r="E1949">
        <v>40</v>
      </c>
      <c r="F1949">
        <v>39.856864928999997</v>
      </c>
      <c r="G1949">
        <v>1341.7607422000001</v>
      </c>
      <c r="H1949">
        <v>1338.4686279</v>
      </c>
      <c r="I1949">
        <v>1324.1694336</v>
      </c>
      <c r="J1949">
        <v>1321.1101074000001</v>
      </c>
      <c r="K1949">
        <v>1650</v>
      </c>
      <c r="L1949">
        <v>0</v>
      </c>
      <c r="M1949">
        <v>0</v>
      </c>
      <c r="N1949">
        <v>1650</v>
      </c>
    </row>
    <row r="1950" spans="1:14" x14ac:dyDescent="0.25">
      <c r="A1950">
        <v>1464.005488</v>
      </c>
      <c r="B1950" s="1">
        <f>DATE(2014,5,4) + TIME(0,7,54)</f>
        <v>41763.005486111113</v>
      </c>
      <c r="C1950">
        <v>80</v>
      </c>
      <c r="D1950">
        <v>79.796752929999997</v>
      </c>
      <c r="E1950">
        <v>40</v>
      </c>
      <c r="F1950">
        <v>39.852024077999999</v>
      </c>
      <c r="G1950">
        <v>1341.7770995999999</v>
      </c>
      <c r="H1950">
        <v>1338.4805908000001</v>
      </c>
      <c r="I1950">
        <v>1324.1691894999999</v>
      </c>
      <c r="J1950">
        <v>1321.1094971</v>
      </c>
      <c r="K1950">
        <v>1650</v>
      </c>
      <c r="L1950">
        <v>0</v>
      </c>
      <c r="M1950">
        <v>0</v>
      </c>
      <c r="N1950">
        <v>1650</v>
      </c>
    </row>
    <row r="1951" spans="1:14" x14ac:dyDescent="0.25">
      <c r="A1951">
        <v>1464.144012</v>
      </c>
      <c r="B1951" s="1">
        <f>DATE(2014,5,4) + TIME(3,27,22)</f>
        <v>41763.144004629627</v>
      </c>
      <c r="C1951">
        <v>80</v>
      </c>
      <c r="D1951">
        <v>79.826774596999996</v>
      </c>
      <c r="E1951">
        <v>40</v>
      </c>
      <c r="F1951">
        <v>39.847129821999999</v>
      </c>
      <c r="G1951">
        <v>1341.7917480000001</v>
      </c>
      <c r="H1951">
        <v>1338.4914550999999</v>
      </c>
      <c r="I1951">
        <v>1324.1690673999999</v>
      </c>
      <c r="J1951">
        <v>1321.1090088000001</v>
      </c>
      <c r="K1951">
        <v>1650</v>
      </c>
      <c r="L1951">
        <v>0</v>
      </c>
      <c r="M1951">
        <v>0</v>
      </c>
      <c r="N1951">
        <v>1650</v>
      </c>
    </row>
    <row r="1952" spans="1:14" x14ac:dyDescent="0.25">
      <c r="A1952">
        <v>1464.2855320000001</v>
      </c>
      <c r="B1952" s="1">
        <f>DATE(2014,5,4) + TIME(6,51,9)</f>
        <v>41763.285520833335</v>
      </c>
      <c r="C1952">
        <v>80</v>
      </c>
      <c r="D1952">
        <v>79.851905822999996</v>
      </c>
      <c r="E1952">
        <v>40</v>
      </c>
      <c r="F1952">
        <v>39.842174530000001</v>
      </c>
      <c r="G1952">
        <v>1341.8048096</v>
      </c>
      <c r="H1952">
        <v>1338.5012207</v>
      </c>
      <c r="I1952">
        <v>1324.1688231999999</v>
      </c>
      <c r="J1952">
        <v>1321.1085204999999</v>
      </c>
      <c r="K1952">
        <v>1650</v>
      </c>
      <c r="L1952">
        <v>0</v>
      </c>
      <c r="M1952">
        <v>0</v>
      </c>
      <c r="N1952">
        <v>1650</v>
      </c>
    </row>
    <row r="1953" spans="1:14" x14ac:dyDescent="0.25">
      <c r="A1953">
        <v>1464.4305019999999</v>
      </c>
      <c r="B1953" s="1">
        <f>DATE(2014,5,4) + TIME(10,19,55)</f>
        <v>41763.430497685185</v>
      </c>
      <c r="C1953">
        <v>80</v>
      </c>
      <c r="D1953">
        <v>79.872909546000002</v>
      </c>
      <c r="E1953">
        <v>40</v>
      </c>
      <c r="F1953">
        <v>39.837139129999997</v>
      </c>
      <c r="G1953">
        <v>1341.8164062000001</v>
      </c>
      <c r="H1953">
        <v>1338.5100098</v>
      </c>
      <c r="I1953">
        <v>1324.1687012</v>
      </c>
      <c r="J1953">
        <v>1321.1079102000001</v>
      </c>
      <c r="K1953">
        <v>1650</v>
      </c>
      <c r="L1953">
        <v>0</v>
      </c>
      <c r="M1953">
        <v>0</v>
      </c>
      <c r="N1953">
        <v>1650</v>
      </c>
    </row>
    <row r="1954" spans="1:14" x14ac:dyDescent="0.25">
      <c r="A1954">
        <v>1464.5789990000001</v>
      </c>
      <c r="B1954" s="1">
        <f>DATE(2014,5,4) + TIME(13,53,45)</f>
        <v>41763.578993055555</v>
      </c>
      <c r="C1954">
        <v>80</v>
      </c>
      <c r="D1954">
        <v>79.890388489000003</v>
      </c>
      <c r="E1954">
        <v>40</v>
      </c>
      <c r="F1954">
        <v>39.832023620999998</v>
      </c>
      <c r="G1954">
        <v>1341.8267822</v>
      </c>
      <c r="H1954">
        <v>1338.5179443</v>
      </c>
      <c r="I1954">
        <v>1324.168457</v>
      </c>
      <c r="J1954">
        <v>1321.1074219</v>
      </c>
      <c r="K1954">
        <v>1650</v>
      </c>
      <c r="L1954">
        <v>0</v>
      </c>
      <c r="M1954">
        <v>0</v>
      </c>
      <c r="N1954">
        <v>1650</v>
      </c>
    </row>
    <row r="1955" spans="1:14" x14ac:dyDescent="0.25">
      <c r="A1955">
        <v>1464.7294460000001</v>
      </c>
      <c r="B1955" s="1">
        <f>DATE(2014,5,4) + TIME(17,30,24)</f>
        <v>41763.729444444441</v>
      </c>
      <c r="C1955">
        <v>80</v>
      </c>
      <c r="D1955">
        <v>79.904739379999995</v>
      </c>
      <c r="E1955">
        <v>40</v>
      </c>
      <c r="F1955">
        <v>39.826877594000003</v>
      </c>
      <c r="G1955">
        <v>1341.8358154</v>
      </c>
      <c r="H1955">
        <v>1338.5250243999999</v>
      </c>
      <c r="I1955">
        <v>1324.1682129000001</v>
      </c>
      <c r="J1955">
        <v>1321.1069336</v>
      </c>
      <c r="K1955">
        <v>1650</v>
      </c>
      <c r="L1955">
        <v>0</v>
      </c>
      <c r="M1955">
        <v>0</v>
      </c>
      <c r="N1955">
        <v>1650</v>
      </c>
    </row>
    <row r="1956" spans="1:14" x14ac:dyDescent="0.25">
      <c r="A1956">
        <v>1464.8822230000001</v>
      </c>
      <c r="B1956" s="1">
        <f>DATE(2014,5,4) + TIME(21,10,24)</f>
        <v>41763.882222222222</v>
      </c>
      <c r="C1956">
        <v>80</v>
      </c>
      <c r="D1956">
        <v>79.916526794000006</v>
      </c>
      <c r="E1956">
        <v>40</v>
      </c>
      <c r="F1956">
        <v>39.821685791</v>
      </c>
      <c r="G1956">
        <v>1341.8436279</v>
      </c>
      <c r="H1956">
        <v>1338.53125</v>
      </c>
      <c r="I1956">
        <v>1324.1680908000001</v>
      </c>
      <c r="J1956">
        <v>1321.1063231999999</v>
      </c>
      <c r="K1956">
        <v>1650</v>
      </c>
      <c r="L1956">
        <v>0</v>
      </c>
      <c r="M1956">
        <v>0</v>
      </c>
      <c r="N1956">
        <v>1650</v>
      </c>
    </row>
    <row r="1957" spans="1:14" x14ac:dyDescent="0.25">
      <c r="A1957">
        <v>1465.0376759999999</v>
      </c>
      <c r="B1957" s="1">
        <f>DATE(2014,5,5) + TIME(0,54,15)</f>
        <v>41764.037673611114</v>
      </c>
      <c r="C1957">
        <v>80</v>
      </c>
      <c r="D1957">
        <v>79.926193237000007</v>
      </c>
      <c r="E1957">
        <v>40</v>
      </c>
      <c r="F1957">
        <v>39.816440581999998</v>
      </c>
      <c r="G1957">
        <v>1341.8503418</v>
      </c>
      <c r="H1957">
        <v>1338.5367432</v>
      </c>
      <c r="I1957">
        <v>1324.1678466999999</v>
      </c>
      <c r="J1957">
        <v>1321.1058350000001</v>
      </c>
      <c r="K1957">
        <v>1650</v>
      </c>
      <c r="L1957">
        <v>0</v>
      </c>
      <c r="M1957">
        <v>0</v>
      </c>
      <c r="N1957">
        <v>1650</v>
      </c>
    </row>
    <row r="1958" spans="1:14" x14ac:dyDescent="0.25">
      <c r="A1958">
        <v>1465.1960819999999</v>
      </c>
      <c r="B1958" s="1">
        <f>DATE(2014,5,5) + TIME(4,42,21)</f>
        <v>41764.196076388886</v>
      </c>
      <c r="C1958">
        <v>80</v>
      </c>
      <c r="D1958">
        <v>79.934112549000005</v>
      </c>
      <c r="E1958">
        <v>40</v>
      </c>
      <c r="F1958">
        <v>39.811138153000002</v>
      </c>
      <c r="G1958">
        <v>1341.8558350000001</v>
      </c>
      <c r="H1958">
        <v>1338.5415039</v>
      </c>
      <c r="I1958">
        <v>1324.1676024999999</v>
      </c>
      <c r="J1958">
        <v>1321.1053466999999</v>
      </c>
      <c r="K1958">
        <v>1650</v>
      </c>
      <c r="L1958">
        <v>0</v>
      </c>
      <c r="M1958">
        <v>0</v>
      </c>
      <c r="N1958">
        <v>1650</v>
      </c>
    </row>
    <row r="1959" spans="1:14" x14ac:dyDescent="0.25">
      <c r="A1959">
        <v>1465.3577909999999</v>
      </c>
      <c r="B1959" s="1">
        <f>DATE(2014,5,5) + TIME(8,35,13)</f>
        <v>41764.357789351852</v>
      </c>
      <c r="C1959">
        <v>80</v>
      </c>
      <c r="D1959">
        <v>79.940589904999996</v>
      </c>
      <c r="E1959">
        <v>40</v>
      </c>
      <c r="F1959">
        <v>39.805759430000002</v>
      </c>
      <c r="G1959">
        <v>1341.8603516000001</v>
      </c>
      <c r="H1959">
        <v>1338.5457764</v>
      </c>
      <c r="I1959">
        <v>1324.1673584</v>
      </c>
      <c r="J1959">
        <v>1321.1047363</v>
      </c>
      <c r="K1959">
        <v>1650</v>
      </c>
      <c r="L1959">
        <v>0</v>
      </c>
      <c r="M1959">
        <v>0</v>
      </c>
      <c r="N1959">
        <v>1650</v>
      </c>
    </row>
    <row r="1960" spans="1:14" x14ac:dyDescent="0.25">
      <c r="A1960">
        <v>1465.5231779999999</v>
      </c>
      <c r="B1960" s="1">
        <f>DATE(2014,5,5) + TIME(12,33,22)</f>
        <v>41764.5231712963</v>
      </c>
      <c r="C1960">
        <v>80</v>
      </c>
      <c r="D1960">
        <v>79.945884704999997</v>
      </c>
      <c r="E1960">
        <v>40</v>
      </c>
      <c r="F1960">
        <v>39.800304412999999</v>
      </c>
      <c r="G1960">
        <v>1341.8640137</v>
      </c>
      <c r="H1960">
        <v>1338.5493164</v>
      </c>
      <c r="I1960">
        <v>1324.1671143000001</v>
      </c>
      <c r="J1960">
        <v>1321.1042480000001</v>
      </c>
      <c r="K1960">
        <v>1650</v>
      </c>
      <c r="L1960">
        <v>0</v>
      </c>
      <c r="M1960">
        <v>0</v>
      </c>
      <c r="N1960">
        <v>1650</v>
      </c>
    </row>
    <row r="1961" spans="1:14" x14ac:dyDescent="0.25">
      <c r="A1961">
        <v>1465.692646</v>
      </c>
      <c r="B1961" s="1">
        <f>DATE(2014,5,5) + TIME(16,37,24)</f>
        <v>41764.69263888889</v>
      </c>
      <c r="C1961">
        <v>80</v>
      </c>
      <c r="D1961">
        <v>79.950195312000005</v>
      </c>
      <c r="E1961">
        <v>40</v>
      </c>
      <c r="F1961">
        <v>39.794754028</v>
      </c>
      <c r="G1961">
        <v>1341.8668213000001</v>
      </c>
      <c r="H1961">
        <v>1338.5522461</v>
      </c>
      <c r="I1961">
        <v>1324.1669922000001</v>
      </c>
      <c r="J1961">
        <v>1321.1037598</v>
      </c>
      <c r="K1961">
        <v>1650</v>
      </c>
      <c r="L1961">
        <v>0</v>
      </c>
      <c r="M1961">
        <v>0</v>
      </c>
      <c r="N1961">
        <v>1650</v>
      </c>
    </row>
    <row r="1962" spans="1:14" x14ac:dyDescent="0.25">
      <c r="A1962">
        <v>1465.8666780000001</v>
      </c>
      <c r="B1962" s="1">
        <f>DATE(2014,5,5) + TIME(20,48,0)</f>
        <v>41764.866666666669</v>
      </c>
      <c r="C1962">
        <v>80</v>
      </c>
      <c r="D1962">
        <v>79.953704834000007</v>
      </c>
      <c r="E1962">
        <v>40</v>
      </c>
      <c r="F1962">
        <v>39.789096831999998</v>
      </c>
      <c r="G1962">
        <v>1341.8687743999999</v>
      </c>
      <c r="H1962">
        <v>1338.5548096</v>
      </c>
      <c r="I1962">
        <v>1324.1667480000001</v>
      </c>
      <c r="J1962">
        <v>1321.1031493999999</v>
      </c>
      <c r="K1962">
        <v>1650</v>
      </c>
      <c r="L1962">
        <v>0</v>
      </c>
      <c r="M1962">
        <v>0</v>
      </c>
      <c r="N1962">
        <v>1650</v>
      </c>
    </row>
    <row r="1963" spans="1:14" x14ac:dyDescent="0.25">
      <c r="A1963">
        <v>1466.0459490000001</v>
      </c>
      <c r="B1963" s="1">
        <f>DATE(2014,5,6) + TIME(1,6,9)</f>
        <v>41765.045937499999</v>
      </c>
      <c r="C1963">
        <v>80</v>
      </c>
      <c r="D1963">
        <v>79.956558228000006</v>
      </c>
      <c r="E1963">
        <v>40</v>
      </c>
      <c r="F1963">
        <v>39.783313751000001</v>
      </c>
      <c r="G1963">
        <v>1341.8698730000001</v>
      </c>
      <c r="H1963">
        <v>1338.5567627</v>
      </c>
      <c r="I1963">
        <v>1324.1665039</v>
      </c>
      <c r="J1963">
        <v>1321.1025391000001</v>
      </c>
      <c r="K1963">
        <v>1650</v>
      </c>
      <c r="L1963">
        <v>0</v>
      </c>
      <c r="M1963">
        <v>0</v>
      </c>
      <c r="N1963">
        <v>1650</v>
      </c>
    </row>
    <row r="1964" spans="1:14" x14ac:dyDescent="0.25">
      <c r="A1964">
        <v>1466.231041</v>
      </c>
      <c r="B1964" s="1">
        <f>DATE(2014,5,6) + TIME(5,32,41)</f>
        <v>41765.231030092589</v>
      </c>
      <c r="C1964">
        <v>80</v>
      </c>
      <c r="D1964">
        <v>79.958869934000006</v>
      </c>
      <c r="E1964">
        <v>40</v>
      </c>
      <c r="F1964">
        <v>39.777393341</v>
      </c>
      <c r="G1964">
        <v>1341.8702393000001</v>
      </c>
      <c r="H1964">
        <v>1338.5583495999999</v>
      </c>
      <c r="I1964">
        <v>1324.1661377</v>
      </c>
      <c r="J1964">
        <v>1321.1020507999999</v>
      </c>
      <c r="K1964">
        <v>1650</v>
      </c>
      <c r="L1964">
        <v>0</v>
      </c>
      <c r="M1964">
        <v>0</v>
      </c>
      <c r="N1964">
        <v>1650</v>
      </c>
    </row>
    <row r="1965" spans="1:14" x14ac:dyDescent="0.25">
      <c r="A1965">
        <v>1466.4226100000001</v>
      </c>
      <c r="B1965" s="1">
        <f>DATE(2014,5,6) + TIME(10,8,33)</f>
        <v>41765.42260416667</v>
      </c>
      <c r="C1965">
        <v>80</v>
      </c>
      <c r="D1965">
        <v>79.960746764999996</v>
      </c>
      <c r="E1965">
        <v>40</v>
      </c>
      <c r="F1965">
        <v>39.771320342999999</v>
      </c>
      <c r="G1965">
        <v>1341.8698730000001</v>
      </c>
      <c r="H1965">
        <v>1338.5594481999999</v>
      </c>
      <c r="I1965">
        <v>1324.1658935999999</v>
      </c>
      <c r="J1965">
        <v>1321.1014404</v>
      </c>
      <c r="K1965">
        <v>1650</v>
      </c>
      <c r="L1965">
        <v>0</v>
      </c>
      <c r="M1965">
        <v>0</v>
      </c>
      <c r="N1965">
        <v>1650</v>
      </c>
    </row>
    <row r="1966" spans="1:14" x14ac:dyDescent="0.25">
      <c r="A1966">
        <v>1466.6213969999999</v>
      </c>
      <c r="B1966" s="1">
        <f>DATE(2014,5,6) + TIME(14,54,48)</f>
        <v>41765.621388888889</v>
      </c>
      <c r="C1966">
        <v>80</v>
      </c>
      <c r="D1966">
        <v>79.962249756000006</v>
      </c>
      <c r="E1966">
        <v>40</v>
      </c>
      <c r="F1966">
        <v>39.765068053999997</v>
      </c>
      <c r="G1966">
        <v>1341.8688964999999</v>
      </c>
      <c r="H1966">
        <v>1338.5601807</v>
      </c>
      <c r="I1966">
        <v>1324.1656493999999</v>
      </c>
      <c r="J1966">
        <v>1321.1008300999999</v>
      </c>
      <c r="K1966">
        <v>1650</v>
      </c>
      <c r="L1966">
        <v>0</v>
      </c>
      <c r="M1966">
        <v>0</v>
      </c>
      <c r="N1966">
        <v>1650</v>
      </c>
    </row>
    <row r="1967" spans="1:14" x14ac:dyDescent="0.25">
      <c r="A1967">
        <v>1466.8283389999999</v>
      </c>
      <c r="B1967" s="1">
        <f>DATE(2014,5,6) + TIME(19,52,48)</f>
        <v>41765.828333333331</v>
      </c>
      <c r="C1967">
        <v>80</v>
      </c>
      <c r="D1967">
        <v>79.963470459000007</v>
      </c>
      <c r="E1967">
        <v>40</v>
      </c>
      <c r="F1967">
        <v>39.758617401000002</v>
      </c>
      <c r="G1967">
        <v>1341.8673096</v>
      </c>
      <c r="H1967">
        <v>1338.5605469</v>
      </c>
      <c r="I1967">
        <v>1324.1652832</v>
      </c>
      <c r="J1967">
        <v>1321.1002197</v>
      </c>
      <c r="K1967">
        <v>1650</v>
      </c>
      <c r="L1967">
        <v>0</v>
      </c>
      <c r="M1967">
        <v>0</v>
      </c>
      <c r="N1967">
        <v>1650</v>
      </c>
    </row>
    <row r="1968" spans="1:14" x14ac:dyDescent="0.25">
      <c r="A1968">
        <v>1467.040021</v>
      </c>
      <c r="B1968" s="1">
        <f>DATE(2014,5,7) + TIME(0,57,37)</f>
        <v>41766.040011574078</v>
      </c>
      <c r="C1968">
        <v>80</v>
      </c>
      <c r="D1968">
        <v>79.964424132999994</v>
      </c>
      <c r="E1968">
        <v>40</v>
      </c>
      <c r="F1968">
        <v>39.752063751000001</v>
      </c>
      <c r="G1968">
        <v>1341.8649902</v>
      </c>
      <c r="H1968">
        <v>1338.5605469</v>
      </c>
      <c r="I1968">
        <v>1324.1650391000001</v>
      </c>
      <c r="J1968">
        <v>1321.0994873</v>
      </c>
      <c r="K1968">
        <v>1650</v>
      </c>
      <c r="L1968">
        <v>0</v>
      </c>
      <c r="M1968">
        <v>0</v>
      </c>
      <c r="N1968">
        <v>1650</v>
      </c>
    </row>
    <row r="1969" spans="1:14" x14ac:dyDescent="0.25">
      <c r="A1969">
        <v>1467.256736</v>
      </c>
      <c r="B1969" s="1">
        <f>DATE(2014,5,7) + TIME(6,9,41)</f>
        <v>41766.256724537037</v>
      </c>
      <c r="C1969">
        <v>80</v>
      </c>
      <c r="D1969">
        <v>79.965179442999997</v>
      </c>
      <c r="E1969">
        <v>40</v>
      </c>
      <c r="F1969">
        <v>39.74539566</v>
      </c>
      <c r="G1969">
        <v>1341.8623047000001</v>
      </c>
      <c r="H1969">
        <v>1338.5603027</v>
      </c>
      <c r="I1969">
        <v>1324.1646728999999</v>
      </c>
      <c r="J1969">
        <v>1321.0988769999999</v>
      </c>
      <c r="K1969">
        <v>1650</v>
      </c>
      <c r="L1969">
        <v>0</v>
      </c>
      <c r="M1969">
        <v>0</v>
      </c>
      <c r="N1969">
        <v>1650</v>
      </c>
    </row>
    <row r="1970" spans="1:14" x14ac:dyDescent="0.25">
      <c r="A1970">
        <v>1467.4789430000001</v>
      </c>
      <c r="B1970" s="1">
        <f>DATE(2014,5,7) + TIME(11,29,40)</f>
        <v>41766.478935185187</v>
      </c>
      <c r="C1970">
        <v>80</v>
      </c>
      <c r="D1970">
        <v>79.965782165999997</v>
      </c>
      <c r="E1970">
        <v>40</v>
      </c>
      <c r="F1970">
        <v>39.738605499000002</v>
      </c>
      <c r="G1970">
        <v>1341.8590088000001</v>
      </c>
      <c r="H1970">
        <v>1338.5596923999999</v>
      </c>
      <c r="I1970">
        <v>1324.1644286999999</v>
      </c>
      <c r="J1970">
        <v>1321.0981445</v>
      </c>
      <c r="K1970">
        <v>1650</v>
      </c>
      <c r="L1970">
        <v>0</v>
      </c>
      <c r="M1970">
        <v>0</v>
      </c>
      <c r="N1970">
        <v>1650</v>
      </c>
    </row>
    <row r="1971" spans="1:14" x14ac:dyDescent="0.25">
      <c r="A1971">
        <v>1467.707134</v>
      </c>
      <c r="B1971" s="1">
        <f>DATE(2014,5,7) + TIME(16,58,16)</f>
        <v>41766.707129629627</v>
      </c>
      <c r="C1971">
        <v>80</v>
      </c>
      <c r="D1971">
        <v>79.966247558999996</v>
      </c>
      <c r="E1971">
        <v>40</v>
      </c>
      <c r="F1971">
        <v>39.731681823999999</v>
      </c>
      <c r="G1971">
        <v>1341.8552245999999</v>
      </c>
      <c r="H1971">
        <v>1338.5587158000001</v>
      </c>
      <c r="I1971">
        <v>1324.1640625</v>
      </c>
      <c r="J1971">
        <v>1321.0975341999999</v>
      </c>
      <c r="K1971">
        <v>1650</v>
      </c>
      <c r="L1971">
        <v>0</v>
      </c>
      <c r="M1971">
        <v>0</v>
      </c>
      <c r="N1971">
        <v>1650</v>
      </c>
    </row>
    <row r="1972" spans="1:14" x14ac:dyDescent="0.25">
      <c r="A1972">
        <v>1467.9418599999999</v>
      </c>
      <c r="B1972" s="1">
        <f>DATE(2014,5,7) + TIME(22,36,16)</f>
        <v>41766.941851851851</v>
      </c>
      <c r="C1972">
        <v>80</v>
      </c>
      <c r="D1972">
        <v>79.966621399000005</v>
      </c>
      <c r="E1972">
        <v>40</v>
      </c>
      <c r="F1972">
        <v>39.724609375</v>
      </c>
      <c r="G1972">
        <v>1341.8509521000001</v>
      </c>
      <c r="H1972">
        <v>1338.5576172000001</v>
      </c>
      <c r="I1972">
        <v>1324.1636963000001</v>
      </c>
      <c r="J1972">
        <v>1321.0968018000001</v>
      </c>
      <c r="K1972">
        <v>1650</v>
      </c>
      <c r="L1972">
        <v>0</v>
      </c>
      <c r="M1972">
        <v>0</v>
      </c>
      <c r="N1972">
        <v>1650</v>
      </c>
    </row>
    <row r="1973" spans="1:14" x14ac:dyDescent="0.25">
      <c r="A1973">
        <v>1468.183736</v>
      </c>
      <c r="B1973" s="1">
        <f>DATE(2014,5,8) + TIME(4,24,34)</f>
        <v>41767.18372685185</v>
      </c>
      <c r="C1973">
        <v>80</v>
      </c>
      <c r="D1973">
        <v>79.966911315999994</v>
      </c>
      <c r="E1973">
        <v>40</v>
      </c>
      <c r="F1973">
        <v>39.717380523999999</v>
      </c>
      <c r="G1973">
        <v>1341.8463135</v>
      </c>
      <c r="H1973">
        <v>1338.5561522999999</v>
      </c>
      <c r="I1973">
        <v>1324.1633300999999</v>
      </c>
      <c r="J1973">
        <v>1321.0960693</v>
      </c>
      <c r="K1973">
        <v>1650</v>
      </c>
      <c r="L1973">
        <v>0</v>
      </c>
      <c r="M1973">
        <v>0</v>
      </c>
      <c r="N1973">
        <v>1650</v>
      </c>
    </row>
    <row r="1974" spans="1:14" x14ac:dyDescent="0.25">
      <c r="A1974">
        <v>1468.4334449999999</v>
      </c>
      <c r="B1974" s="1">
        <f>DATE(2014,5,8) + TIME(10,24,9)</f>
        <v>41767.433437500003</v>
      </c>
      <c r="C1974">
        <v>80</v>
      </c>
      <c r="D1974">
        <v>79.967147827000005</v>
      </c>
      <c r="E1974">
        <v>40</v>
      </c>
      <c r="F1974">
        <v>39.709976196</v>
      </c>
      <c r="G1974">
        <v>1341.8411865</v>
      </c>
      <c r="H1974">
        <v>1338.5545654</v>
      </c>
      <c r="I1974">
        <v>1324.1629639</v>
      </c>
      <c r="J1974">
        <v>1321.0953368999999</v>
      </c>
      <c r="K1974">
        <v>1650</v>
      </c>
      <c r="L1974">
        <v>0</v>
      </c>
      <c r="M1974">
        <v>0</v>
      </c>
      <c r="N1974">
        <v>1650</v>
      </c>
    </row>
    <row r="1975" spans="1:14" x14ac:dyDescent="0.25">
      <c r="A1975">
        <v>1468.692063</v>
      </c>
      <c r="B1975" s="1">
        <f>DATE(2014,5,8) + TIME(16,36,34)</f>
        <v>41767.692060185182</v>
      </c>
      <c r="C1975">
        <v>80</v>
      </c>
      <c r="D1975">
        <v>79.967323303000001</v>
      </c>
      <c r="E1975">
        <v>40</v>
      </c>
      <c r="F1975">
        <v>39.702373504999997</v>
      </c>
      <c r="G1975">
        <v>1341.8356934000001</v>
      </c>
      <c r="H1975">
        <v>1338.5526123</v>
      </c>
      <c r="I1975">
        <v>1324.1625977000001</v>
      </c>
      <c r="J1975">
        <v>1321.0944824000001</v>
      </c>
      <c r="K1975">
        <v>1650</v>
      </c>
      <c r="L1975">
        <v>0</v>
      </c>
      <c r="M1975">
        <v>0</v>
      </c>
      <c r="N1975">
        <v>1650</v>
      </c>
    </row>
    <row r="1976" spans="1:14" x14ac:dyDescent="0.25">
      <c r="A1976">
        <v>1468.9608639999999</v>
      </c>
      <c r="B1976" s="1">
        <f>DATE(2014,5,8) + TIME(23,3,38)</f>
        <v>41767.960856481484</v>
      </c>
      <c r="C1976">
        <v>80</v>
      </c>
      <c r="D1976">
        <v>79.967460631999998</v>
      </c>
      <c r="E1976">
        <v>40</v>
      </c>
      <c r="F1976">
        <v>39.694545746000003</v>
      </c>
      <c r="G1976">
        <v>1341.8297118999999</v>
      </c>
      <c r="H1976">
        <v>1338.5505370999999</v>
      </c>
      <c r="I1976">
        <v>1324.1622314000001</v>
      </c>
      <c r="J1976">
        <v>1321.09375</v>
      </c>
      <c r="K1976">
        <v>1650</v>
      </c>
      <c r="L1976">
        <v>0</v>
      </c>
      <c r="M1976">
        <v>0</v>
      </c>
      <c r="N1976">
        <v>1650</v>
      </c>
    </row>
    <row r="1977" spans="1:14" x14ac:dyDescent="0.25">
      <c r="A1977">
        <v>1469.2399800000001</v>
      </c>
      <c r="B1977" s="1">
        <f>DATE(2014,5,9) + TIME(5,45,34)</f>
        <v>41768.239976851852</v>
      </c>
      <c r="C1977">
        <v>80</v>
      </c>
      <c r="D1977">
        <v>79.967575073000006</v>
      </c>
      <c r="E1977">
        <v>40</v>
      </c>
      <c r="F1977">
        <v>39.686485290999997</v>
      </c>
      <c r="G1977">
        <v>1341.8232422000001</v>
      </c>
      <c r="H1977">
        <v>1338.5482178</v>
      </c>
      <c r="I1977">
        <v>1324.1618652</v>
      </c>
      <c r="J1977">
        <v>1321.0928954999999</v>
      </c>
      <c r="K1977">
        <v>1650</v>
      </c>
      <c r="L1977">
        <v>0</v>
      </c>
      <c r="M1977">
        <v>0</v>
      </c>
      <c r="N1977">
        <v>1650</v>
      </c>
    </row>
    <row r="1978" spans="1:14" x14ac:dyDescent="0.25">
      <c r="A1978">
        <v>1469.5225150000001</v>
      </c>
      <c r="B1978" s="1">
        <f>DATE(2014,5,9) + TIME(12,32,25)</f>
        <v>41768.522511574076</v>
      </c>
      <c r="C1978">
        <v>80</v>
      </c>
      <c r="D1978">
        <v>79.967651367000002</v>
      </c>
      <c r="E1978">
        <v>40</v>
      </c>
      <c r="F1978">
        <v>39.678359985</v>
      </c>
      <c r="G1978">
        <v>1341.8165283000001</v>
      </c>
      <c r="H1978">
        <v>1338.5456543</v>
      </c>
      <c r="I1978">
        <v>1324.1613769999999</v>
      </c>
      <c r="J1978">
        <v>1321.0920410000001</v>
      </c>
      <c r="K1978">
        <v>1650</v>
      </c>
      <c r="L1978">
        <v>0</v>
      </c>
      <c r="M1978">
        <v>0</v>
      </c>
      <c r="N1978">
        <v>1650</v>
      </c>
    </row>
    <row r="1979" spans="1:14" x14ac:dyDescent="0.25">
      <c r="A1979">
        <v>1469.807114</v>
      </c>
      <c r="B1979" s="1">
        <f>DATE(2014,5,9) + TIME(19,22,14)</f>
        <v>41768.807106481479</v>
      </c>
      <c r="C1979">
        <v>80</v>
      </c>
      <c r="D1979">
        <v>79.967704772999994</v>
      </c>
      <c r="E1979">
        <v>40</v>
      </c>
      <c r="F1979">
        <v>39.670207976999997</v>
      </c>
      <c r="G1979">
        <v>1341.8095702999999</v>
      </c>
      <c r="H1979">
        <v>1338.5429687999999</v>
      </c>
      <c r="I1979">
        <v>1324.1610106999999</v>
      </c>
      <c r="J1979">
        <v>1321.0911865</v>
      </c>
      <c r="K1979">
        <v>1650</v>
      </c>
      <c r="L1979">
        <v>0</v>
      </c>
      <c r="M1979">
        <v>0</v>
      </c>
      <c r="N1979">
        <v>1650</v>
      </c>
    </row>
    <row r="1980" spans="1:14" x14ac:dyDescent="0.25">
      <c r="A1980">
        <v>1470.0944910000001</v>
      </c>
      <c r="B1980" s="1">
        <f>DATE(2014,5,10) + TIME(2,16,4)</f>
        <v>41769.094490740739</v>
      </c>
      <c r="C1980">
        <v>80</v>
      </c>
      <c r="D1980">
        <v>79.967742920000006</v>
      </c>
      <c r="E1980">
        <v>40</v>
      </c>
      <c r="F1980">
        <v>39.662017822000003</v>
      </c>
      <c r="G1980">
        <v>1341.8023682</v>
      </c>
      <c r="H1980">
        <v>1338.5402832</v>
      </c>
      <c r="I1980">
        <v>1324.1605225000001</v>
      </c>
      <c r="J1980">
        <v>1321.0902100000001</v>
      </c>
      <c r="K1980">
        <v>1650</v>
      </c>
      <c r="L1980">
        <v>0</v>
      </c>
      <c r="M1980">
        <v>0</v>
      </c>
      <c r="N1980">
        <v>1650</v>
      </c>
    </row>
    <row r="1981" spans="1:14" x14ac:dyDescent="0.25">
      <c r="A1981">
        <v>1470.3853059999999</v>
      </c>
      <c r="B1981" s="1">
        <f>DATE(2014,5,10) + TIME(9,14,50)</f>
        <v>41769.385300925926</v>
      </c>
      <c r="C1981">
        <v>80</v>
      </c>
      <c r="D1981">
        <v>79.967773437999995</v>
      </c>
      <c r="E1981">
        <v>40</v>
      </c>
      <c r="F1981">
        <v>39.653778076000002</v>
      </c>
      <c r="G1981">
        <v>1341.7951660000001</v>
      </c>
      <c r="H1981">
        <v>1338.5373535000001</v>
      </c>
      <c r="I1981">
        <v>1324.1600341999999</v>
      </c>
      <c r="J1981">
        <v>1321.0893555</v>
      </c>
      <c r="K1981">
        <v>1650</v>
      </c>
      <c r="L1981">
        <v>0</v>
      </c>
      <c r="M1981">
        <v>0</v>
      </c>
      <c r="N1981">
        <v>1650</v>
      </c>
    </row>
    <row r="1982" spans="1:14" x14ac:dyDescent="0.25">
      <c r="A1982">
        <v>1470.68028</v>
      </c>
      <c r="B1982" s="1">
        <f>DATE(2014,5,10) + TIME(16,19,36)</f>
        <v>41769.680277777778</v>
      </c>
      <c r="C1982">
        <v>80</v>
      </c>
      <c r="D1982">
        <v>79.967781067000004</v>
      </c>
      <c r="E1982">
        <v>40</v>
      </c>
      <c r="F1982">
        <v>39.645477294999999</v>
      </c>
      <c r="G1982">
        <v>1341.7878418</v>
      </c>
      <c r="H1982">
        <v>1338.5345459</v>
      </c>
      <c r="I1982">
        <v>1324.1595459</v>
      </c>
      <c r="J1982">
        <v>1321.088501</v>
      </c>
      <c r="K1982">
        <v>1650</v>
      </c>
      <c r="L1982">
        <v>0</v>
      </c>
      <c r="M1982">
        <v>0</v>
      </c>
      <c r="N1982">
        <v>1650</v>
      </c>
    </row>
    <row r="1983" spans="1:14" x14ac:dyDescent="0.25">
      <c r="A1983">
        <v>1470.9801560000001</v>
      </c>
      <c r="B1983" s="1">
        <f>DATE(2014,5,10) + TIME(23,31,25)</f>
        <v>41769.980150462965</v>
      </c>
      <c r="C1983">
        <v>80</v>
      </c>
      <c r="D1983">
        <v>79.967788696</v>
      </c>
      <c r="E1983">
        <v>40</v>
      </c>
      <c r="F1983">
        <v>39.637096405000001</v>
      </c>
      <c r="G1983">
        <v>1341.7802733999999</v>
      </c>
      <c r="H1983">
        <v>1338.5314940999999</v>
      </c>
      <c r="I1983">
        <v>1324.1591797000001</v>
      </c>
      <c r="J1983">
        <v>1321.0875243999999</v>
      </c>
      <c r="K1983">
        <v>1650</v>
      </c>
      <c r="L1983">
        <v>0</v>
      </c>
      <c r="M1983">
        <v>0</v>
      </c>
      <c r="N1983">
        <v>1650</v>
      </c>
    </row>
    <row r="1984" spans="1:14" x14ac:dyDescent="0.25">
      <c r="A1984">
        <v>1471.2857100000001</v>
      </c>
      <c r="B1984" s="1">
        <f>DATE(2014,5,11) + TIME(6,51,25)</f>
        <v>41770.28570601852</v>
      </c>
      <c r="C1984">
        <v>80</v>
      </c>
      <c r="D1984">
        <v>79.967781067000004</v>
      </c>
      <c r="E1984">
        <v>40</v>
      </c>
      <c r="F1984">
        <v>39.628623961999999</v>
      </c>
      <c r="G1984">
        <v>1341.7727050999999</v>
      </c>
      <c r="H1984">
        <v>1338.5284423999999</v>
      </c>
      <c r="I1984">
        <v>1324.1586914</v>
      </c>
      <c r="J1984">
        <v>1321.0865478999999</v>
      </c>
      <c r="K1984">
        <v>1650</v>
      </c>
      <c r="L1984">
        <v>0</v>
      </c>
      <c r="M1984">
        <v>0</v>
      </c>
      <c r="N1984">
        <v>1650</v>
      </c>
    </row>
    <row r="1985" spans="1:14" x14ac:dyDescent="0.25">
      <c r="A1985">
        <v>1471.5980059999999</v>
      </c>
      <c r="B1985" s="1">
        <f>DATE(2014,5,11) + TIME(14,21,7)</f>
        <v>41770.597997685189</v>
      </c>
      <c r="C1985">
        <v>80</v>
      </c>
      <c r="D1985">
        <v>79.967773437999995</v>
      </c>
      <c r="E1985">
        <v>40</v>
      </c>
      <c r="F1985">
        <v>39.620040893999999</v>
      </c>
      <c r="G1985">
        <v>1341.7650146000001</v>
      </c>
      <c r="H1985">
        <v>1338.5253906</v>
      </c>
      <c r="I1985">
        <v>1324.1582031</v>
      </c>
      <c r="J1985">
        <v>1321.0855713000001</v>
      </c>
      <c r="K1985">
        <v>1650</v>
      </c>
      <c r="L1985">
        <v>0</v>
      </c>
      <c r="M1985">
        <v>0</v>
      </c>
      <c r="N1985">
        <v>1650</v>
      </c>
    </row>
    <row r="1986" spans="1:14" x14ac:dyDescent="0.25">
      <c r="A1986">
        <v>1471.918678</v>
      </c>
      <c r="B1986" s="1">
        <f>DATE(2014,5,11) + TIME(22,2,53)</f>
        <v>41770.918668981481</v>
      </c>
      <c r="C1986">
        <v>80</v>
      </c>
      <c r="D1986">
        <v>79.967758179</v>
      </c>
      <c r="E1986">
        <v>40</v>
      </c>
      <c r="F1986">
        <v>39.611309052000003</v>
      </c>
      <c r="G1986">
        <v>1341.7570800999999</v>
      </c>
      <c r="H1986">
        <v>1338.5222168</v>
      </c>
      <c r="I1986">
        <v>1324.1577147999999</v>
      </c>
      <c r="J1986">
        <v>1321.0845947</v>
      </c>
      <c r="K1986">
        <v>1650</v>
      </c>
      <c r="L1986">
        <v>0</v>
      </c>
      <c r="M1986">
        <v>0</v>
      </c>
      <c r="N1986">
        <v>1650</v>
      </c>
    </row>
    <row r="1987" spans="1:14" x14ac:dyDescent="0.25">
      <c r="A1987">
        <v>1472.2488390000001</v>
      </c>
      <c r="B1987" s="1">
        <f>DATE(2014,5,12) + TIME(5,58,19)</f>
        <v>41771.248831018522</v>
      </c>
      <c r="C1987">
        <v>80</v>
      </c>
      <c r="D1987">
        <v>79.967735290999997</v>
      </c>
      <c r="E1987">
        <v>40</v>
      </c>
      <c r="F1987">
        <v>39.602405548</v>
      </c>
      <c r="G1987">
        <v>1341.7490233999999</v>
      </c>
      <c r="H1987">
        <v>1338.519043</v>
      </c>
      <c r="I1987">
        <v>1324.1571045000001</v>
      </c>
      <c r="J1987">
        <v>1321.0836182</v>
      </c>
      <c r="K1987">
        <v>1650</v>
      </c>
      <c r="L1987">
        <v>0</v>
      </c>
      <c r="M1987">
        <v>0</v>
      </c>
      <c r="N1987">
        <v>1650</v>
      </c>
    </row>
    <row r="1988" spans="1:14" x14ac:dyDescent="0.25">
      <c r="A1988">
        <v>1472.588025</v>
      </c>
      <c r="B1988" s="1">
        <f>DATE(2014,5,12) + TIME(14,6,45)</f>
        <v>41771.588020833333</v>
      </c>
      <c r="C1988">
        <v>80</v>
      </c>
      <c r="D1988">
        <v>79.967712402000004</v>
      </c>
      <c r="E1988">
        <v>40</v>
      </c>
      <c r="F1988">
        <v>39.593345642000003</v>
      </c>
      <c r="G1988">
        <v>1341.7408447</v>
      </c>
      <c r="H1988">
        <v>1338.515625</v>
      </c>
      <c r="I1988">
        <v>1324.1566161999999</v>
      </c>
      <c r="J1988">
        <v>1321.0825195</v>
      </c>
      <c r="K1988">
        <v>1650</v>
      </c>
      <c r="L1988">
        <v>0</v>
      </c>
      <c r="M1988">
        <v>0</v>
      </c>
      <c r="N1988">
        <v>1650</v>
      </c>
    </row>
    <row r="1989" spans="1:14" x14ac:dyDescent="0.25">
      <c r="A1989">
        <v>1472.9333140000001</v>
      </c>
      <c r="B1989" s="1">
        <f>DATE(2014,5,12) + TIME(22,23,58)</f>
        <v>41771.933310185188</v>
      </c>
      <c r="C1989">
        <v>80</v>
      </c>
      <c r="D1989">
        <v>79.967689514</v>
      </c>
      <c r="E1989">
        <v>40</v>
      </c>
      <c r="F1989">
        <v>39.584190368999998</v>
      </c>
      <c r="G1989">
        <v>1341.7322998</v>
      </c>
      <c r="H1989">
        <v>1338.512207</v>
      </c>
      <c r="I1989">
        <v>1324.1561279</v>
      </c>
      <c r="J1989">
        <v>1321.0814209</v>
      </c>
      <c r="K1989">
        <v>1650</v>
      </c>
      <c r="L1989">
        <v>0</v>
      </c>
      <c r="M1989">
        <v>0</v>
      </c>
      <c r="N1989">
        <v>1650</v>
      </c>
    </row>
    <row r="1990" spans="1:14" x14ac:dyDescent="0.25">
      <c r="A1990">
        <v>1473.285599</v>
      </c>
      <c r="B1990" s="1">
        <f>DATE(2014,5,13) + TIME(6,51,15)</f>
        <v>41772.285590277781</v>
      </c>
      <c r="C1990">
        <v>80</v>
      </c>
      <c r="D1990">
        <v>79.967651367000002</v>
      </c>
      <c r="E1990">
        <v>40</v>
      </c>
      <c r="F1990">
        <v>39.574920654000003</v>
      </c>
      <c r="G1990">
        <v>1341.7236327999999</v>
      </c>
      <c r="H1990">
        <v>1338.5086670000001</v>
      </c>
      <c r="I1990">
        <v>1324.1555175999999</v>
      </c>
      <c r="J1990">
        <v>1321.0803223</v>
      </c>
      <c r="K1990">
        <v>1650</v>
      </c>
      <c r="L1990">
        <v>0</v>
      </c>
      <c r="M1990">
        <v>0</v>
      </c>
      <c r="N1990">
        <v>1650</v>
      </c>
    </row>
    <row r="1991" spans="1:14" x14ac:dyDescent="0.25">
      <c r="A1991">
        <v>1473.6457640000001</v>
      </c>
      <c r="B1991" s="1">
        <f>DATE(2014,5,13) + TIME(15,29,54)</f>
        <v>41772.64576388889</v>
      </c>
      <c r="C1991">
        <v>80</v>
      </c>
      <c r="D1991">
        <v>79.967620850000003</v>
      </c>
      <c r="E1991">
        <v>40</v>
      </c>
      <c r="F1991">
        <v>39.565528870000001</v>
      </c>
      <c r="G1991">
        <v>1341.7149658000001</v>
      </c>
      <c r="H1991">
        <v>1338.5051269999999</v>
      </c>
      <c r="I1991">
        <v>1324.1549072</v>
      </c>
      <c r="J1991">
        <v>1321.0791016000001</v>
      </c>
      <c r="K1991">
        <v>1650</v>
      </c>
      <c r="L1991">
        <v>0</v>
      </c>
      <c r="M1991">
        <v>0</v>
      </c>
      <c r="N1991">
        <v>1650</v>
      </c>
    </row>
    <row r="1992" spans="1:14" x14ac:dyDescent="0.25">
      <c r="A1992">
        <v>1474.0133699999999</v>
      </c>
      <c r="B1992" s="1">
        <f>DATE(2014,5,14) + TIME(0,19,15)</f>
        <v>41773.013368055559</v>
      </c>
      <c r="C1992">
        <v>80</v>
      </c>
      <c r="D1992">
        <v>79.967582703000005</v>
      </c>
      <c r="E1992">
        <v>40</v>
      </c>
      <c r="F1992">
        <v>39.556018829000003</v>
      </c>
      <c r="G1992">
        <v>1341.7062988</v>
      </c>
      <c r="H1992">
        <v>1338.5015868999999</v>
      </c>
      <c r="I1992">
        <v>1324.1542969</v>
      </c>
      <c r="J1992">
        <v>1321.0778809000001</v>
      </c>
      <c r="K1992">
        <v>1650</v>
      </c>
      <c r="L1992">
        <v>0</v>
      </c>
      <c r="M1992">
        <v>0</v>
      </c>
      <c r="N1992">
        <v>1650</v>
      </c>
    </row>
    <row r="1993" spans="1:14" x14ac:dyDescent="0.25">
      <c r="A1993">
        <v>1474.38643</v>
      </c>
      <c r="B1993" s="1">
        <f>DATE(2014,5,14) + TIME(9,16,27)</f>
        <v>41773.386423611111</v>
      </c>
      <c r="C1993">
        <v>80</v>
      </c>
      <c r="D1993">
        <v>79.967544556000007</v>
      </c>
      <c r="E1993">
        <v>40</v>
      </c>
      <c r="F1993">
        <v>39.546443939</v>
      </c>
      <c r="G1993">
        <v>1341.6975098</v>
      </c>
      <c r="H1993">
        <v>1338.4979248</v>
      </c>
      <c r="I1993">
        <v>1324.1536865</v>
      </c>
      <c r="J1993">
        <v>1321.0766602000001</v>
      </c>
      <c r="K1993">
        <v>1650</v>
      </c>
      <c r="L1993">
        <v>0</v>
      </c>
      <c r="M1993">
        <v>0</v>
      </c>
      <c r="N1993">
        <v>1650</v>
      </c>
    </row>
    <row r="1994" spans="1:14" x14ac:dyDescent="0.25">
      <c r="A1994">
        <v>1474.7657919999999</v>
      </c>
      <c r="B1994" s="1">
        <f>DATE(2014,5,14) + TIME(18,22,44)</f>
        <v>41773.765787037039</v>
      </c>
      <c r="C1994">
        <v>80</v>
      </c>
      <c r="D1994">
        <v>79.967506408999995</v>
      </c>
      <c r="E1994">
        <v>40</v>
      </c>
      <c r="F1994">
        <v>39.536785125999998</v>
      </c>
      <c r="G1994">
        <v>1341.6887207</v>
      </c>
      <c r="H1994">
        <v>1338.4943848</v>
      </c>
      <c r="I1994">
        <v>1324.1530762</v>
      </c>
      <c r="J1994">
        <v>1321.0754394999999</v>
      </c>
      <c r="K1994">
        <v>1650</v>
      </c>
      <c r="L1994">
        <v>0</v>
      </c>
      <c r="M1994">
        <v>0</v>
      </c>
      <c r="N1994">
        <v>1650</v>
      </c>
    </row>
    <row r="1995" spans="1:14" x14ac:dyDescent="0.25">
      <c r="A1995">
        <v>1475.152317</v>
      </c>
      <c r="B1995" s="1">
        <f>DATE(2014,5,15) + TIME(3,39,20)</f>
        <v>41774.152314814812</v>
      </c>
      <c r="C1995">
        <v>80</v>
      </c>
      <c r="D1995">
        <v>79.967460631999998</v>
      </c>
      <c r="E1995">
        <v>40</v>
      </c>
      <c r="F1995">
        <v>39.527034759999999</v>
      </c>
      <c r="G1995">
        <v>1341.6800536999999</v>
      </c>
      <c r="H1995">
        <v>1338.4908447</v>
      </c>
      <c r="I1995">
        <v>1324.1524658000001</v>
      </c>
      <c r="J1995">
        <v>1321.0740966999999</v>
      </c>
      <c r="K1995">
        <v>1650</v>
      </c>
      <c r="L1995">
        <v>0</v>
      </c>
      <c r="M1995">
        <v>0</v>
      </c>
      <c r="N1995">
        <v>1650</v>
      </c>
    </row>
    <row r="1996" spans="1:14" x14ac:dyDescent="0.25">
      <c r="A1996">
        <v>1475.5469089999999</v>
      </c>
      <c r="B1996" s="1">
        <f>DATE(2014,5,15) + TIME(13,7,32)</f>
        <v>41774.546898148146</v>
      </c>
      <c r="C1996">
        <v>80</v>
      </c>
      <c r="D1996">
        <v>79.967422485</v>
      </c>
      <c r="E1996">
        <v>40</v>
      </c>
      <c r="F1996">
        <v>39.517173767000003</v>
      </c>
      <c r="G1996">
        <v>1341.6712646000001</v>
      </c>
      <c r="H1996">
        <v>1338.4874268000001</v>
      </c>
      <c r="I1996">
        <v>1324.1517334</v>
      </c>
      <c r="J1996">
        <v>1321.072876</v>
      </c>
      <c r="K1996">
        <v>1650</v>
      </c>
      <c r="L1996">
        <v>0</v>
      </c>
      <c r="M1996">
        <v>0</v>
      </c>
      <c r="N1996">
        <v>1650</v>
      </c>
    </row>
    <row r="1997" spans="1:14" x14ac:dyDescent="0.25">
      <c r="A1997">
        <v>1475.9505630000001</v>
      </c>
      <c r="B1997" s="1">
        <f>DATE(2014,5,15) + TIME(22,48,48)</f>
        <v>41774.950555555559</v>
      </c>
      <c r="C1997">
        <v>80</v>
      </c>
      <c r="D1997">
        <v>79.967376709000007</v>
      </c>
      <c r="E1997">
        <v>40</v>
      </c>
      <c r="F1997">
        <v>39.507190704000003</v>
      </c>
      <c r="G1997">
        <v>1341.6625977000001</v>
      </c>
      <c r="H1997">
        <v>1338.4838867000001</v>
      </c>
      <c r="I1997">
        <v>1324.151001</v>
      </c>
      <c r="J1997">
        <v>1321.0714111</v>
      </c>
      <c r="K1997">
        <v>1650</v>
      </c>
      <c r="L1997">
        <v>0</v>
      </c>
      <c r="M1997">
        <v>0</v>
      </c>
      <c r="N1997">
        <v>1650</v>
      </c>
    </row>
    <row r="1998" spans="1:14" x14ac:dyDescent="0.25">
      <c r="A1998">
        <v>1476.36437</v>
      </c>
      <c r="B1998" s="1">
        <f>DATE(2014,5,16) + TIME(8,44,41)</f>
        <v>41775.364363425928</v>
      </c>
      <c r="C1998">
        <v>80</v>
      </c>
      <c r="D1998">
        <v>79.967330933</v>
      </c>
      <c r="E1998">
        <v>40</v>
      </c>
      <c r="F1998">
        <v>39.497062683000003</v>
      </c>
      <c r="G1998">
        <v>1341.6538086</v>
      </c>
      <c r="H1998">
        <v>1338.4803466999999</v>
      </c>
      <c r="I1998">
        <v>1324.1503906</v>
      </c>
      <c r="J1998">
        <v>1321.0700684000001</v>
      </c>
      <c r="K1998">
        <v>1650</v>
      </c>
      <c r="L1998">
        <v>0</v>
      </c>
      <c r="M1998">
        <v>0</v>
      </c>
      <c r="N1998">
        <v>1650</v>
      </c>
    </row>
    <row r="1999" spans="1:14" x14ac:dyDescent="0.25">
      <c r="A1999">
        <v>1476.791115</v>
      </c>
      <c r="B1999" s="1">
        <f>DATE(2014,5,16) + TIME(18,59,12)</f>
        <v>41775.79111111111</v>
      </c>
      <c r="C1999">
        <v>80</v>
      </c>
      <c r="D1999">
        <v>79.967285156000003</v>
      </c>
      <c r="E1999">
        <v>40</v>
      </c>
      <c r="F1999">
        <v>39.486751556000002</v>
      </c>
      <c r="G1999">
        <v>1341.6448975000001</v>
      </c>
      <c r="H1999">
        <v>1338.4768065999999</v>
      </c>
      <c r="I1999">
        <v>1324.1496582</v>
      </c>
      <c r="J1999">
        <v>1321.0686035000001</v>
      </c>
      <c r="K1999">
        <v>1650</v>
      </c>
      <c r="L1999">
        <v>0</v>
      </c>
      <c r="M1999">
        <v>0</v>
      </c>
      <c r="N1999">
        <v>1650</v>
      </c>
    </row>
    <row r="2000" spans="1:14" x14ac:dyDescent="0.25">
      <c r="A2000">
        <v>1477.2328669999999</v>
      </c>
      <c r="B2000" s="1">
        <f>DATE(2014,5,17) + TIME(5,35,19)</f>
        <v>41776.232858796298</v>
      </c>
      <c r="C2000">
        <v>80</v>
      </c>
      <c r="D2000">
        <v>79.967239379999995</v>
      </c>
      <c r="E2000">
        <v>40</v>
      </c>
      <c r="F2000">
        <v>39.476211548000002</v>
      </c>
      <c r="G2000">
        <v>1341.6359863</v>
      </c>
      <c r="H2000">
        <v>1338.4732666</v>
      </c>
      <c r="I2000">
        <v>1324.1488036999999</v>
      </c>
      <c r="J2000">
        <v>1321.0670166</v>
      </c>
      <c r="K2000">
        <v>1650</v>
      </c>
      <c r="L2000">
        <v>0</v>
      </c>
      <c r="M2000">
        <v>0</v>
      </c>
      <c r="N2000">
        <v>1650</v>
      </c>
    </row>
    <row r="2001" spans="1:14" x14ac:dyDescent="0.25">
      <c r="A2001">
        <v>1477.686479</v>
      </c>
      <c r="B2001" s="1">
        <f>DATE(2014,5,17) + TIME(16,28,31)</f>
        <v>41776.686469907407</v>
      </c>
      <c r="C2001">
        <v>80</v>
      </c>
      <c r="D2001">
        <v>79.967193604000002</v>
      </c>
      <c r="E2001">
        <v>40</v>
      </c>
      <c r="F2001">
        <v>39.465503693000002</v>
      </c>
      <c r="G2001">
        <v>1341.6269531</v>
      </c>
      <c r="H2001">
        <v>1338.4696045000001</v>
      </c>
      <c r="I2001">
        <v>1324.1480713000001</v>
      </c>
      <c r="J2001">
        <v>1321.0654297000001</v>
      </c>
      <c r="K2001">
        <v>1650</v>
      </c>
      <c r="L2001">
        <v>0</v>
      </c>
      <c r="M2001">
        <v>0</v>
      </c>
      <c r="N2001">
        <v>1650</v>
      </c>
    </row>
    <row r="2002" spans="1:14" x14ac:dyDescent="0.25">
      <c r="A2002">
        <v>1478.1459130000001</v>
      </c>
      <c r="B2002" s="1">
        <f>DATE(2014,5,18) + TIME(3,30,6)</f>
        <v>41777.145902777775</v>
      </c>
      <c r="C2002">
        <v>80</v>
      </c>
      <c r="D2002">
        <v>79.967140197999996</v>
      </c>
      <c r="E2002">
        <v>40</v>
      </c>
      <c r="F2002">
        <v>39.454738616999997</v>
      </c>
      <c r="G2002">
        <v>1341.6177978999999</v>
      </c>
      <c r="H2002">
        <v>1338.4660644999999</v>
      </c>
      <c r="I2002">
        <v>1324.1472168</v>
      </c>
      <c r="J2002">
        <v>1321.0638428</v>
      </c>
      <c r="K2002">
        <v>1650</v>
      </c>
      <c r="L2002">
        <v>0</v>
      </c>
      <c r="M2002">
        <v>0</v>
      </c>
      <c r="N2002">
        <v>1650</v>
      </c>
    </row>
    <row r="2003" spans="1:14" x14ac:dyDescent="0.25">
      <c r="A2003">
        <v>1478.6133689999999</v>
      </c>
      <c r="B2003" s="1">
        <f>DATE(2014,5,18) + TIME(14,43,15)</f>
        <v>41777.613368055558</v>
      </c>
      <c r="C2003">
        <v>80</v>
      </c>
      <c r="D2003">
        <v>79.967094420999999</v>
      </c>
      <c r="E2003">
        <v>40</v>
      </c>
      <c r="F2003">
        <v>39.443885803000001</v>
      </c>
      <c r="G2003">
        <v>1341.6086425999999</v>
      </c>
      <c r="H2003">
        <v>1338.4625243999999</v>
      </c>
      <c r="I2003">
        <v>1324.1463623</v>
      </c>
      <c r="J2003">
        <v>1321.0621338000001</v>
      </c>
      <c r="K2003">
        <v>1650</v>
      </c>
      <c r="L2003">
        <v>0</v>
      </c>
      <c r="M2003">
        <v>0</v>
      </c>
      <c r="N2003">
        <v>1650</v>
      </c>
    </row>
    <row r="2004" spans="1:14" x14ac:dyDescent="0.25">
      <c r="A2004">
        <v>1479.0887600000001</v>
      </c>
      <c r="B2004" s="1">
        <f>DATE(2014,5,19) + TIME(2,7,48)</f>
        <v>41778.088750000003</v>
      </c>
      <c r="C2004">
        <v>80</v>
      </c>
      <c r="D2004">
        <v>79.967041015999996</v>
      </c>
      <c r="E2004">
        <v>40</v>
      </c>
      <c r="F2004">
        <v>39.432964325</v>
      </c>
      <c r="G2004">
        <v>1341.5996094</v>
      </c>
      <c r="H2004">
        <v>1338.4588623</v>
      </c>
      <c r="I2004">
        <v>1324.1455077999999</v>
      </c>
      <c r="J2004">
        <v>1321.0604248</v>
      </c>
      <c r="K2004">
        <v>1650</v>
      </c>
      <c r="L2004">
        <v>0</v>
      </c>
      <c r="M2004">
        <v>0</v>
      </c>
      <c r="N2004">
        <v>1650</v>
      </c>
    </row>
    <row r="2005" spans="1:14" x14ac:dyDescent="0.25">
      <c r="A2005">
        <v>1479.574689</v>
      </c>
      <c r="B2005" s="1">
        <f>DATE(2014,5,19) + TIME(13,47,33)</f>
        <v>41778.574687499997</v>
      </c>
      <c r="C2005">
        <v>80</v>
      </c>
      <c r="D2005">
        <v>79.966995238999999</v>
      </c>
      <c r="E2005">
        <v>40</v>
      </c>
      <c r="F2005">
        <v>39.421932220000002</v>
      </c>
      <c r="G2005">
        <v>1341.5904541</v>
      </c>
      <c r="H2005">
        <v>1338.4553223</v>
      </c>
      <c r="I2005">
        <v>1324.1445312000001</v>
      </c>
      <c r="J2005">
        <v>1321.0585937999999</v>
      </c>
      <c r="K2005">
        <v>1650</v>
      </c>
      <c r="L2005">
        <v>0</v>
      </c>
      <c r="M2005">
        <v>0</v>
      </c>
      <c r="N2005">
        <v>1650</v>
      </c>
    </row>
    <row r="2006" spans="1:14" x14ac:dyDescent="0.25">
      <c r="A2006">
        <v>1480.0728280000001</v>
      </c>
      <c r="B2006" s="1">
        <f>DATE(2014,5,20) + TIME(1,44,52)</f>
        <v>41779.072824074072</v>
      </c>
      <c r="C2006">
        <v>80</v>
      </c>
      <c r="D2006">
        <v>79.966941833000007</v>
      </c>
      <c r="E2006">
        <v>40</v>
      </c>
      <c r="F2006">
        <v>39.410770415999998</v>
      </c>
      <c r="G2006">
        <v>1341.5811768000001</v>
      </c>
      <c r="H2006">
        <v>1338.4516602000001</v>
      </c>
      <c r="I2006">
        <v>1324.1436768000001</v>
      </c>
      <c r="J2006">
        <v>1321.0567627</v>
      </c>
      <c r="K2006">
        <v>1650</v>
      </c>
      <c r="L2006">
        <v>0</v>
      </c>
      <c r="M2006">
        <v>0</v>
      </c>
      <c r="N2006">
        <v>1650</v>
      </c>
    </row>
    <row r="2007" spans="1:14" x14ac:dyDescent="0.25">
      <c r="A2007">
        <v>1480.5850029999999</v>
      </c>
      <c r="B2007" s="1">
        <f>DATE(2014,5,20) + TIME(14,2,24)</f>
        <v>41779.584999999999</v>
      </c>
      <c r="C2007">
        <v>80</v>
      </c>
      <c r="D2007">
        <v>79.966896057</v>
      </c>
      <c r="E2007">
        <v>40</v>
      </c>
      <c r="F2007">
        <v>39.399456024000003</v>
      </c>
      <c r="G2007">
        <v>1341.5718993999999</v>
      </c>
      <c r="H2007">
        <v>1338.4479980000001</v>
      </c>
      <c r="I2007">
        <v>1324.1427002</v>
      </c>
      <c r="J2007">
        <v>1321.0548096</v>
      </c>
      <c r="K2007">
        <v>1650</v>
      </c>
      <c r="L2007">
        <v>0</v>
      </c>
      <c r="M2007">
        <v>0</v>
      </c>
      <c r="N2007">
        <v>1650</v>
      </c>
    </row>
    <row r="2008" spans="1:14" x14ac:dyDescent="0.25">
      <c r="A2008">
        <v>1481.11329</v>
      </c>
      <c r="B2008" s="1">
        <f>DATE(2014,5,21) + TIME(2,43,8)</f>
        <v>41780.113287037035</v>
      </c>
      <c r="C2008">
        <v>80</v>
      </c>
      <c r="D2008">
        <v>79.966842650999993</v>
      </c>
      <c r="E2008">
        <v>40</v>
      </c>
      <c r="F2008">
        <v>39.387958527000002</v>
      </c>
      <c r="G2008">
        <v>1341.5625</v>
      </c>
      <c r="H2008">
        <v>1338.4443358999999</v>
      </c>
      <c r="I2008">
        <v>1324.1416016000001</v>
      </c>
      <c r="J2008">
        <v>1321.0527344</v>
      </c>
      <c r="K2008">
        <v>1650</v>
      </c>
      <c r="L2008">
        <v>0</v>
      </c>
      <c r="M2008">
        <v>0</v>
      </c>
      <c r="N2008">
        <v>1650</v>
      </c>
    </row>
    <row r="2009" spans="1:14" x14ac:dyDescent="0.25">
      <c r="A2009">
        <v>1481.657054</v>
      </c>
      <c r="B2009" s="1">
        <f>DATE(2014,5,21) + TIME(15,46,9)</f>
        <v>41780.657048611109</v>
      </c>
      <c r="C2009">
        <v>80</v>
      </c>
      <c r="D2009">
        <v>79.966789246000005</v>
      </c>
      <c r="E2009">
        <v>40</v>
      </c>
      <c r="F2009">
        <v>39.376293181999998</v>
      </c>
      <c r="G2009">
        <v>1341.5529785000001</v>
      </c>
      <c r="H2009">
        <v>1338.4405518000001</v>
      </c>
      <c r="I2009">
        <v>1324.140625</v>
      </c>
      <c r="J2009">
        <v>1321.0506591999999</v>
      </c>
      <c r="K2009">
        <v>1650</v>
      </c>
      <c r="L2009">
        <v>0</v>
      </c>
      <c r="M2009">
        <v>0</v>
      </c>
      <c r="N2009">
        <v>1650</v>
      </c>
    </row>
    <row r="2010" spans="1:14" x14ac:dyDescent="0.25">
      <c r="A2010">
        <v>1482.2063390000001</v>
      </c>
      <c r="B2010" s="1">
        <f>DATE(2014,5,22) + TIME(4,57,7)</f>
        <v>41781.206331018519</v>
      </c>
      <c r="C2010">
        <v>80</v>
      </c>
      <c r="D2010">
        <v>79.966735839999998</v>
      </c>
      <c r="E2010">
        <v>40</v>
      </c>
      <c r="F2010">
        <v>39.364616394000002</v>
      </c>
      <c r="G2010">
        <v>1341.5433350000001</v>
      </c>
      <c r="H2010">
        <v>1338.4367675999999</v>
      </c>
      <c r="I2010">
        <v>1324.1395264</v>
      </c>
      <c r="J2010">
        <v>1321.0484618999999</v>
      </c>
      <c r="K2010">
        <v>1650</v>
      </c>
      <c r="L2010">
        <v>0</v>
      </c>
      <c r="M2010">
        <v>0</v>
      </c>
      <c r="N2010">
        <v>1650</v>
      </c>
    </row>
    <row r="2011" spans="1:14" x14ac:dyDescent="0.25">
      <c r="A2011">
        <v>1482.7594449999999</v>
      </c>
      <c r="B2011" s="1">
        <f>DATE(2014,5,22) + TIME(18,13,36)</f>
        <v>41781.759444444448</v>
      </c>
      <c r="C2011">
        <v>80</v>
      </c>
      <c r="D2011">
        <v>79.966682434000006</v>
      </c>
      <c r="E2011">
        <v>40</v>
      </c>
      <c r="F2011">
        <v>39.352970122999999</v>
      </c>
      <c r="G2011">
        <v>1341.5338135</v>
      </c>
      <c r="H2011">
        <v>1338.4331055</v>
      </c>
      <c r="I2011">
        <v>1324.1384277</v>
      </c>
      <c r="J2011">
        <v>1321.0462646000001</v>
      </c>
      <c r="K2011">
        <v>1650</v>
      </c>
      <c r="L2011">
        <v>0</v>
      </c>
      <c r="M2011">
        <v>0</v>
      </c>
      <c r="N2011">
        <v>1650</v>
      </c>
    </row>
    <row r="2012" spans="1:14" x14ac:dyDescent="0.25">
      <c r="A2012">
        <v>1483.3179070000001</v>
      </c>
      <c r="B2012" s="1">
        <f>DATE(2014,5,23) + TIME(7,37,47)</f>
        <v>41782.31790509259</v>
      </c>
      <c r="C2012">
        <v>80</v>
      </c>
      <c r="D2012">
        <v>79.966629028</v>
      </c>
      <c r="E2012">
        <v>40</v>
      </c>
      <c r="F2012">
        <v>39.341354369999998</v>
      </c>
      <c r="G2012">
        <v>1341.5245361</v>
      </c>
      <c r="H2012">
        <v>1338.4294434000001</v>
      </c>
      <c r="I2012">
        <v>1324.137207</v>
      </c>
      <c r="J2012">
        <v>1321.0439452999999</v>
      </c>
      <c r="K2012">
        <v>1650</v>
      </c>
      <c r="L2012">
        <v>0</v>
      </c>
      <c r="M2012">
        <v>0</v>
      </c>
      <c r="N2012">
        <v>1650</v>
      </c>
    </row>
    <row r="2013" spans="1:14" x14ac:dyDescent="0.25">
      <c r="A2013">
        <v>1483.8831</v>
      </c>
      <c r="B2013" s="1">
        <f>DATE(2014,5,23) + TIME(21,11,39)</f>
        <v>41782.883090277777</v>
      </c>
      <c r="C2013">
        <v>80</v>
      </c>
      <c r="D2013">
        <v>79.966583252000007</v>
      </c>
      <c r="E2013">
        <v>40</v>
      </c>
      <c r="F2013">
        <v>39.32976532</v>
      </c>
      <c r="G2013">
        <v>1341.5152588000001</v>
      </c>
      <c r="H2013">
        <v>1338.4259033000001</v>
      </c>
      <c r="I2013">
        <v>1324.1361084</v>
      </c>
      <c r="J2013">
        <v>1321.041626</v>
      </c>
      <c r="K2013">
        <v>1650</v>
      </c>
      <c r="L2013">
        <v>0</v>
      </c>
      <c r="M2013">
        <v>0</v>
      </c>
      <c r="N2013">
        <v>1650</v>
      </c>
    </row>
    <row r="2014" spans="1:14" x14ac:dyDescent="0.25">
      <c r="A2014">
        <v>1484.456322</v>
      </c>
      <c r="B2014" s="1">
        <f>DATE(2014,5,24) + TIME(10,57,6)</f>
        <v>41783.456319444442</v>
      </c>
      <c r="C2014">
        <v>80</v>
      </c>
      <c r="D2014">
        <v>79.966529846</v>
      </c>
      <c r="E2014">
        <v>40</v>
      </c>
      <c r="F2014">
        <v>39.318191528</v>
      </c>
      <c r="G2014">
        <v>1341.5059814000001</v>
      </c>
      <c r="H2014">
        <v>1338.4222411999999</v>
      </c>
      <c r="I2014">
        <v>1324.1348877</v>
      </c>
      <c r="J2014">
        <v>1321.0391846</v>
      </c>
      <c r="K2014">
        <v>1650</v>
      </c>
      <c r="L2014">
        <v>0</v>
      </c>
      <c r="M2014">
        <v>0</v>
      </c>
      <c r="N2014">
        <v>1650</v>
      </c>
    </row>
    <row r="2015" spans="1:14" x14ac:dyDescent="0.25">
      <c r="A2015">
        <v>1485.039051</v>
      </c>
      <c r="B2015" s="1">
        <f>DATE(2014,5,25) + TIME(0,56,14)</f>
        <v>41784.039050925923</v>
      </c>
      <c r="C2015">
        <v>80</v>
      </c>
      <c r="D2015">
        <v>79.966476439999994</v>
      </c>
      <c r="E2015">
        <v>40</v>
      </c>
      <c r="F2015">
        <v>39.306629180999998</v>
      </c>
      <c r="G2015">
        <v>1341.4968262</v>
      </c>
      <c r="H2015">
        <v>1338.4187012</v>
      </c>
      <c r="I2015">
        <v>1324.1336670000001</v>
      </c>
      <c r="J2015">
        <v>1321.0367432</v>
      </c>
      <c r="K2015">
        <v>1650</v>
      </c>
      <c r="L2015">
        <v>0</v>
      </c>
      <c r="M2015">
        <v>0</v>
      </c>
      <c r="N2015">
        <v>1650</v>
      </c>
    </row>
    <row r="2016" spans="1:14" x14ac:dyDescent="0.25">
      <c r="A2016">
        <v>1485.633478</v>
      </c>
      <c r="B2016" s="1">
        <f>DATE(2014,5,25) + TIME(15,12,12)</f>
        <v>41784.633472222224</v>
      </c>
      <c r="C2016">
        <v>80</v>
      </c>
      <c r="D2016">
        <v>79.966430664000001</v>
      </c>
      <c r="E2016">
        <v>40</v>
      </c>
      <c r="F2016">
        <v>39.295047760000003</v>
      </c>
      <c r="G2016">
        <v>1341.487793</v>
      </c>
      <c r="H2016">
        <v>1338.4152832</v>
      </c>
      <c r="I2016">
        <v>1324.1323242000001</v>
      </c>
      <c r="J2016">
        <v>1321.0341797000001</v>
      </c>
      <c r="K2016">
        <v>1650</v>
      </c>
      <c r="L2016">
        <v>0</v>
      </c>
      <c r="M2016">
        <v>0</v>
      </c>
      <c r="N2016">
        <v>1650</v>
      </c>
    </row>
    <row r="2017" spans="1:14" x14ac:dyDescent="0.25">
      <c r="A2017">
        <v>1486.244488</v>
      </c>
      <c r="B2017" s="1">
        <f>DATE(2014,5,26) + TIME(5,52,3)</f>
        <v>41785.244479166664</v>
      </c>
      <c r="C2017">
        <v>80</v>
      </c>
      <c r="D2017">
        <v>79.966377257999994</v>
      </c>
      <c r="E2017">
        <v>40</v>
      </c>
      <c r="F2017">
        <v>39.283390044999997</v>
      </c>
      <c r="G2017">
        <v>1341.4786377</v>
      </c>
      <c r="H2017">
        <v>1338.4117432</v>
      </c>
      <c r="I2017">
        <v>1324.1309814000001</v>
      </c>
      <c r="J2017">
        <v>1321.0314940999999</v>
      </c>
      <c r="K2017">
        <v>1650</v>
      </c>
      <c r="L2017">
        <v>0</v>
      </c>
      <c r="M2017">
        <v>0</v>
      </c>
      <c r="N2017">
        <v>1650</v>
      </c>
    </row>
    <row r="2018" spans="1:14" x14ac:dyDescent="0.25">
      <c r="A2018">
        <v>1486.867344</v>
      </c>
      <c r="B2018" s="1">
        <f>DATE(2014,5,26) + TIME(20,48,58)</f>
        <v>41785.867337962962</v>
      </c>
      <c r="C2018">
        <v>80</v>
      </c>
      <c r="D2018">
        <v>79.966323853000006</v>
      </c>
      <c r="E2018">
        <v>40</v>
      </c>
      <c r="F2018">
        <v>39.271724700999997</v>
      </c>
      <c r="G2018">
        <v>1341.4694824000001</v>
      </c>
      <c r="H2018">
        <v>1338.4082031</v>
      </c>
      <c r="I2018">
        <v>1324.1296387</v>
      </c>
      <c r="J2018">
        <v>1321.0286865</v>
      </c>
      <c r="K2018">
        <v>1650</v>
      </c>
      <c r="L2018">
        <v>0</v>
      </c>
      <c r="M2018">
        <v>0</v>
      </c>
      <c r="N2018">
        <v>1650</v>
      </c>
    </row>
    <row r="2019" spans="1:14" x14ac:dyDescent="0.25">
      <c r="A2019">
        <v>1487.5024209999999</v>
      </c>
      <c r="B2019" s="1">
        <f>DATE(2014,5,27) + TIME(12,3,29)</f>
        <v>41786.502418981479</v>
      </c>
      <c r="C2019">
        <v>80</v>
      </c>
      <c r="D2019">
        <v>79.966270446999999</v>
      </c>
      <c r="E2019">
        <v>40</v>
      </c>
      <c r="F2019">
        <v>39.260059357000003</v>
      </c>
      <c r="G2019">
        <v>1341.4603271000001</v>
      </c>
      <c r="H2019">
        <v>1338.4046631000001</v>
      </c>
      <c r="I2019">
        <v>1324.1281738</v>
      </c>
      <c r="J2019">
        <v>1321.0258789</v>
      </c>
      <c r="K2019">
        <v>1650</v>
      </c>
      <c r="L2019">
        <v>0</v>
      </c>
      <c r="M2019">
        <v>0</v>
      </c>
      <c r="N2019">
        <v>1650</v>
      </c>
    </row>
    <row r="2020" spans="1:14" x14ac:dyDescent="0.25">
      <c r="A2020">
        <v>1488.150081</v>
      </c>
      <c r="B2020" s="1">
        <f>DATE(2014,5,28) + TIME(3,36,6)</f>
        <v>41787.150069444448</v>
      </c>
      <c r="C2020">
        <v>80</v>
      </c>
      <c r="D2020">
        <v>79.966224670000003</v>
      </c>
      <c r="E2020">
        <v>40</v>
      </c>
      <c r="F2020">
        <v>39.248405456999997</v>
      </c>
      <c r="G2020">
        <v>1341.4510498</v>
      </c>
      <c r="H2020">
        <v>1338.4011230000001</v>
      </c>
      <c r="I2020">
        <v>1324.1267089999999</v>
      </c>
      <c r="J2020">
        <v>1321.0229492000001</v>
      </c>
      <c r="K2020">
        <v>1650</v>
      </c>
      <c r="L2020">
        <v>0</v>
      </c>
      <c r="M2020">
        <v>0</v>
      </c>
      <c r="N2020">
        <v>1650</v>
      </c>
    </row>
    <row r="2021" spans="1:14" x14ac:dyDescent="0.25">
      <c r="A2021">
        <v>1488.812799</v>
      </c>
      <c r="B2021" s="1">
        <f>DATE(2014,5,28) + TIME(19,30,25)</f>
        <v>41787.812789351854</v>
      </c>
      <c r="C2021">
        <v>80</v>
      </c>
      <c r="D2021">
        <v>79.966171265</v>
      </c>
      <c r="E2021">
        <v>40</v>
      </c>
      <c r="F2021">
        <v>39.236751556000002</v>
      </c>
      <c r="G2021">
        <v>1341.4418945</v>
      </c>
      <c r="H2021">
        <v>1338.3975829999999</v>
      </c>
      <c r="I2021">
        <v>1324.1252440999999</v>
      </c>
      <c r="J2021">
        <v>1321.0197754000001</v>
      </c>
      <c r="K2021">
        <v>1650</v>
      </c>
      <c r="L2021">
        <v>0</v>
      </c>
      <c r="M2021">
        <v>0</v>
      </c>
      <c r="N2021">
        <v>1650</v>
      </c>
    </row>
    <row r="2022" spans="1:14" x14ac:dyDescent="0.25">
      <c r="A2022">
        <v>1489.4932699999999</v>
      </c>
      <c r="B2022" s="1">
        <f>DATE(2014,5,29) + TIME(11,50,18)</f>
        <v>41788.493263888886</v>
      </c>
      <c r="C2022">
        <v>80</v>
      </c>
      <c r="D2022">
        <v>79.966117858999993</v>
      </c>
      <c r="E2022">
        <v>40</v>
      </c>
      <c r="F2022">
        <v>39.225078582999998</v>
      </c>
      <c r="G2022">
        <v>1341.4327393000001</v>
      </c>
      <c r="H2022">
        <v>1338.394043</v>
      </c>
      <c r="I2022">
        <v>1324.1236572</v>
      </c>
      <c r="J2022">
        <v>1321.0166016000001</v>
      </c>
      <c r="K2022">
        <v>1650</v>
      </c>
      <c r="L2022">
        <v>0</v>
      </c>
      <c r="M2022">
        <v>0</v>
      </c>
      <c r="N2022">
        <v>1650</v>
      </c>
    </row>
    <row r="2023" spans="1:14" x14ac:dyDescent="0.25">
      <c r="A2023">
        <v>1490.1943920000001</v>
      </c>
      <c r="B2023" s="1">
        <f>DATE(2014,5,30) + TIME(4,39,55)</f>
        <v>41789.194386574076</v>
      </c>
      <c r="C2023">
        <v>80</v>
      </c>
      <c r="D2023">
        <v>79.966072083</v>
      </c>
      <c r="E2023">
        <v>40</v>
      </c>
      <c r="F2023">
        <v>39.213371277</v>
      </c>
      <c r="G2023">
        <v>1341.4234618999999</v>
      </c>
      <c r="H2023">
        <v>1338.3905029</v>
      </c>
      <c r="I2023">
        <v>1324.1220702999999</v>
      </c>
      <c r="J2023">
        <v>1321.0133057</v>
      </c>
      <c r="K2023">
        <v>1650</v>
      </c>
      <c r="L2023">
        <v>0</v>
      </c>
      <c r="M2023">
        <v>0</v>
      </c>
      <c r="N2023">
        <v>1650</v>
      </c>
    </row>
    <row r="2024" spans="1:14" x14ac:dyDescent="0.25">
      <c r="A2024">
        <v>1490.9194379999999</v>
      </c>
      <c r="B2024" s="1">
        <f>DATE(2014,5,30) + TIME(22,3,59)</f>
        <v>41789.919432870367</v>
      </c>
      <c r="C2024">
        <v>80</v>
      </c>
      <c r="D2024">
        <v>79.966018676999994</v>
      </c>
      <c r="E2024">
        <v>40</v>
      </c>
      <c r="F2024">
        <v>39.201622008999998</v>
      </c>
      <c r="G2024">
        <v>1341.4141846</v>
      </c>
      <c r="H2024">
        <v>1338.3869629000001</v>
      </c>
      <c r="I2024">
        <v>1324.1203613</v>
      </c>
      <c r="J2024">
        <v>1321.0097656</v>
      </c>
      <c r="K2024">
        <v>1650</v>
      </c>
      <c r="L2024">
        <v>0</v>
      </c>
      <c r="M2024">
        <v>0</v>
      </c>
      <c r="N2024">
        <v>1650</v>
      </c>
    </row>
    <row r="2025" spans="1:14" x14ac:dyDescent="0.25">
      <c r="A2025">
        <v>1491.6721130000001</v>
      </c>
      <c r="B2025" s="1">
        <f>DATE(2014,5,31) + TIME(16,7,50)</f>
        <v>41790.672106481485</v>
      </c>
      <c r="C2025">
        <v>80</v>
      </c>
      <c r="D2025">
        <v>79.965965271000002</v>
      </c>
      <c r="E2025">
        <v>40</v>
      </c>
      <c r="F2025">
        <v>39.189811706999997</v>
      </c>
      <c r="G2025">
        <v>1341.4046631000001</v>
      </c>
      <c r="H2025">
        <v>1338.3833007999999</v>
      </c>
      <c r="I2025">
        <v>1324.1185303</v>
      </c>
      <c r="J2025">
        <v>1321.0061035000001</v>
      </c>
      <c r="K2025">
        <v>1650</v>
      </c>
      <c r="L2025">
        <v>0</v>
      </c>
      <c r="M2025">
        <v>0</v>
      </c>
      <c r="N2025">
        <v>1650</v>
      </c>
    </row>
    <row r="2026" spans="1:14" x14ac:dyDescent="0.25">
      <c r="A2026">
        <v>1492</v>
      </c>
      <c r="B2026" s="1">
        <f>DATE(2014,6,1) + TIME(0,0,0)</f>
        <v>41791</v>
      </c>
      <c r="C2026">
        <v>80</v>
      </c>
      <c r="D2026">
        <v>79.965927124000004</v>
      </c>
      <c r="E2026">
        <v>40</v>
      </c>
      <c r="F2026">
        <v>39.183414458999998</v>
      </c>
      <c r="G2026">
        <v>1341.3950195</v>
      </c>
      <c r="H2026">
        <v>1338.3796387</v>
      </c>
      <c r="I2026">
        <v>1324.1166992000001</v>
      </c>
      <c r="J2026">
        <v>1321.0026855000001</v>
      </c>
      <c r="K2026">
        <v>1650</v>
      </c>
      <c r="L2026">
        <v>0</v>
      </c>
      <c r="M2026">
        <v>0</v>
      </c>
      <c r="N2026">
        <v>1650</v>
      </c>
    </row>
    <row r="2027" spans="1:14" x14ac:dyDescent="0.25">
      <c r="A2027">
        <v>1492.7748349999999</v>
      </c>
      <c r="B2027" s="1">
        <f>DATE(2014,6,1) + TIME(18,35,45)</f>
        <v>41791.774826388886</v>
      </c>
      <c r="C2027">
        <v>80</v>
      </c>
      <c r="D2027">
        <v>79.965881347999996</v>
      </c>
      <c r="E2027">
        <v>40</v>
      </c>
      <c r="F2027">
        <v>39.172271729000002</v>
      </c>
      <c r="G2027">
        <v>1341.3908690999999</v>
      </c>
      <c r="H2027">
        <v>1338.3780518000001</v>
      </c>
      <c r="I2027">
        <v>1324.1157227000001</v>
      </c>
      <c r="J2027">
        <v>1321.0003661999999</v>
      </c>
      <c r="K2027">
        <v>1650</v>
      </c>
      <c r="L2027">
        <v>0</v>
      </c>
      <c r="M2027">
        <v>0</v>
      </c>
      <c r="N2027">
        <v>1650</v>
      </c>
    </row>
    <row r="2028" spans="1:14" x14ac:dyDescent="0.25">
      <c r="A2028">
        <v>1493.5617970000001</v>
      </c>
      <c r="B2028" s="1">
        <f>DATE(2014,6,2) + TIME(13,28,59)</f>
        <v>41792.561793981484</v>
      </c>
      <c r="C2028">
        <v>80</v>
      </c>
      <c r="D2028">
        <v>79.965835571</v>
      </c>
      <c r="E2028">
        <v>40</v>
      </c>
      <c r="F2028">
        <v>39.161109924000002</v>
      </c>
      <c r="G2028">
        <v>1341.3812256000001</v>
      </c>
      <c r="H2028">
        <v>1338.3743896000001</v>
      </c>
      <c r="I2028">
        <v>1324.1137695</v>
      </c>
      <c r="J2028">
        <v>1320.9963379000001</v>
      </c>
      <c r="K2028">
        <v>1650</v>
      </c>
      <c r="L2028">
        <v>0</v>
      </c>
      <c r="M2028">
        <v>0</v>
      </c>
      <c r="N2028">
        <v>1650</v>
      </c>
    </row>
    <row r="2029" spans="1:14" x14ac:dyDescent="0.25">
      <c r="A2029">
        <v>1494.3492249999999</v>
      </c>
      <c r="B2029" s="1">
        <f>DATE(2014,6,3) + TIME(8,22,53)</f>
        <v>41793.349224537036</v>
      </c>
      <c r="C2029">
        <v>80</v>
      </c>
      <c r="D2029">
        <v>79.965782165999997</v>
      </c>
      <c r="E2029">
        <v>40</v>
      </c>
      <c r="F2029">
        <v>39.150157927999999</v>
      </c>
      <c r="G2029">
        <v>1341.3717041</v>
      </c>
      <c r="H2029">
        <v>1338.3707274999999</v>
      </c>
      <c r="I2029">
        <v>1324.1116943</v>
      </c>
      <c r="J2029">
        <v>1320.9921875</v>
      </c>
      <c r="K2029">
        <v>1650</v>
      </c>
      <c r="L2029">
        <v>0</v>
      </c>
      <c r="M2029">
        <v>0</v>
      </c>
      <c r="N2029">
        <v>1650</v>
      </c>
    </row>
    <row r="2030" spans="1:14" x14ac:dyDescent="0.25">
      <c r="A2030">
        <v>1495.139404</v>
      </c>
      <c r="B2030" s="1">
        <f>DATE(2014,6,4) + TIME(3,20,44)</f>
        <v>41794.139398148145</v>
      </c>
      <c r="C2030">
        <v>80</v>
      </c>
      <c r="D2030">
        <v>79.965728760000005</v>
      </c>
      <c r="E2030">
        <v>40</v>
      </c>
      <c r="F2030">
        <v>39.139495850000003</v>
      </c>
      <c r="G2030">
        <v>1341.3621826000001</v>
      </c>
      <c r="H2030">
        <v>1338.3670654</v>
      </c>
      <c r="I2030">
        <v>1324.1096190999999</v>
      </c>
      <c r="J2030">
        <v>1320.9879149999999</v>
      </c>
      <c r="K2030">
        <v>1650</v>
      </c>
      <c r="L2030">
        <v>0</v>
      </c>
      <c r="M2030">
        <v>0</v>
      </c>
      <c r="N2030">
        <v>1650</v>
      </c>
    </row>
    <row r="2031" spans="1:14" x14ac:dyDescent="0.25">
      <c r="A2031">
        <v>1495.934577</v>
      </c>
      <c r="B2031" s="1">
        <f>DATE(2014,6,4) + TIME(22,25,47)</f>
        <v>41794.934571759259</v>
      </c>
      <c r="C2031">
        <v>80</v>
      </c>
      <c r="D2031">
        <v>79.965682982999994</v>
      </c>
      <c r="E2031">
        <v>40</v>
      </c>
      <c r="F2031">
        <v>39.129177093999999</v>
      </c>
      <c r="G2031">
        <v>1341.3530272999999</v>
      </c>
      <c r="H2031">
        <v>1338.3635254000001</v>
      </c>
      <c r="I2031">
        <v>1324.1075439000001</v>
      </c>
      <c r="J2031">
        <v>1320.9836425999999</v>
      </c>
      <c r="K2031">
        <v>1650</v>
      </c>
      <c r="L2031">
        <v>0</v>
      </c>
      <c r="M2031">
        <v>0</v>
      </c>
      <c r="N2031">
        <v>1650</v>
      </c>
    </row>
    <row r="2032" spans="1:14" x14ac:dyDescent="0.25">
      <c r="A2032">
        <v>1496.736975</v>
      </c>
      <c r="B2032" s="1">
        <f>DATE(2014,6,5) + TIME(17,41,14)</f>
        <v>41795.736967592595</v>
      </c>
      <c r="C2032">
        <v>80</v>
      </c>
      <c r="D2032">
        <v>79.965629578000005</v>
      </c>
      <c r="E2032">
        <v>40</v>
      </c>
      <c r="F2032">
        <v>39.119235992</v>
      </c>
      <c r="G2032">
        <v>1341.3438721</v>
      </c>
      <c r="H2032">
        <v>1338.3601074000001</v>
      </c>
      <c r="I2032">
        <v>1324.1053466999999</v>
      </c>
      <c r="J2032">
        <v>1320.979126</v>
      </c>
      <c r="K2032">
        <v>1650</v>
      </c>
      <c r="L2032">
        <v>0</v>
      </c>
      <c r="M2032">
        <v>0</v>
      </c>
      <c r="N2032">
        <v>1650</v>
      </c>
    </row>
    <row r="2033" spans="1:14" x14ac:dyDescent="0.25">
      <c r="A2033">
        <v>1497.5491380000001</v>
      </c>
      <c r="B2033" s="1">
        <f>DATE(2014,6,6) + TIME(13,10,45)</f>
        <v>41796.549131944441</v>
      </c>
      <c r="C2033">
        <v>80</v>
      </c>
      <c r="D2033">
        <v>79.965583800999994</v>
      </c>
      <c r="E2033">
        <v>40</v>
      </c>
      <c r="F2033">
        <v>39.109695434999999</v>
      </c>
      <c r="G2033">
        <v>1341.3348389</v>
      </c>
      <c r="H2033">
        <v>1338.3565673999999</v>
      </c>
      <c r="I2033">
        <v>1324.1031493999999</v>
      </c>
      <c r="J2033">
        <v>1320.9744873</v>
      </c>
      <c r="K2033">
        <v>1650</v>
      </c>
      <c r="L2033">
        <v>0</v>
      </c>
      <c r="M2033">
        <v>0</v>
      </c>
      <c r="N2033">
        <v>1650</v>
      </c>
    </row>
    <row r="2034" spans="1:14" x14ac:dyDescent="0.25">
      <c r="A2034">
        <v>1498.3734609999999</v>
      </c>
      <c r="B2034" s="1">
        <f>DATE(2014,6,7) + TIME(8,57,47)</f>
        <v>41797.373460648145</v>
      </c>
      <c r="C2034">
        <v>80</v>
      </c>
      <c r="D2034">
        <v>79.965530396000005</v>
      </c>
      <c r="E2034">
        <v>40</v>
      </c>
      <c r="F2034">
        <v>39.100578308000003</v>
      </c>
      <c r="G2034">
        <v>1341.3258057</v>
      </c>
      <c r="H2034">
        <v>1338.3531493999999</v>
      </c>
      <c r="I2034">
        <v>1324.1009521000001</v>
      </c>
      <c r="J2034">
        <v>1320.9698486</v>
      </c>
      <c r="K2034">
        <v>1650</v>
      </c>
      <c r="L2034">
        <v>0</v>
      </c>
      <c r="M2034">
        <v>0</v>
      </c>
      <c r="N2034">
        <v>1650</v>
      </c>
    </row>
    <row r="2035" spans="1:14" x14ac:dyDescent="0.25">
      <c r="A2035">
        <v>1499.2131059999999</v>
      </c>
      <c r="B2035" s="1">
        <f>DATE(2014,6,8) + TIME(5,6,52)</f>
        <v>41798.213101851848</v>
      </c>
      <c r="C2035">
        <v>80</v>
      </c>
      <c r="D2035">
        <v>79.965484618999994</v>
      </c>
      <c r="E2035">
        <v>40</v>
      </c>
      <c r="F2035">
        <v>39.091899871999999</v>
      </c>
      <c r="G2035">
        <v>1341.3168945</v>
      </c>
      <c r="H2035">
        <v>1338.3497314000001</v>
      </c>
      <c r="I2035">
        <v>1324.0986327999999</v>
      </c>
      <c r="J2035">
        <v>1320.9649658000001</v>
      </c>
      <c r="K2035">
        <v>1650</v>
      </c>
      <c r="L2035">
        <v>0</v>
      </c>
      <c r="M2035">
        <v>0</v>
      </c>
      <c r="N2035">
        <v>1650</v>
      </c>
    </row>
    <row r="2036" spans="1:14" x14ac:dyDescent="0.25">
      <c r="A2036">
        <v>1500.076971</v>
      </c>
      <c r="B2036" s="1">
        <f>DATE(2014,6,9) + TIME(1,50,50)</f>
        <v>41799.076967592591</v>
      </c>
      <c r="C2036">
        <v>80</v>
      </c>
      <c r="D2036">
        <v>79.965438843000001</v>
      </c>
      <c r="E2036">
        <v>40</v>
      </c>
      <c r="F2036">
        <v>39.083663940000001</v>
      </c>
      <c r="G2036">
        <v>1341.3079834</v>
      </c>
      <c r="H2036">
        <v>1338.3461914</v>
      </c>
      <c r="I2036">
        <v>1324.0961914</v>
      </c>
      <c r="J2036">
        <v>1320.9599608999999</v>
      </c>
      <c r="K2036">
        <v>1650</v>
      </c>
      <c r="L2036">
        <v>0</v>
      </c>
      <c r="M2036">
        <v>0</v>
      </c>
      <c r="N2036">
        <v>1650</v>
      </c>
    </row>
    <row r="2037" spans="1:14" x14ac:dyDescent="0.25">
      <c r="A2037">
        <v>1500.9690800000001</v>
      </c>
      <c r="B2037" s="1">
        <f>DATE(2014,6,9) + TIME(23,15,28)</f>
        <v>41799.969074074077</v>
      </c>
      <c r="C2037">
        <v>80</v>
      </c>
      <c r="D2037">
        <v>79.965385436999995</v>
      </c>
      <c r="E2037">
        <v>40</v>
      </c>
      <c r="F2037">
        <v>39.075897216999998</v>
      </c>
      <c r="G2037">
        <v>1341.2989502</v>
      </c>
      <c r="H2037">
        <v>1338.3427733999999</v>
      </c>
      <c r="I2037">
        <v>1324.09375</v>
      </c>
      <c r="J2037">
        <v>1320.9547118999999</v>
      </c>
      <c r="K2037">
        <v>1650</v>
      </c>
      <c r="L2037">
        <v>0</v>
      </c>
      <c r="M2037">
        <v>0</v>
      </c>
      <c r="N2037">
        <v>1650</v>
      </c>
    </row>
    <row r="2038" spans="1:14" x14ac:dyDescent="0.25">
      <c r="A2038">
        <v>1501.8940889999999</v>
      </c>
      <c r="B2038" s="1">
        <f>DATE(2014,6,10) + TIME(21,27,29)</f>
        <v>41800.894085648149</v>
      </c>
      <c r="C2038">
        <v>80</v>
      </c>
      <c r="D2038">
        <v>79.965339661000002</v>
      </c>
      <c r="E2038">
        <v>40</v>
      </c>
      <c r="F2038">
        <v>39.068653107000003</v>
      </c>
      <c r="G2038">
        <v>1341.2897949000001</v>
      </c>
      <c r="H2038">
        <v>1338.3392334</v>
      </c>
      <c r="I2038">
        <v>1324.0911865</v>
      </c>
      <c r="J2038">
        <v>1320.9492187999999</v>
      </c>
      <c r="K2038">
        <v>1650</v>
      </c>
      <c r="L2038">
        <v>0</v>
      </c>
      <c r="M2038">
        <v>0</v>
      </c>
      <c r="N2038">
        <v>1650</v>
      </c>
    </row>
    <row r="2039" spans="1:14" x14ac:dyDescent="0.25">
      <c r="A2039">
        <v>1502.8476109999999</v>
      </c>
      <c r="B2039" s="1">
        <f>DATE(2014,6,11) + TIME(20,20,33)</f>
        <v>41801.847604166665</v>
      </c>
      <c r="C2039">
        <v>80</v>
      </c>
      <c r="D2039">
        <v>79.965293884000005</v>
      </c>
      <c r="E2039">
        <v>40</v>
      </c>
      <c r="F2039">
        <v>39.062042236000003</v>
      </c>
      <c r="G2039">
        <v>1341.2805175999999</v>
      </c>
      <c r="H2039">
        <v>1338.3355713000001</v>
      </c>
      <c r="I2039">
        <v>1324.0883789</v>
      </c>
      <c r="J2039">
        <v>1320.9434814000001</v>
      </c>
      <c r="K2039">
        <v>1650</v>
      </c>
      <c r="L2039">
        <v>0</v>
      </c>
      <c r="M2039">
        <v>0</v>
      </c>
      <c r="N2039">
        <v>1650</v>
      </c>
    </row>
    <row r="2040" spans="1:14" x14ac:dyDescent="0.25">
      <c r="A2040">
        <v>1503.8316170000001</v>
      </c>
      <c r="B2040" s="1">
        <f>DATE(2014,6,12) + TIME(19,57,31)</f>
        <v>41802.831608796296</v>
      </c>
      <c r="C2040">
        <v>80</v>
      </c>
      <c r="D2040">
        <v>79.965240479000002</v>
      </c>
      <c r="E2040">
        <v>40</v>
      </c>
      <c r="F2040">
        <v>39.056175232000001</v>
      </c>
      <c r="G2040">
        <v>1341.2711182</v>
      </c>
      <c r="H2040">
        <v>1338.3319091999999</v>
      </c>
      <c r="I2040">
        <v>1324.0855713000001</v>
      </c>
      <c r="J2040">
        <v>1320.9373779</v>
      </c>
      <c r="K2040">
        <v>1650</v>
      </c>
      <c r="L2040">
        <v>0</v>
      </c>
      <c r="M2040">
        <v>0</v>
      </c>
      <c r="N2040">
        <v>1650</v>
      </c>
    </row>
    <row r="2041" spans="1:14" x14ac:dyDescent="0.25">
      <c r="A2041">
        <v>1504.851363</v>
      </c>
      <c r="B2041" s="1">
        <f>DATE(2014,6,13) + TIME(20,25,57)</f>
        <v>41803.851354166669</v>
      </c>
      <c r="C2041">
        <v>80</v>
      </c>
      <c r="D2041">
        <v>79.965194702000005</v>
      </c>
      <c r="E2041">
        <v>40</v>
      </c>
      <c r="F2041">
        <v>39.051158905000001</v>
      </c>
      <c r="G2041">
        <v>1341.2615966999999</v>
      </c>
      <c r="H2041">
        <v>1338.328125</v>
      </c>
      <c r="I2041">
        <v>1324.0826416</v>
      </c>
      <c r="J2041">
        <v>1320.9311522999999</v>
      </c>
      <c r="K2041">
        <v>1650</v>
      </c>
      <c r="L2041">
        <v>0</v>
      </c>
      <c r="M2041">
        <v>0</v>
      </c>
      <c r="N2041">
        <v>1650</v>
      </c>
    </row>
    <row r="2042" spans="1:14" x14ac:dyDescent="0.25">
      <c r="A2042">
        <v>1505.9127559999999</v>
      </c>
      <c r="B2042" s="1">
        <f>DATE(2014,6,14) + TIME(21,54,22)</f>
        <v>41804.912754629629</v>
      </c>
      <c r="C2042">
        <v>80</v>
      </c>
      <c r="D2042">
        <v>79.965141295999999</v>
      </c>
      <c r="E2042">
        <v>40</v>
      </c>
      <c r="F2042">
        <v>39.047134399000001</v>
      </c>
      <c r="G2042">
        <v>1341.2519531</v>
      </c>
      <c r="H2042">
        <v>1338.3243408000001</v>
      </c>
      <c r="I2042">
        <v>1324.0795897999999</v>
      </c>
      <c r="J2042">
        <v>1320.9245605000001</v>
      </c>
      <c r="K2042">
        <v>1650</v>
      </c>
      <c r="L2042">
        <v>0</v>
      </c>
      <c r="M2042">
        <v>0</v>
      </c>
      <c r="N2042">
        <v>1650</v>
      </c>
    </row>
    <row r="2043" spans="1:14" x14ac:dyDescent="0.25">
      <c r="A2043">
        <v>1506.448969</v>
      </c>
      <c r="B2043" s="1">
        <f>DATE(2014,6,15) + TIME(10,46,30)</f>
        <v>41805.448958333334</v>
      </c>
      <c r="C2043">
        <v>80</v>
      </c>
      <c r="D2043">
        <v>79.965103149000001</v>
      </c>
      <c r="E2043">
        <v>40</v>
      </c>
      <c r="F2043">
        <v>39.045307158999996</v>
      </c>
      <c r="G2043">
        <v>1341.2419434000001</v>
      </c>
      <c r="H2043">
        <v>1338.3204346</v>
      </c>
      <c r="I2043">
        <v>1324.0767822</v>
      </c>
      <c r="J2043">
        <v>1320.9183350000001</v>
      </c>
      <c r="K2043">
        <v>1650</v>
      </c>
      <c r="L2043">
        <v>0</v>
      </c>
      <c r="M2043">
        <v>0</v>
      </c>
      <c r="N2043">
        <v>1650</v>
      </c>
    </row>
    <row r="2044" spans="1:14" x14ac:dyDescent="0.25">
      <c r="A2044">
        <v>1506.9851819999999</v>
      </c>
      <c r="B2044" s="1">
        <f>DATE(2014,6,15) + TIME(23,38,39)</f>
        <v>41805.985173611109</v>
      </c>
      <c r="C2044">
        <v>80</v>
      </c>
      <c r="D2044">
        <v>79.965072632000002</v>
      </c>
      <c r="E2044">
        <v>40</v>
      </c>
      <c r="F2044">
        <v>39.044059752999999</v>
      </c>
      <c r="G2044">
        <v>1341.2370605000001</v>
      </c>
      <c r="H2044">
        <v>1338.3184814000001</v>
      </c>
      <c r="I2044">
        <v>1324.0749512</v>
      </c>
      <c r="J2044">
        <v>1320.9143065999999</v>
      </c>
      <c r="K2044">
        <v>1650</v>
      </c>
      <c r="L2044">
        <v>0</v>
      </c>
      <c r="M2044">
        <v>0</v>
      </c>
      <c r="N2044">
        <v>1650</v>
      </c>
    </row>
    <row r="2045" spans="1:14" x14ac:dyDescent="0.25">
      <c r="A2045">
        <v>1507.5213940000001</v>
      </c>
      <c r="B2045" s="1">
        <f>DATE(2014,6,16) + TIME(12,30,48)</f>
        <v>41806.52138888889</v>
      </c>
      <c r="C2045">
        <v>80</v>
      </c>
      <c r="D2045">
        <v>79.965042113999999</v>
      </c>
      <c r="E2045">
        <v>40</v>
      </c>
      <c r="F2045">
        <v>39.043338775999999</v>
      </c>
      <c r="G2045">
        <v>1341.2322998</v>
      </c>
      <c r="H2045">
        <v>1338.3165283000001</v>
      </c>
      <c r="I2045">
        <v>1324.0731201000001</v>
      </c>
      <c r="J2045">
        <v>1320.9105225000001</v>
      </c>
      <c r="K2045">
        <v>1650</v>
      </c>
      <c r="L2045">
        <v>0</v>
      </c>
      <c r="M2045">
        <v>0</v>
      </c>
      <c r="N2045">
        <v>1650</v>
      </c>
    </row>
    <row r="2046" spans="1:14" x14ac:dyDescent="0.25">
      <c r="A2046">
        <v>1508.057607</v>
      </c>
      <c r="B2046" s="1">
        <f>DATE(2014,6,17) + TIME(1,22,57)</f>
        <v>41807.057604166665</v>
      </c>
      <c r="C2046">
        <v>80</v>
      </c>
      <c r="D2046">
        <v>79.965011597</v>
      </c>
      <c r="E2046">
        <v>40</v>
      </c>
      <c r="F2046">
        <v>39.043109893999997</v>
      </c>
      <c r="G2046">
        <v>1341.2274170000001</v>
      </c>
      <c r="H2046">
        <v>1338.3145752</v>
      </c>
      <c r="I2046">
        <v>1324.0714111</v>
      </c>
      <c r="J2046">
        <v>1320.9067382999999</v>
      </c>
      <c r="K2046">
        <v>1650</v>
      </c>
      <c r="L2046">
        <v>0</v>
      </c>
      <c r="M2046">
        <v>0</v>
      </c>
      <c r="N2046">
        <v>1650</v>
      </c>
    </row>
    <row r="2047" spans="1:14" x14ac:dyDescent="0.25">
      <c r="A2047">
        <v>1509.1300329999999</v>
      </c>
      <c r="B2047" s="1">
        <f>DATE(2014,6,18) + TIME(3,7,14)</f>
        <v>41808.130023148151</v>
      </c>
      <c r="C2047">
        <v>80</v>
      </c>
      <c r="D2047">
        <v>79.964981078999998</v>
      </c>
      <c r="E2047">
        <v>40</v>
      </c>
      <c r="F2047">
        <v>39.043487548999998</v>
      </c>
      <c r="G2047">
        <v>1341.2227783000001</v>
      </c>
      <c r="H2047">
        <v>1338.3127440999999</v>
      </c>
      <c r="I2047">
        <v>1324.0693358999999</v>
      </c>
      <c r="J2047">
        <v>1320.9023437999999</v>
      </c>
      <c r="K2047">
        <v>1650</v>
      </c>
      <c r="L2047">
        <v>0</v>
      </c>
      <c r="M2047">
        <v>0</v>
      </c>
      <c r="N2047">
        <v>1650</v>
      </c>
    </row>
    <row r="2048" spans="1:14" x14ac:dyDescent="0.25">
      <c r="A2048">
        <v>1510.204252</v>
      </c>
      <c r="B2048" s="1">
        <f>DATE(2014,6,19) + TIME(4,54,7)</f>
        <v>41809.204247685186</v>
      </c>
      <c r="C2048">
        <v>80</v>
      </c>
      <c r="D2048">
        <v>79.964942932</v>
      </c>
      <c r="E2048">
        <v>40</v>
      </c>
      <c r="F2048">
        <v>39.045341491999999</v>
      </c>
      <c r="G2048">
        <v>1341.2133789</v>
      </c>
      <c r="H2048">
        <v>1338.3089600000001</v>
      </c>
      <c r="I2048">
        <v>1324.0662841999999</v>
      </c>
      <c r="J2048">
        <v>1320.8953856999999</v>
      </c>
      <c r="K2048">
        <v>1650</v>
      </c>
      <c r="L2048">
        <v>0</v>
      </c>
      <c r="M2048">
        <v>0</v>
      </c>
      <c r="N2048">
        <v>1650</v>
      </c>
    </row>
    <row r="2049" spans="1:14" x14ac:dyDescent="0.25">
      <c r="A2049">
        <v>1511.2877040000001</v>
      </c>
      <c r="B2049" s="1">
        <f>DATE(2014,6,20) + TIME(6,54,17)</f>
        <v>41810.28769675926</v>
      </c>
      <c r="C2049">
        <v>80</v>
      </c>
      <c r="D2049">
        <v>79.964904785000002</v>
      </c>
      <c r="E2049">
        <v>40</v>
      </c>
      <c r="F2049">
        <v>39.048839569000002</v>
      </c>
      <c r="G2049">
        <v>1341.2041016000001</v>
      </c>
      <c r="H2049">
        <v>1338.3051757999999</v>
      </c>
      <c r="I2049">
        <v>1324.0631103999999</v>
      </c>
      <c r="J2049">
        <v>1320.8883057</v>
      </c>
      <c r="K2049">
        <v>1650</v>
      </c>
      <c r="L2049">
        <v>0</v>
      </c>
      <c r="M2049">
        <v>0</v>
      </c>
      <c r="N2049">
        <v>1650</v>
      </c>
    </row>
    <row r="2050" spans="1:14" x14ac:dyDescent="0.25">
      <c r="A2050">
        <v>1512.3842970000001</v>
      </c>
      <c r="B2050" s="1">
        <f>DATE(2014,6,21) + TIME(9,13,23)</f>
        <v>41811.384293981479</v>
      </c>
      <c r="C2050">
        <v>80</v>
      </c>
      <c r="D2050">
        <v>79.964859008999994</v>
      </c>
      <c r="E2050">
        <v>40</v>
      </c>
      <c r="F2050">
        <v>39.054153442</v>
      </c>
      <c r="G2050">
        <v>1341.1948242000001</v>
      </c>
      <c r="H2050">
        <v>1338.3015137</v>
      </c>
      <c r="I2050">
        <v>1324.0598144999999</v>
      </c>
      <c r="J2050">
        <v>1320.8808594</v>
      </c>
      <c r="K2050">
        <v>1650</v>
      </c>
      <c r="L2050">
        <v>0</v>
      </c>
      <c r="M2050">
        <v>0</v>
      </c>
      <c r="N2050">
        <v>1650</v>
      </c>
    </row>
    <row r="2051" spans="1:14" x14ac:dyDescent="0.25">
      <c r="A2051">
        <v>1513.4997100000001</v>
      </c>
      <c r="B2051" s="1">
        <f>DATE(2014,6,22) + TIME(11,59,34)</f>
        <v>41812.499699074076</v>
      </c>
      <c r="C2051">
        <v>80</v>
      </c>
      <c r="D2051">
        <v>79.964813231999997</v>
      </c>
      <c r="E2051">
        <v>40</v>
      </c>
      <c r="F2051">
        <v>39.061466217000003</v>
      </c>
      <c r="G2051">
        <v>1341.1857910000001</v>
      </c>
      <c r="H2051">
        <v>1338.2977295000001</v>
      </c>
      <c r="I2051">
        <v>1324.0563964999999</v>
      </c>
      <c r="J2051">
        <v>1320.8732910000001</v>
      </c>
      <c r="K2051">
        <v>1650</v>
      </c>
      <c r="L2051">
        <v>0</v>
      </c>
      <c r="M2051">
        <v>0</v>
      </c>
      <c r="N2051">
        <v>1650</v>
      </c>
    </row>
    <row r="2052" spans="1:14" x14ac:dyDescent="0.25">
      <c r="A2052">
        <v>1514.6474229999999</v>
      </c>
      <c r="B2052" s="1">
        <f>DATE(2014,6,23) + TIME(15,32,17)</f>
        <v>41813.647418981483</v>
      </c>
      <c r="C2052">
        <v>80</v>
      </c>
      <c r="D2052">
        <v>79.964767456000004</v>
      </c>
      <c r="E2052">
        <v>40</v>
      </c>
      <c r="F2052">
        <v>39.071041106999999</v>
      </c>
      <c r="G2052">
        <v>1341.1766356999999</v>
      </c>
      <c r="H2052">
        <v>1338.2940673999999</v>
      </c>
      <c r="I2052">
        <v>1324.0529785000001</v>
      </c>
      <c r="J2052">
        <v>1320.8653564000001</v>
      </c>
      <c r="K2052">
        <v>1650</v>
      </c>
      <c r="L2052">
        <v>0</v>
      </c>
      <c r="M2052">
        <v>0</v>
      </c>
      <c r="N2052">
        <v>1650</v>
      </c>
    </row>
    <row r="2053" spans="1:14" x14ac:dyDescent="0.25">
      <c r="A2053">
        <v>1515.833183</v>
      </c>
      <c r="B2053" s="1">
        <f>DATE(2014,6,24) + TIME(19,59,46)</f>
        <v>41814.833171296297</v>
      </c>
      <c r="C2053">
        <v>80</v>
      </c>
      <c r="D2053">
        <v>79.964729309000006</v>
      </c>
      <c r="E2053">
        <v>40</v>
      </c>
      <c r="F2053">
        <v>39.083202362000002</v>
      </c>
      <c r="G2053">
        <v>1341.1673584</v>
      </c>
      <c r="H2053">
        <v>1338.2902832</v>
      </c>
      <c r="I2053">
        <v>1324.0493164</v>
      </c>
      <c r="J2053">
        <v>1320.8572998</v>
      </c>
      <c r="K2053">
        <v>1650</v>
      </c>
      <c r="L2053">
        <v>0</v>
      </c>
      <c r="M2053">
        <v>0</v>
      </c>
      <c r="N2053">
        <v>1650</v>
      </c>
    </row>
    <row r="2054" spans="1:14" x14ac:dyDescent="0.25">
      <c r="A2054">
        <v>1517.063856</v>
      </c>
      <c r="B2054" s="1">
        <f>DATE(2014,6,26) + TIME(1,31,57)</f>
        <v>41816.063854166663</v>
      </c>
      <c r="C2054">
        <v>80</v>
      </c>
      <c r="D2054">
        <v>79.964683532999999</v>
      </c>
      <c r="E2054">
        <v>40</v>
      </c>
      <c r="F2054">
        <v>39.098346710000001</v>
      </c>
      <c r="G2054">
        <v>1341.1580810999999</v>
      </c>
      <c r="H2054">
        <v>1338.2863769999999</v>
      </c>
      <c r="I2054">
        <v>1324.0457764</v>
      </c>
      <c r="J2054">
        <v>1320.8488769999999</v>
      </c>
      <c r="K2054">
        <v>1650</v>
      </c>
      <c r="L2054">
        <v>0</v>
      </c>
      <c r="M2054">
        <v>0</v>
      </c>
      <c r="N2054">
        <v>1650</v>
      </c>
    </row>
    <row r="2055" spans="1:14" x14ac:dyDescent="0.25">
      <c r="A2055">
        <v>1518.3213109999999</v>
      </c>
      <c r="B2055" s="1">
        <f>DATE(2014,6,27) + TIME(7,42,41)</f>
        <v>41817.32130787037</v>
      </c>
      <c r="C2055">
        <v>80</v>
      </c>
      <c r="D2055">
        <v>79.964637756000002</v>
      </c>
      <c r="E2055">
        <v>40</v>
      </c>
      <c r="F2055">
        <v>39.116786957000002</v>
      </c>
      <c r="G2055">
        <v>1341.1485596</v>
      </c>
      <c r="H2055">
        <v>1338.2823486</v>
      </c>
      <c r="I2055">
        <v>1324.0419922000001</v>
      </c>
      <c r="J2055">
        <v>1320.8402100000001</v>
      </c>
      <c r="K2055">
        <v>1650</v>
      </c>
      <c r="L2055">
        <v>0</v>
      </c>
      <c r="M2055">
        <v>0</v>
      </c>
      <c r="N2055">
        <v>1650</v>
      </c>
    </row>
    <row r="2056" spans="1:14" x14ac:dyDescent="0.25">
      <c r="A2056">
        <v>1519.606321</v>
      </c>
      <c r="B2056" s="1">
        <f>DATE(2014,6,28) + TIME(14,33,6)</f>
        <v>41818.606319444443</v>
      </c>
      <c r="C2056">
        <v>80</v>
      </c>
      <c r="D2056">
        <v>79.964591979999994</v>
      </c>
      <c r="E2056">
        <v>40</v>
      </c>
      <c r="F2056">
        <v>39.138839722</v>
      </c>
      <c r="G2056">
        <v>1341.1389160000001</v>
      </c>
      <c r="H2056">
        <v>1338.2783202999999</v>
      </c>
      <c r="I2056">
        <v>1324.0382079999999</v>
      </c>
      <c r="J2056">
        <v>1320.8311768000001</v>
      </c>
      <c r="K2056">
        <v>1650</v>
      </c>
      <c r="L2056">
        <v>0</v>
      </c>
      <c r="M2056">
        <v>0</v>
      </c>
      <c r="N2056">
        <v>1650</v>
      </c>
    </row>
    <row r="2057" spans="1:14" x14ac:dyDescent="0.25">
      <c r="A2057">
        <v>1520.934616</v>
      </c>
      <c r="B2057" s="1">
        <f>DATE(2014,6,29) + TIME(22,25,50)</f>
        <v>41819.934606481482</v>
      </c>
      <c r="C2057">
        <v>80</v>
      </c>
      <c r="D2057">
        <v>79.964553832999997</v>
      </c>
      <c r="E2057">
        <v>40</v>
      </c>
      <c r="F2057">
        <v>39.165031433000003</v>
      </c>
      <c r="G2057">
        <v>1341.1293945</v>
      </c>
      <c r="H2057">
        <v>1338.2742920000001</v>
      </c>
      <c r="I2057">
        <v>1324.0343018000001</v>
      </c>
      <c r="J2057">
        <v>1320.8220214999999</v>
      </c>
      <c r="K2057">
        <v>1650</v>
      </c>
      <c r="L2057">
        <v>0</v>
      </c>
      <c r="M2057">
        <v>0</v>
      </c>
      <c r="N2057">
        <v>1650</v>
      </c>
    </row>
    <row r="2058" spans="1:14" x14ac:dyDescent="0.25">
      <c r="A2058">
        <v>1522</v>
      </c>
      <c r="B2058" s="1">
        <f>DATE(2014,7,1) + TIME(0,0,0)</f>
        <v>41821</v>
      </c>
      <c r="C2058">
        <v>80</v>
      </c>
      <c r="D2058">
        <v>79.964508057000003</v>
      </c>
      <c r="E2058">
        <v>40</v>
      </c>
      <c r="F2058">
        <v>39.192256927000003</v>
      </c>
      <c r="G2058">
        <v>1341.1196289</v>
      </c>
      <c r="H2058">
        <v>1338.2701416</v>
      </c>
      <c r="I2058">
        <v>1324.0306396000001</v>
      </c>
      <c r="J2058">
        <v>1320.8128661999999</v>
      </c>
      <c r="K2058">
        <v>1650</v>
      </c>
      <c r="L2058">
        <v>0</v>
      </c>
      <c r="M2058">
        <v>0</v>
      </c>
      <c r="N2058">
        <v>1650</v>
      </c>
    </row>
    <row r="2059" spans="1:14" x14ac:dyDescent="0.25">
      <c r="A2059">
        <v>1522.688584</v>
      </c>
      <c r="B2059" s="1">
        <f>DATE(2014,7,1) + TIME(16,31,33)</f>
        <v>41821.688576388886</v>
      </c>
      <c r="C2059">
        <v>80</v>
      </c>
      <c r="D2059">
        <v>79.964477539000001</v>
      </c>
      <c r="E2059">
        <v>40</v>
      </c>
      <c r="F2059">
        <v>39.214729308999999</v>
      </c>
      <c r="G2059">
        <v>1341.1119385</v>
      </c>
      <c r="H2059">
        <v>1338.2668457</v>
      </c>
      <c r="I2059">
        <v>1324.0279541</v>
      </c>
      <c r="J2059">
        <v>1320.8056641000001</v>
      </c>
      <c r="K2059">
        <v>1650</v>
      </c>
      <c r="L2059">
        <v>0</v>
      </c>
      <c r="M2059">
        <v>0</v>
      </c>
      <c r="N2059">
        <v>1650</v>
      </c>
    </row>
    <row r="2060" spans="1:14" x14ac:dyDescent="0.25">
      <c r="A2060">
        <v>1524.0657510000001</v>
      </c>
      <c r="B2060" s="1">
        <f>DATE(2014,7,3) + TIME(1,34,40)</f>
        <v>41823.065740740742</v>
      </c>
      <c r="C2060">
        <v>80</v>
      </c>
      <c r="D2060">
        <v>79.964447020999998</v>
      </c>
      <c r="E2060">
        <v>40</v>
      </c>
      <c r="F2060">
        <v>39.247447968000003</v>
      </c>
      <c r="G2060">
        <v>1341.1070557</v>
      </c>
      <c r="H2060">
        <v>1338.2647704999999</v>
      </c>
      <c r="I2060">
        <v>1324.0246582</v>
      </c>
      <c r="J2060">
        <v>1320.7993164</v>
      </c>
      <c r="K2060">
        <v>1650</v>
      </c>
      <c r="L2060">
        <v>0</v>
      </c>
      <c r="M2060">
        <v>0</v>
      </c>
      <c r="N2060">
        <v>1650</v>
      </c>
    </row>
    <row r="2061" spans="1:14" x14ac:dyDescent="0.25">
      <c r="A2061">
        <v>1525.4436659999999</v>
      </c>
      <c r="B2061" s="1">
        <f>DATE(2014,7,4) + TIME(10,38,52)</f>
        <v>41824.443657407406</v>
      </c>
      <c r="C2061">
        <v>80</v>
      </c>
      <c r="D2061">
        <v>79.964408875000004</v>
      </c>
      <c r="E2061">
        <v>40</v>
      </c>
      <c r="F2061">
        <v>39.287494658999996</v>
      </c>
      <c r="G2061">
        <v>1341.0972899999999</v>
      </c>
      <c r="H2061">
        <v>1338.2604980000001</v>
      </c>
      <c r="I2061">
        <v>1324.0209961</v>
      </c>
      <c r="J2061">
        <v>1320.7899170000001</v>
      </c>
      <c r="K2061">
        <v>1650</v>
      </c>
      <c r="L2061">
        <v>0</v>
      </c>
      <c r="M2061">
        <v>0</v>
      </c>
      <c r="N2061">
        <v>1650</v>
      </c>
    </row>
    <row r="2062" spans="1:14" x14ac:dyDescent="0.25">
      <c r="A2062">
        <v>1526.8331270000001</v>
      </c>
      <c r="B2062" s="1">
        <f>DATE(2014,7,5) + TIME(19,59,42)</f>
        <v>41825.833124999997</v>
      </c>
      <c r="C2062">
        <v>80</v>
      </c>
      <c r="D2062">
        <v>79.964370728000006</v>
      </c>
      <c r="E2062">
        <v>40</v>
      </c>
      <c r="F2062">
        <v>39.333946228000002</v>
      </c>
      <c r="G2062">
        <v>1341.0877685999999</v>
      </c>
      <c r="H2062">
        <v>1338.2563477000001</v>
      </c>
      <c r="I2062">
        <v>1324.0173339999999</v>
      </c>
      <c r="J2062">
        <v>1320.7803954999999</v>
      </c>
      <c r="K2062">
        <v>1650</v>
      </c>
      <c r="L2062">
        <v>0</v>
      </c>
      <c r="M2062">
        <v>0</v>
      </c>
      <c r="N2062">
        <v>1650</v>
      </c>
    </row>
    <row r="2063" spans="1:14" x14ac:dyDescent="0.25">
      <c r="A2063">
        <v>1528.2400889999999</v>
      </c>
      <c r="B2063" s="1">
        <f>DATE(2014,7,7) + TIME(5,45,43)</f>
        <v>41827.240081018521</v>
      </c>
      <c r="C2063">
        <v>80</v>
      </c>
      <c r="D2063">
        <v>79.964332580999994</v>
      </c>
      <c r="E2063">
        <v>40</v>
      </c>
      <c r="F2063">
        <v>39.386714935000001</v>
      </c>
      <c r="G2063">
        <v>1341.0783690999999</v>
      </c>
      <c r="H2063">
        <v>1338.2521973</v>
      </c>
      <c r="I2063">
        <v>1324.0135498</v>
      </c>
      <c r="J2063">
        <v>1320.7707519999999</v>
      </c>
      <c r="K2063">
        <v>1650</v>
      </c>
      <c r="L2063">
        <v>0</v>
      </c>
      <c r="M2063">
        <v>0</v>
      </c>
      <c r="N2063">
        <v>1650</v>
      </c>
    </row>
    <row r="2064" spans="1:14" x14ac:dyDescent="0.25">
      <c r="A2064">
        <v>1529.6846250000001</v>
      </c>
      <c r="B2064" s="1">
        <f>DATE(2014,7,8) + TIME(16,25,51)</f>
        <v>41828.684618055559</v>
      </c>
      <c r="C2064">
        <v>80</v>
      </c>
      <c r="D2064">
        <v>79.964294433999996</v>
      </c>
      <c r="E2064">
        <v>40</v>
      </c>
      <c r="F2064">
        <v>39.446414947999997</v>
      </c>
      <c r="G2064">
        <v>1341.0689697</v>
      </c>
      <c r="H2064">
        <v>1338.2480469</v>
      </c>
      <c r="I2064">
        <v>1324.0097656</v>
      </c>
      <c r="J2064">
        <v>1320.7611084</v>
      </c>
      <c r="K2064">
        <v>1650</v>
      </c>
      <c r="L2064">
        <v>0</v>
      </c>
      <c r="M2064">
        <v>0</v>
      </c>
      <c r="N2064">
        <v>1650</v>
      </c>
    </row>
    <row r="2065" spans="1:14" x14ac:dyDescent="0.25">
      <c r="A2065">
        <v>1531.177676</v>
      </c>
      <c r="B2065" s="1">
        <f>DATE(2014,7,10) + TIME(4,15,51)</f>
        <v>41830.177673611113</v>
      </c>
      <c r="C2065">
        <v>80</v>
      </c>
      <c r="D2065">
        <v>79.964256286999998</v>
      </c>
      <c r="E2065">
        <v>40</v>
      </c>
      <c r="F2065">
        <v>39.514049530000001</v>
      </c>
      <c r="G2065">
        <v>1341.0594481999999</v>
      </c>
      <c r="H2065">
        <v>1338.2437743999999</v>
      </c>
      <c r="I2065">
        <v>1324.0061035000001</v>
      </c>
      <c r="J2065">
        <v>1320.7512207</v>
      </c>
      <c r="K2065">
        <v>1650</v>
      </c>
      <c r="L2065">
        <v>0</v>
      </c>
      <c r="M2065">
        <v>0</v>
      </c>
      <c r="N2065">
        <v>1650</v>
      </c>
    </row>
    <row r="2066" spans="1:14" x14ac:dyDescent="0.25">
      <c r="A2066">
        <v>1532.7161940000001</v>
      </c>
      <c r="B2066" s="1">
        <f>DATE(2014,7,11) + TIME(17,11,19)</f>
        <v>41831.716192129628</v>
      </c>
      <c r="C2066">
        <v>80</v>
      </c>
      <c r="D2066">
        <v>79.96421814</v>
      </c>
      <c r="E2066">
        <v>40</v>
      </c>
      <c r="F2066">
        <v>39.590610503999997</v>
      </c>
      <c r="G2066">
        <v>1341.0498047000001</v>
      </c>
      <c r="H2066">
        <v>1338.2393798999999</v>
      </c>
      <c r="I2066">
        <v>1324.0023193</v>
      </c>
      <c r="J2066">
        <v>1320.7413329999999</v>
      </c>
      <c r="K2066">
        <v>1650</v>
      </c>
      <c r="L2066">
        <v>0</v>
      </c>
      <c r="M2066">
        <v>0</v>
      </c>
      <c r="N2066">
        <v>1650</v>
      </c>
    </row>
    <row r="2067" spans="1:14" x14ac:dyDescent="0.25">
      <c r="A2067">
        <v>1534.279172</v>
      </c>
      <c r="B2067" s="1">
        <f>DATE(2014,7,13) + TIME(6,42,0)</f>
        <v>41833.279166666667</v>
      </c>
      <c r="C2067">
        <v>80</v>
      </c>
      <c r="D2067">
        <v>79.964179993000002</v>
      </c>
      <c r="E2067">
        <v>40</v>
      </c>
      <c r="F2067">
        <v>39.676578522</v>
      </c>
      <c r="G2067">
        <v>1341.0400391000001</v>
      </c>
      <c r="H2067">
        <v>1338.2349853999999</v>
      </c>
      <c r="I2067">
        <v>1323.9986572</v>
      </c>
      <c r="J2067">
        <v>1320.7312012</v>
      </c>
      <c r="K2067">
        <v>1650</v>
      </c>
      <c r="L2067">
        <v>0</v>
      </c>
      <c r="M2067">
        <v>0</v>
      </c>
      <c r="N2067">
        <v>1650</v>
      </c>
    </row>
    <row r="2068" spans="1:14" x14ac:dyDescent="0.25">
      <c r="A2068">
        <v>1535.865571</v>
      </c>
      <c r="B2068" s="1">
        <f>DATE(2014,7,14) + TIME(20,46,25)</f>
        <v>41834.865567129629</v>
      </c>
      <c r="C2068">
        <v>80</v>
      </c>
      <c r="D2068">
        <v>79.964141846000004</v>
      </c>
      <c r="E2068">
        <v>40</v>
      </c>
      <c r="F2068">
        <v>39.772392273000001</v>
      </c>
      <c r="G2068">
        <v>1341.0302733999999</v>
      </c>
      <c r="H2068">
        <v>1338.2304687999999</v>
      </c>
      <c r="I2068">
        <v>1323.9951172000001</v>
      </c>
      <c r="J2068">
        <v>1320.7211914</v>
      </c>
      <c r="K2068">
        <v>1650</v>
      </c>
      <c r="L2068">
        <v>0</v>
      </c>
      <c r="M2068">
        <v>0</v>
      </c>
      <c r="N2068">
        <v>1650</v>
      </c>
    </row>
    <row r="2069" spans="1:14" x14ac:dyDescent="0.25">
      <c r="A2069">
        <v>1537.4870169999999</v>
      </c>
      <c r="B2069" s="1">
        <f>DATE(2014,7,16) + TIME(11,41,18)</f>
        <v>41836.487013888887</v>
      </c>
      <c r="C2069">
        <v>80</v>
      </c>
      <c r="D2069">
        <v>79.964111328000001</v>
      </c>
      <c r="E2069">
        <v>40</v>
      </c>
      <c r="F2069">
        <v>39.878978729000004</v>
      </c>
      <c r="G2069">
        <v>1341.0205077999999</v>
      </c>
      <c r="H2069">
        <v>1338.2259521000001</v>
      </c>
      <c r="I2069">
        <v>1323.9916992000001</v>
      </c>
      <c r="J2069">
        <v>1320.7113036999999</v>
      </c>
      <c r="K2069">
        <v>1650</v>
      </c>
      <c r="L2069">
        <v>0</v>
      </c>
      <c r="M2069">
        <v>0</v>
      </c>
      <c r="N2069">
        <v>1650</v>
      </c>
    </row>
    <row r="2070" spans="1:14" x14ac:dyDescent="0.25">
      <c r="A2070">
        <v>1539.16579</v>
      </c>
      <c r="B2070" s="1">
        <f>DATE(2014,7,18) + TIME(3,58,44)</f>
        <v>41838.16578703704</v>
      </c>
      <c r="C2070">
        <v>80</v>
      </c>
      <c r="D2070">
        <v>79.964073181000003</v>
      </c>
      <c r="E2070">
        <v>40</v>
      </c>
      <c r="F2070">
        <v>39.998085021999998</v>
      </c>
      <c r="G2070">
        <v>1341.0107422000001</v>
      </c>
      <c r="H2070">
        <v>1338.2213135</v>
      </c>
      <c r="I2070">
        <v>1323.9884033000001</v>
      </c>
      <c r="J2070">
        <v>1320.7015381000001</v>
      </c>
      <c r="K2070">
        <v>1650</v>
      </c>
      <c r="L2070">
        <v>0</v>
      </c>
      <c r="M2070">
        <v>0</v>
      </c>
      <c r="N2070">
        <v>1650</v>
      </c>
    </row>
    <row r="2071" spans="1:14" x14ac:dyDescent="0.25">
      <c r="A2071">
        <v>1540.899502</v>
      </c>
      <c r="B2071" s="1">
        <f>DATE(2014,7,19) + TIME(21,35,16)</f>
        <v>41839.89949074074</v>
      </c>
      <c r="C2071">
        <v>80</v>
      </c>
      <c r="D2071">
        <v>79.964035034000005</v>
      </c>
      <c r="E2071">
        <v>40</v>
      </c>
      <c r="F2071">
        <v>40.131576537999997</v>
      </c>
      <c r="G2071">
        <v>1341.0007324000001</v>
      </c>
      <c r="H2071">
        <v>1338.2166748</v>
      </c>
      <c r="I2071">
        <v>1323.9852295000001</v>
      </c>
      <c r="J2071">
        <v>1320.6917725000001</v>
      </c>
      <c r="K2071">
        <v>1650</v>
      </c>
      <c r="L2071">
        <v>0</v>
      </c>
      <c r="M2071">
        <v>0</v>
      </c>
      <c r="N2071">
        <v>1650</v>
      </c>
    </row>
    <row r="2072" spans="1:14" x14ac:dyDescent="0.25">
      <c r="A2072">
        <v>1542.640142</v>
      </c>
      <c r="B2072" s="1">
        <f>DATE(2014,7,21) + TIME(15,21,48)</f>
        <v>41841.640138888892</v>
      </c>
      <c r="C2072">
        <v>80</v>
      </c>
      <c r="D2072">
        <v>79.964004517000006</v>
      </c>
      <c r="E2072">
        <v>40</v>
      </c>
      <c r="F2072">
        <v>40.279449462999999</v>
      </c>
      <c r="G2072">
        <v>1340.9906006000001</v>
      </c>
      <c r="H2072">
        <v>1338.2119141000001</v>
      </c>
      <c r="I2072">
        <v>1323.9824219</v>
      </c>
      <c r="J2072">
        <v>1320.682251</v>
      </c>
      <c r="K2072">
        <v>1650</v>
      </c>
      <c r="L2072">
        <v>0</v>
      </c>
      <c r="M2072">
        <v>0</v>
      </c>
      <c r="N2072">
        <v>1650</v>
      </c>
    </row>
    <row r="2073" spans="1:14" x14ac:dyDescent="0.25">
      <c r="A2073">
        <v>1544.397784</v>
      </c>
      <c r="B2073" s="1">
        <f>DATE(2014,7,23) + TIME(9,32,48)</f>
        <v>41843.397777777776</v>
      </c>
      <c r="C2073">
        <v>80</v>
      </c>
      <c r="D2073">
        <v>79.963973999000004</v>
      </c>
      <c r="E2073">
        <v>40</v>
      </c>
      <c r="F2073">
        <v>40.441612243999998</v>
      </c>
      <c r="G2073">
        <v>1340.9805908000001</v>
      </c>
      <c r="H2073">
        <v>1338.2070312000001</v>
      </c>
      <c r="I2073">
        <v>1323.9797363</v>
      </c>
      <c r="J2073">
        <v>1320.6729736</v>
      </c>
      <c r="K2073">
        <v>1650</v>
      </c>
      <c r="L2073">
        <v>0</v>
      </c>
      <c r="M2073">
        <v>0</v>
      </c>
      <c r="N2073">
        <v>1650</v>
      </c>
    </row>
    <row r="2074" spans="1:14" x14ac:dyDescent="0.25">
      <c r="A2074">
        <v>1546.183342</v>
      </c>
      <c r="B2074" s="1">
        <f>DATE(2014,7,25) + TIME(4,24,0)</f>
        <v>41845.183333333334</v>
      </c>
      <c r="C2074">
        <v>80</v>
      </c>
      <c r="D2074">
        <v>79.963935852000006</v>
      </c>
      <c r="E2074">
        <v>40</v>
      </c>
      <c r="F2074">
        <v>40.619144439999999</v>
      </c>
      <c r="G2074">
        <v>1340.9707031</v>
      </c>
      <c r="H2074">
        <v>1338.2022704999999</v>
      </c>
      <c r="I2074">
        <v>1323.9772949000001</v>
      </c>
      <c r="J2074">
        <v>1320.6643065999999</v>
      </c>
      <c r="K2074">
        <v>1650</v>
      </c>
      <c r="L2074">
        <v>0</v>
      </c>
      <c r="M2074">
        <v>0</v>
      </c>
      <c r="N2074">
        <v>1650</v>
      </c>
    </row>
    <row r="2075" spans="1:14" x14ac:dyDescent="0.25">
      <c r="A2075">
        <v>1548.0190050000001</v>
      </c>
      <c r="B2075" s="1">
        <f>DATE(2014,7,27) + TIME(0,27,22)</f>
        <v>41847.019004629627</v>
      </c>
      <c r="C2075">
        <v>80</v>
      </c>
      <c r="D2075">
        <v>79.963905334000003</v>
      </c>
      <c r="E2075">
        <v>40</v>
      </c>
      <c r="F2075">
        <v>40.814250946000001</v>
      </c>
      <c r="G2075">
        <v>1340.9608154</v>
      </c>
      <c r="H2075">
        <v>1338.1973877</v>
      </c>
      <c r="I2075">
        <v>1323.9750977000001</v>
      </c>
      <c r="J2075">
        <v>1320.6560059000001</v>
      </c>
      <c r="K2075">
        <v>1650</v>
      </c>
      <c r="L2075">
        <v>0</v>
      </c>
      <c r="M2075">
        <v>0</v>
      </c>
      <c r="N2075">
        <v>1650</v>
      </c>
    </row>
    <row r="2076" spans="1:14" x14ac:dyDescent="0.25">
      <c r="A2076">
        <v>1549.8782040000001</v>
      </c>
      <c r="B2076" s="1">
        <f>DATE(2014,7,28) + TIME(21,4,36)</f>
        <v>41848.878194444442</v>
      </c>
      <c r="C2076">
        <v>80</v>
      </c>
      <c r="D2076">
        <v>79.963874817000004</v>
      </c>
      <c r="E2076">
        <v>40</v>
      </c>
      <c r="F2076">
        <v>41.028137207</v>
      </c>
      <c r="G2076">
        <v>1340.9508057</v>
      </c>
      <c r="H2076">
        <v>1338.1925048999999</v>
      </c>
      <c r="I2076">
        <v>1323.9733887</v>
      </c>
      <c r="J2076">
        <v>1320.6480713000001</v>
      </c>
      <c r="K2076">
        <v>1650</v>
      </c>
      <c r="L2076">
        <v>0</v>
      </c>
      <c r="M2076">
        <v>0</v>
      </c>
      <c r="N2076">
        <v>1650</v>
      </c>
    </row>
    <row r="2077" spans="1:14" x14ac:dyDescent="0.25">
      <c r="A2077">
        <v>1551.7711939999999</v>
      </c>
      <c r="B2077" s="1">
        <f>DATE(2014,7,30) + TIME(18,30,31)</f>
        <v>41850.771192129629</v>
      </c>
      <c r="C2077">
        <v>80</v>
      </c>
      <c r="D2077">
        <v>79.963844299000002</v>
      </c>
      <c r="E2077">
        <v>40</v>
      </c>
      <c r="F2077">
        <v>41.261676788000003</v>
      </c>
      <c r="G2077">
        <v>1340.940918</v>
      </c>
      <c r="H2077">
        <v>1338.1875</v>
      </c>
      <c r="I2077">
        <v>1323.9719238</v>
      </c>
      <c r="J2077">
        <v>1320.6408690999999</v>
      </c>
      <c r="K2077">
        <v>1650</v>
      </c>
      <c r="L2077">
        <v>0</v>
      </c>
      <c r="M2077">
        <v>0</v>
      </c>
      <c r="N2077">
        <v>1650</v>
      </c>
    </row>
    <row r="2078" spans="1:14" x14ac:dyDescent="0.25">
      <c r="A2078">
        <v>1553</v>
      </c>
      <c r="B2078" s="1">
        <f>DATE(2014,8,1) + TIME(0,0,0)</f>
        <v>41852</v>
      </c>
      <c r="C2078">
        <v>80</v>
      </c>
      <c r="D2078">
        <v>79.963813782000003</v>
      </c>
      <c r="E2078">
        <v>40</v>
      </c>
      <c r="F2078">
        <v>41.472320557000003</v>
      </c>
      <c r="G2078">
        <v>1340.9309082</v>
      </c>
      <c r="H2078">
        <v>1338.1824951000001</v>
      </c>
      <c r="I2078">
        <v>1323.9726562000001</v>
      </c>
      <c r="J2078">
        <v>1320.6348877</v>
      </c>
      <c r="K2078">
        <v>1650</v>
      </c>
      <c r="L2078">
        <v>0</v>
      </c>
      <c r="M2078">
        <v>0</v>
      </c>
      <c r="N2078">
        <v>1650</v>
      </c>
    </row>
    <row r="2079" spans="1:14" x14ac:dyDescent="0.25">
      <c r="A2079">
        <v>1554.9555989999999</v>
      </c>
      <c r="B2079" s="1">
        <f>DATE(2014,8,2) + TIME(22,56,3)</f>
        <v>41853.955590277779</v>
      </c>
      <c r="C2079">
        <v>80</v>
      </c>
      <c r="D2079">
        <v>79.963798522999994</v>
      </c>
      <c r="E2079">
        <v>40</v>
      </c>
      <c r="F2079">
        <v>41.710918427000003</v>
      </c>
      <c r="G2079">
        <v>1340.9245605000001</v>
      </c>
      <c r="H2079">
        <v>1338.1793213000001</v>
      </c>
      <c r="I2079">
        <v>1323.9697266000001</v>
      </c>
      <c r="J2079">
        <v>1320.6303711</v>
      </c>
      <c r="K2079">
        <v>1650</v>
      </c>
      <c r="L2079">
        <v>0</v>
      </c>
      <c r="M2079">
        <v>0</v>
      </c>
      <c r="N2079">
        <v>1650</v>
      </c>
    </row>
    <row r="2080" spans="1:14" x14ac:dyDescent="0.25">
      <c r="A2080">
        <v>1557.004066</v>
      </c>
      <c r="B2080" s="1">
        <f>DATE(2014,8,5) + TIME(0,5,51)</f>
        <v>41856.004062499997</v>
      </c>
      <c r="C2080">
        <v>80</v>
      </c>
      <c r="D2080">
        <v>79.963775635000005</v>
      </c>
      <c r="E2080">
        <v>40</v>
      </c>
      <c r="F2080">
        <v>41.995613098</v>
      </c>
      <c r="G2080">
        <v>1340.9145507999999</v>
      </c>
      <c r="H2080">
        <v>1338.1741943</v>
      </c>
      <c r="I2080">
        <v>1323.9696045000001</v>
      </c>
      <c r="J2080">
        <v>1320.625</v>
      </c>
      <c r="K2080">
        <v>1650</v>
      </c>
      <c r="L2080">
        <v>0</v>
      </c>
      <c r="M2080">
        <v>0</v>
      </c>
      <c r="N2080">
        <v>1650</v>
      </c>
    </row>
    <row r="2081" spans="1:14" x14ac:dyDescent="0.25">
      <c r="A2081">
        <v>1559.1065880000001</v>
      </c>
      <c r="B2081" s="1">
        <f>DATE(2014,8,7) + TIME(2,33,29)</f>
        <v>41858.106585648151</v>
      </c>
      <c r="C2081">
        <v>80</v>
      </c>
      <c r="D2081">
        <v>79.963752747000001</v>
      </c>
      <c r="E2081">
        <v>40</v>
      </c>
      <c r="F2081">
        <v>42.317981719999999</v>
      </c>
      <c r="G2081">
        <v>1340.9041748</v>
      </c>
      <c r="H2081">
        <v>1338.1688231999999</v>
      </c>
      <c r="I2081">
        <v>1323.9699707</v>
      </c>
      <c r="J2081">
        <v>1320.6204834</v>
      </c>
      <c r="K2081">
        <v>1650</v>
      </c>
      <c r="L2081">
        <v>0</v>
      </c>
      <c r="M2081">
        <v>0</v>
      </c>
      <c r="N2081">
        <v>1650</v>
      </c>
    </row>
    <row r="2082" spans="1:14" x14ac:dyDescent="0.25">
      <c r="A2082">
        <v>1561.2884449999999</v>
      </c>
      <c r="B2082" s="1">
        <f>DATE(2014,8,9) + TIME(6,55,21)</f>
        <v>41860.288437499999</v>
      </c>
      <c r="C2082">
        <v>80</v>
      </c>
      <c r="D2082">
        <v>79.963722228999998</v>
      </c>
      <c r="E2082">
        <v>40</v>
      </c>
      <c r="F2082">
        <v>42.675430298000002</v>
      </c>
      <c r="G2082">
        <v>1340.8937988</v>
      </c>
      <c r="H2082">
        <v>1338.1634521000001</v>
      </c>
      <c r="I2082">
        <v>1323.9705810999999</v>
      </c>
      <c r="J2082">
        <v>1320.6168213000001</v>
      </c>
      <c r="K2082">
        <v>1650</v>
      </c>
      <c r="L2082">
        <v>0</v>
      </c>
      <c r="M2082">
        <v>0</v>
      </c>
      <c r="N2082">
        <v>1650</v>
      </c>
    </row>
    <row r="2083" spans="1:14" x14ac:dyDescent="0.25">
      <c r="A2083">
        <v>1563.495555</v>
      </c>
      <c r="B2083" s="1">
        <f>DATE(2014,8,11) + TIME(11,53,35)</f>
        <v>41862.49554398148</v>
      </c>
      <c r="C2083">
        <v>80</v>
      </c>
      <c r="D2083">
        <v>79.963699340999995</v>
      </c>
      <c r="E2083">
        <v>40</v>
      </c>
      <c r="F2083">
        <v>43.066699982000003</v>
      </c>
      <c r="G2083">
        <v>1340.8831786999999</v>
      </c>
      <c r="H2083">
        <v>1338.1578368999999</v>
      </c>
      <c r="I2083">
        <v>1323.9719238</v>
      </c>
      <c r="J2083">
        <v>1320.6142577999999</v>
      </c>
      <c r="K2083">
        <v>1650</v>
      </c>
      <c r="L2083">
        <v>0</v>
      </c>
      <c r="M2083">
        <v>0</v>
      </c>
      <c r="N2083">
        <v>1650</v>
      </c>
    </row>
    <row r="2084" spans="1:14" x14ac:dyDescent="0.25">
      <c r="A2084">
        <v>1565.7279619999999</v>
      </c>
      <c r="B2084" s="1">
        <f>DATE(2014,8,13) + TIME(17,28,15)</f>
        <v>41864.727951388886</v>
      </c>
      <c r="C2084">
        <v>80</v>
      </c>
      <c r="D2084">
        <v>79.963676453000005</v>
      </c>
      <c r="E2084">
        <v>40</v>
      </c>
      <c r="F2084">
        <v>43.488475800000003</v>
      </c>
      <c r="G2084">
        <v>1340.8725586</v>
      </c>
      <c r="H2084">
        <v>1338.1522216999999</v>
      </c>
      <c r="I2084">
        <v>1323.9738769999999</v>
      </c>
      <c r="J2084">
        <v>1320.6130370999999</v>
      </c>
      <c r="K2084">
        <v>1650</v>
      </c>
      <c r="L2084">
        <v>0</v>
      </c>
      <c r="M2084">
        <v>0</v>
      </c>
      <c r="N2084">
        <v>1650</v>
      </c>
    </row>
    <row r="2085" spans="1:14" x14ac:dyDescent="0.25">
      <c r="A2085">
        <v>1567.9801660000001</v>
      </c>
      <c r="B2085" s="1">
        <f>DATE(2014,8,15) + TIME(23,31,26)</f>
        <v>41866.980162037034</v>
      </c>
      <c r="C2085">
        <v>80</v>
      </c>
      <c r="D2085">
        <v>79.963653563999998</v>
      </c>
      <c r="E2085">
        <v>40</v>
      </c>
      <c r="F2085">
        <v>43.939178466999998</v>
      </c>
      <c r="G2085">
        <v>1340.8620605000001</v>
      </c>
      <c r="H2085">
        <v>1338.1467285000001</v>
      </c>
      <c r="I2085">
        <v>1323.9763184000001</v>
      </c>
      <c r="J2085">
        <v>1320.6130370999999</v>
      </c>
      <c r="K2085">
        <v>1650</v>
      </c>
      <c r="L2085">
        <v>0</v>
      </c>
      <c r="M2085">
        <v>0</v>
      </c>
      <c r="N2085">
        <v>1650</v>
      </c>
    </row>
    <row r="2086" spans="1:14" x14ac:dyDescent="0.25">
      <c r="A2086">
        <v>1570.2668329999999</v>
      </c>
      <c r="B2086" s="1">
        <f>DATE(2014,8,18) + TIME(6,24,14)</f>
        <v>41869.266828703701</v>
      </c>
      <c r="C2086">
        <v>80</v>
      </c>
      <c r="D2086">
        <v>79.963630675999994</v>
      </c>
      <c r="E2086">
        <v>40</v>
      </c>
      <c r="F2086">
        <v>44.418392181000002</v>
      </c>
      <c r="G2086">
        <v>1340.8516846</v>
      </c>
      <c r="H2086">
        <v>1338.1411132999999</v>
      </c>
      <c r="I2086">
        <v>1323.9793701000001</v>
      </c>
      <c r="J2086">
        <v>1320.6145019999999</v>
      </c>
      <c r="K2086">
        <v>1650</v>
      </c>
      <c r="L2086">
        <v>0</v>
      </c>
      <c r="M2086">
        <v>0</v>
      </c>
      <c r="N2086">
        <v>1650</v>
      </c>
    </row>
    <row r="2087" spans="1:14" x14ac:dyDescent="0.25">
      <c r="A2087">
        <v>1572.6035440000001</v>
      </c>
      <c r="B2087" s="1">
        <f>DATE(2014,8,20) + TIME(14,29,6)</f>
        <v>41871.603541666664</v>
      </c>
      <c r="C2087">
        <v>80</v>
      </c>
      <c r="D2087">
        <v>79.963607788000004</v>
      </c>
      <c r="E2087">
        <v>40</v>
      </c>
      <c r="F2087">
        <v>44.927356719999999</v>
      </c>
      <c r="G2087">
        <v>1340.8413086</v>
      </c>
      <c r="H2087">
        <v>1338.1354980000001</v>
      </c>
      <c r="I2087">
        <v>1323.9831543</v>
      </c>
      <c r="J2087">
        <v>1320.6174315999999</v>
      </c>
      <c r="K2087">
        <v>1650</v>
      </c>
      <c r="L2087">
        <v>0</v>
      </c>
      <c r="M2087">
        <v>0</v>
      </c>
      <c r="N2087">
        <v>1650</v>
      </c>
    </row>
    <row r="2088" spans="1:14" x14ac:dyDescent="0.25">
      <c r="A2088">
        <v>1574.9907940000001</v>
      </c>
      <c r="B2088" s="1">
        <f>DATE(2014,8,22) + TIME(23,46,44)</f>
        <v>41873.990787037037</v>
      </c>
      <c r="C2088">
        <v>80</v>
      </c>
      <c r="D2088">
        <v>79.963592528999996</v>
      </c>
      <c r="E2088">
        <v>40</v>
      </c>
      <c r="F2088">
        <v>45.466339111000003</v>
      </c>
      <c r="G2088">
        <v>1340.8309326000001</v>
      </c>
      <c r="H2088">
        <v>1338.1298827999999</v>
      </c>
      <c r="I2088">
        <v>1323.9875488</v>
      </c>
      <c r="J2088">
        <v>1320.6217041</v>
      </c>
      <c r="K2088">
        <v>1650</v>
      </c>
      <c r="L2088">
        <v>0</v>
      </c>
      <c r="M2088">
        <v>0</v>
      </c>
      <c r="N2088">
        <v>1650</v>
      </c>
    </row>
    <row r="2089" spans="1:14" x14ac:dyDescent="0.25">
      <c r="A2089">
        <v>1577.4175090000001</v>
      </c>
      <c r="B2089" s="1">
        <f>DATE(2014,8,25) + TIME(10,1,12)</f>
        <v>41876.417500000003</v>
      </c>
      <c r="C2089">
        <v>80</v>
      </c>
      <c r="D2089">
        <v>79.963577271000005</v>
      </c>
      <c r="E2089">
        <v>40</v>
      </c>
      <c r="F2089">
        <v>46.033950806</v>
      </c>
      <c r="G2089">
        <v>1340.8205565999999</v>
      </c>
      <c r="H2089">
        <v>1338.1241454999999</v>
      </c>
      <c r="I2089">
        <v>1323.9926757999999</v>
      </c>
      <c r="J2089">
        <v>1320.6275635</v>
      </c>
      <c r="K2089">
        <v>1650</v>
      </c>
      <c r="L2089">
        <v>0</v>
      </c>
      <c r="M2089">
        <v>0</v>
      </c>
      <c r="N2089">
        <v>1650</v>
      </c>
    </row>
    <row r="2090" spans="1:14" x14ac:dyDescent="0.25">
      <c r="A2090">
        <v>1579.8783020000001</v>
      </c>
      <c r="B2090" s="1">
        <f>DATE(2014,8,27) + TIME(21,4,45)</f>
        <v>41878.878298611111</v>
      </c>
      <c r="C2090">
        <v>80</v>
      </c>
      <c r="D2090">
        <v>79.963554381999998</v>
      </c>
      <c r="E2090">
        <v>40</v>
      </c>
      <c r="F2090">
        <v>46.626304626</v>
      </c>
      <c r="G2090">
        <v>1340.8101807</v>
      </c>
      <c r="H2090">
        <v>1338.1184082</v>
      </c>
      <c r="I2090">
        <v>1323.9985352000001</v>
      </c>
      <c r="J2090">
        <v>1320.6350098</v>
      </c>
      <c r="K2090">
        <v>1650</v>
      </c>
      <c r="L2090">
        <v>0</v>
      </c>
      <c r="M2090">
        <v>0</v>
      </c>
      <c r="N2090">
        <v>1650</v>
      </c>
    </row>
    <row r="2091" spans="1:14" x14ac:dyDescent="0.25">
      <c r="A2091">
        <v>1581.123959</v>
      </c>
      <c r="B2091" s="1">
        <f>DATE(2014,8,29) + TIME(2,58,30)</f>
        <v>41880.12395833333</v>
      </c>
      <c r="C2091">
        <v>80</v>
      </c>
      <c r="D2091">
        <v>79.963531493999994</v>
      </c>
      <c r="E2091">
        <v>40</v>
      </c>
      <c r="F2091">
        <v>47.101745604999998</v>
      </c>
      <c r="G2091">
        <v>1340.8000488</v>
      </c>
      <c r="H2091">
        <v>1338.1126709</v>
      </c>
      <c r="I2091">
        <v>1324.0093993999999</v>
      </c>
      <c r="J2091">
        <v>1320.6442870999999</v>
      </c>
      <c r="K2091">
        <v>1650</v>
      </c>
      <c r="L2091">
        <v>0</v>
      </c>
      <c r="M2091">
        <v>0</v>
      </c>
      <c r="N2091">
        <v>1650</v>
      </c>
    </row>
    <row r="2092" spans="1:14" x14ac:dyDescent="0.25">
      <c r="A2092">
        <v>1583.371312</v>
      </c>
      <c r="B2092" s="1">
        <f>DATE(2014,8,31) + TIME(8,54,41)</f>
        <v>41882.371307870373</v>
      </c>
      <c r="C2092">
        <v>80</v>
      </c>
      <c r="D2092">
        <v>79.963523864999999</v>
      </c>
      <c r="E2092">
        <v>40</v>
      </c>
      <c r="F2092">
        <v>47.583217621000003</v>
      </c>
      <c r="G2092">
        <v>1340.7949219</v>
      </c>
      <c r="H2092">
        <v>1338.1097411999999</v>
      </c>
      <c r="I2092">
        <v>1324.0089111</v>
      </c>
      <c r="J2092">
        <v>1320.6516113</v>
      </c>
      <c r="K2092">
        <v>1650</v>
      </c>
      <c r="L2092">
        <v>0</v>
      </c>
      <c r="M2092">
        <v>0</v>
      </c>
      <c r="N2092">
        <v>1650</v>
      </c>
    </row>
    <row r="2093" spans="1:14" x14ac:dyDescent="0.25">
      <c r="A2093">
        <v>1584</v>
      </c>
      <c r="B2093" s="1">
        <f>DATE(2014,9,1) + TIME(0,0,0)</f>
        <v>41883</v>
      </c>
      <c r="C2093">
        <v>80</v>
      </c>
      <c r="D2093">
        <v>79.963508606000005</v>
      </c>
      <c r="E2093">
        <v>40</v>
      </c>
      <c r="F2093">
        <v>47.885677338000001</v>
      </c>
      <c r="G2093">
        <v>1340.7858887</v>
      </c>
      <c r="H2093">
        <v>1338.1047363</v>
      </c>
      <c r="I2093">
        <v>1324.0231934000001</v>
      </c>
      <c r="J2093">
        <v>1320.6605225000001</v>
      </c>
      <c r="K2093">
        <v>1650</v>
      </c>
      <c r="L2093">
        <v>0</v>
      </c>
      <c r="M2093">
        <v>0</v>
      </c>
      <c r="N2093">
        <v>1650</v>
      </c>
    </row>
    <row r="2094" spans="1:14" x14ac:dyDescent="0.25">
      <c r="A2094">
        <v>1586.4195219999999</v>
      </c>
      <c r="B2094" s="1">
        <f>DATE(2014,9,3) + TIME(10,4,6)</f>
        <v>41885.41951388889</v>
      </c>
      <c r="C2094">
        <v>80</v>
      </c>
      <c r="D2094">
        <v>79.963508606000005</v>
      </c>
      <c r="E2094">
        <v>40</v>
      </c>
      <c r="F2094">
        <v>48.334209442000002</v>
      </c>
      <c r="G2094">
        <v>1340.7833252</v>
      </c>
      <c r="H2094">
        <v>1338.1032714999999</v>
      </c>
      <c r="I2094">
        <v>1324.0174560999999</v>
      </c>
      <c r="J2094">
        <v>1320.6658935999999</v>
      </c>
      <c r="K2094">
        <v>1650</v>
      </c>
      <c r="L2094">
        <v>0</v>
      </c>
      <c r="M2094">
        <v>0</v>
      </c>
      <c r="N2094">
        <v>1650</v>
      </c>
    </row>
    <row r="2095" spans="1:14" x14ac:dyDescent="0.25">
      <c r="A2095">
        <v>1588.924051</v>
      </c>
      <c r="B2095" s="1">
        <f>DATE(2014,9,5) + TIME(22,10,38)</f>
        <v>41887.924050925925</v>
      </c>
      <c r="C2095">
        <v>80</v>
      </c>
      <c r="D2095">
        <v>79.963508606000005</v>
      </c>
      <c r="E2095">
        <v>40</v>
      </c>
      <c r="F2095">
        <v>48.898612976000003</v>
      </c>
      <c r="G2095">
        <v>1340.7736815999999</v>
      </c>
      <c r="H2095">
        <v>1338.0979004000001</v>
      </c>
      <c r="I2095">
        <v>1324.0255127</v>
      </c>
      <c r="J2095">
        <v>1320.6754149999999</v>
      </c>
      <c r="K2095">
        <v>1650</v>
      </c>
      <c r="L2095">
        <v>0</v>
      </c>
      <c r="M2095">
        <v>0</v>
      </c>
      <c r="N2095">
        <v>1650</v>
      </c>
    </row>
    <row r="2096" spans="1:14" x14ac:dyDescent="0.25">
      <c r="A2096">
        <v>1591.5115410000001</v>
      </c>
      <c r="B2096" s="1">
        <f>DATE(2014,9,8) + TIME(12,16,37)</f>
        <v>41890.51153935185</v>
      </c>
      <c r="C2096">
        <v>80</v>
      </c>
      <c r="D2096">
        <v>79.963493346999996</v>
      </c>
      <c r="E2096">
        <v>40</v>
      </c>
      <c r="F2096">
        <v>49.507270812999998</v>
      </c>
      <c r="G2096">
        <v>1340.7640381000001</v>
      </c>
      <c r="H2096">
        <v>1338.0922852000001</v>
      </c>
      <c r="I2096">
        <v>1324.0343018000001</v>
      </c>
      <c r="J2096">
        <v>1320.6879882999999</v>
      </c>
      <c r="K2096">
        <v>1650</v>
      </c>
      <c r="L2096">
        <v>0</v>
      </c>
      <c r="M2096">
        <v>0</v>
      </c>
      <c r="N2096">
        <v>1650</v>
      </c>
    </row>
    <row r="2097" spans="1:14" x14ac:dyDescent="0.25">
      <c r="A2097">
        <v>1594.1469070000001</v>
      </c>
      <c r="B2097" s="1">
        <f>DATE(2014,9,11) + TIME(3,31,32)</f>
        <v>41893.146898148145</v>
      </c>
      <c r="C2097">
        <v>80</v>
      </c>
      <c r="D2097">
        <v>79.963485718000001</v>
      </c>
      <c r="E2097">
        <v>40</v>
      </c>
      <c r="F2097">
        <v>50.133476256999998</v>
      </c>
      <c r="G2097">
        <v>1340.7541504000001</v>
      </c>
      <c r="H2097">
        <v>1338.0867920000001</v>
      </c>
      <c r="I2097">
        <v>1324.0439452999999</v>
      </c>
      <c r="J2097">
        <v>1320.7023925999999</v>
      </c>
      <c r="K2097">
        <v>1650</v>
      </c>
      <c r="L2097">
        <v>0</v>
      </c>
      <c r="M2097">
        <v>0</v>
      </c>
      <c r="N2097">
        <v>1650</v>
      </c>
    </row>
    <row r="2098" spans="1:14" x14ac:dyDescent="0.25">
      <c r="A2098">
        <v>1596.8733279999999</v>
      </c>
      <c r="B2098" s="1">
        <f>DATE(2014,9,13) + TIME(20,57,35)</f>
        <v>41895.87332175926</v>
      </c>
      <c r="C2098">
        <v>80</v>
      </c>
      <c r="D2098">
        <v>79.963478088000002</v>
      </c>
      <c r="E2098">
        <v>40</v>
      </c>
      <c r="F2098">
        <v>50.763652802000003</v>
      </c>
      <c r="G2098">
        <v>1340.7443848</v>
      </c>
      <c r="H2098">
        <v>1338.0811768000001</v>
      </c>
      <c r="I2098">
        <v>1324.0541992000001</v>
      </c>
      <c r="J2098">
        <v>1320.7182617000001</v>
      </c>
      <c r="K2098">
        <v>1650</v>
      </c>
      <c r="L2098">
        <v>0</v>
      </c>
      <c r="M2098">
        <v>0</v>
      </c>
      <c r="N2098">
        <v>1650</v>
      </c>
    </row>
    <row r="2099" spans="1:14" x14ac:dyDescent="0.25">
      <c r="A2099">
        <v>1599.703602</v>
      </c>
      <c r="B2099" s="1">
        <f>DATE(2014,9,16) + TIME(16,53,11)</f>
        <v>41898.703599537039</v>
      </c>
      <c r="C2099">
        <v>80</v>
      </c>
      <c r="D2099">
        <v>79.963470459000007</v>
      </c>
      <c r="E2099">
        <v>40</v>
      </c>
      <c r="F2099">
        <v>51.398296356000003</v>
      </c>
      <c r="G2099">
        <v>1340.7344971</v>
      </c>
      <c r="H2099">
        <v>1338.0754394999999</v>
      </c>
      <c r="I2099">
        <v>1324.0653076000001</v>
      </c>
      <c r="J2099">
        <v>1320.7352295000001</v>
      </c>
      <c r="K2099">
        <v>1650</v>
      </c>
      <c r="L2099">
        <v>0</v>
      </c>
      <c r="M2099">
        <v>0</v>
      </c>
      <c r="N2099">
        <v>1650</v>
      </c>
    </row>
    <row r="2100" spans="1:14" x14ac:dyDescent="0.25">
      <c r="A2100">
        <v>1602.6233689999999</v>
      </c>
      <c r="B2100" s="1">
        <f>DATE(2014,9,19) + TIME(14,57,39)</f>
        <v>41901.623368055552</v>
      </c>
      <c r="C2100">
        <v>80</v>
      </c>
      <c r="D2100">
        <v>79.963462829999997</v>
      </c>
      <c r="E2100">
        <v>40</v>
      </c>
      <c r="F2100">
        <v>52.036327362000002</v>
      </c>
      <c r="G2100">
        <v>1340.7244873</v>
      </c>
      <c r="H2100">
        <v>1338.0697021000001</v>
      </c>
      <c r="I2100">
        <v>1324.0773925999999</v>
      </c>
      <c r="J2100">
        <v>1320.7535399999999</v>
      </c>
      <c r="K2100">
        <v>1650</v>
      </c>
      <c r="L2100">
        <v>0</v>
      </c>
      <c r="M2100">
        <v>0</v>
      </c>
      <c r="N2100">
        <v>1650</v>
      </c>
    </row>
    <row r="2101" spans="1:14" x14ac:dyDescent="0.25">
      <c r="A2101">
        <v>1605.672429</v>
      </c>
      <c r="B2101" s="1">
        <f>DATE(2014,9,22) + TIME(16,8,17)</f>
        <v>41904.672418981485</v>
      </c>
      <c r="C2101">
        <v>80</v>
      </c>
      <c r="D2101">
        <v>79.963462829999997</v>
      </c>
      <c r="E2101">
        <v>40</v>
      </c>
      <c r="F2101">
        <v>52.676040649000001</v>
      </c>
      <c r="G2101">
        <v>1340.7144774999999</v>
      </c>
      <c r="H2101">
        <v>1338.0638428</v>
      </c>
      <c r="I2101">
        <v>1324.090332</v>
      </c>
      <c r="J2101">
        <v>1320.7731934000001</v>
      </c>
      <c r="K2101">
        <v>1650</v>
      </c>
      <c r="L2101">
        <v>0</v>
      </c>
      <c r="M2101">
        <v>0</v>
      </c>
      <c r="N2101">
        <v>1650</v>
      </c>
    </row>
    <row r="2102" spans="1:14" x14ac:dyDescent="0.25">
      <c r="A2102">
        <v>1608.904974</v>
      </c>
      <c r="B2102" s="1">
        <f>DATE(2014,9,25) + TIME(21,43,9)</f>
        <v>41907.904965277776</v>
      </c>
      <c r="C2102">
        <v>80</v>
      </c>
      <c r="D2102">
        <v>79.963462829999997</v>
      </c>
      <c r="E2102">
        <v>40</v>
      </c>
      <c r="F2102">
        <v>53.321903229</v>
      </c>
      <c r="G2102">
        <v>1340.7042236</v>
      </c>
      <c r="H2102">
        <v>1338.0579834</v>
      </c>
      <c r="I2102">
        <v>1324.1040039</v>
      </c>
      <c r="J2102">
        <v>1320.7939452999999</v>
      </c>
      <c r="K2102">
        <v>1650</v>
      </c>
      <c r="L2102">
        <v>0</v>
      </c>
      <c r="M2102">
        <v>0</v>
      </c>
      <c r="N2102">
        <v>1650</v>
      </c>
    </row>
    <row r="2103" spans="1:14" x14ac:dyDescent="0.25">
      <c r="A2103">
        <v>1612.2767940000001</v>
      </c>
      <c r="B2103" s="1">
        <f>DATE(2014,9,29) + TIME(6,38,34)</f>
        <v>41911.276782407411</v>
      </c>
      <c r="C2103">
        <v>80</v>
      </c>
      <c r="D2103">
        <v>79.963455199999999</v>
      </c>
      <c r="E2103">
        <v>40</v>
      </c>
      <c r="F2103">
        <v>53.976184844999999</v>
      </c>
      <c r="G2103">
        <v>1340.6936035000001</v>
      </c>
      <c r="H2103">
        <v>1338.0517577999999</v>
      </c>
      <c r="I2103">
        <v>1324.1188964999999</v>
      </c>
      <c r="J2103">
        <v>1320.8161620999999</v>
      </c>
      <c r="K2103">
        <v>1650</v>
      </c>
      <c r="L2103">
        <v>0</v>
      </c>
      <c r="M2103">
        <v>0</v>
      </c>
      <c r="N2103">
        <v>1650</v>
      </c>
    </row>
    <row r="2104" spans="1:14" x14ac:dyDescent="0.25">
      <c r="A2104">
        <v>1614</v>
      </c>
      <c r="B2104" s="1">
        <f>DATE(2014,10,1) + TIME(0,0,0)</f>
        <v>41913</v>
      </c>
      <c r="C2104">
        <v>80</v>
      </c>
      <c r="D2104">
        <v>79.963439941000004</v>
      </c>
      <c r="E2104">
        <v>40</v>
      </c>
      <c r="F2104">
        <v>54.516910553000002</v>
      </c>
      <c r="G2104">
        <v>1340.6829834</v>
      </c>
      <c r="H2104">
        <v>1338.0456543</v>
      </c>
      <c r="I2104">
        <v>1324.1380615</v>
      </c>
      <c r="J2104">
        <v>1320.8395995999999</v>
      </c>
      <c r="K2104">
        <v>1650</v>
      </c>
      <c r="L2104">
        <v>0</v>
      </c>
      <c r="M2104">
        <v>0</v>
      </c>
      <c r="N2104">
        <v>1650</v>
      </c>
    </row>
    <row r="2105" spans="1:14" x14ac:dyDescent="0.25">
      <c r="A2105">
        <v>1617.4573580000001</v>
      </c>
      <c r="B2105" s="1">
        <f>DATE(2014,10,4) + TIME(10,58,35)</f>
        <v>41916.457349537035</v>
      </c>
      <c r="C2105">
        <v>80</v>
      </c>
      <c r="D2105">
        <v>79.963455199999999</v>
      </c>
      <c r="E2105">
        <v>40</v>
      </c>
      <c r="F2105">
        <v>54.991779327000003</v>
      </c>
      <c r="G2105">
        <v>1340.6776123</v>
      </c>
      <c r="H2105">
        <v>1338.0424805</v>
      </c>
      <c r="I2105">
        <v>1324.1447754000001</v>
      </c>
      <c r="J2105">
        <v>1320.8576660000001</v>
      </c>
      <c r="K2105">
        <v>1650</v>
      </c>
      <c r="L2105">
        <v>0</v>
      </c>
      <c r="M2105">
        <v>0</v>
      </c>
      <c r="N2105">
        <v>1650</v>
      </c>
    </row>
    <row r="2106" spans="1:14" x14ac:dyDescent="0.25">
      <c r="A2106">
        <v>1621.0533270000001</v>
      </c>
      <c r="B2106" s="1">
        <f>DATE(2014,10,8) + TIME(1,16,47)</f>
        <v>41920.05332175926</v>
      </c>
      <c r="C2106">
        <v>80</v>
      </c>
      <c r="D2106">
        <v>79.963455199999999</v>
      </c>
      <c r="E2106">
        <v>40</v>
      </c>
      <c r="F2106">
        <v>55.582668304000002</v>
      </c>
      <c r="G2106">
        <v>1340.6671143000001</v>
      </c>
      <c r="H2106">
        <v>1338.0362548999999</v>
      </c>
      <c r="I2106">
        <v>1324.1600341999999</v>
      </c>
      <c r="J2106">
        <v>1320.8776855000001</v>
      </c>
      <c r="K2106">
        <v>1650</v>
      </c>
      <c r="L2106">
        <v>0</v>
      </c>
      <c r="M2106">
        <v>0</v>
      </c>
      <c r="N2106">
        <v>1650</v>
      </c>
    </row>
    <row r="2107" spans="1:14" x14ac:dyDescent="0.25">
      <c r="A2107">
        <v>1624.7622530000001</v>
      </c>
      <c r="B2107" s="1">
        <f>DATE(2014,10,11) + TIME(18,17,38)</f>
        <v>41923.762245370373</v>
      </c>
      <c r="C2107">
        <v>80</v>
      </c>
      <c r="D2107">
        <v>79.963462829999997</v>
      </c>
      <c r="E2107">
        <v>40</v>
      </c>
      <c r="F2107">
        <v>56.189849854000002</v>
      </c>
      <c r="G2107">
        <v>1340.6564940999999</v>
      </c>
      <c r="H2107">
        <v>1338.0301514</v>
      </c>
      <c r="I2107">
        <v>1324.177124</v>
      </c>
      <c r="J2107">
        <v>1320.9018555</v>
      </c>
      <c r="K2107">
        <v>1650</v>
      </c>
      <c r="L2107">
        <v>0</v>
      </c>
      <c r="M2107">
        <v>0</v>
      </c>
      <c r="N2107">
        <v>1650</v>
      </c>
    </row>
    <row r="2108" spans="1:14" x14ac:dyDescent="0.25">
      <c r="A2108">
        <v>1628.541183</v>
      </c>
      <c r="B2108" s="1">
        <f>DATE(2014,10,15) + TIME(12,59,18)</f>
        <v>41927.541180555556</v>
      </c>
      <c r="C2108">
        <v>80</v>
      </c>
      <c r="D2108">
        <v>79.963462829999997</v>
      </c>
      <c r="E2108">
        <v>40</v>
      </c>
      <c r="F2108">
        <v>56.788043975999997</v>
      </c>
      <c r="G2108">
        <v>1340.645874</v>
      </c>
      <c r="H2108">
        <v>1338.0239257999999</v>
      </c>
      <c r="I2108">
        <v>1324.1951904</v>
      </c>
      <c r="J2108">
        <v>1320.9277344</v>
      </c>
      <c r="K2108">
        <v>1650</v>
      </c>
      <c r="L2108">
        <v>0</v>
      </c>
      <c r="M2108">
        <v>0</v>
      </c>
      <c r="N2108">
        <v>1650</v>
      </c>
    </row>
    <row r="2109" spans="1:14" x14ac:dyDescent="0.25">
      <c r="A2109">
        <v>1632.38698</v>
      </c>
      <c r="B2109" s="1">
        <f>DATE(2014,10,19) + TIME(9,17,15)</f>
        <v>41931.386979166666</v>
      </c>
      <c r="C2109">
        <v>80</v>
      </c>
      <c r="D2109">
        <v>79.963470459000007</v>
      </c>
      <c r="E2109">
        <v>40</v>
      </c>
      <c r="F2109">
        <v>57.366718292000002</v>
      </c>
      <c r="G2109">
        <v>1340.635376</v>
      </c>
      <c r="H2109">
        <v>1338.0177002</v>
      </c>
      <c r="I2109">
        <v>1324.213501</v>
      </c>
      <c r="J2109">
        <v>1320.9539795000001</v>
      </c>
      <c r="K2109">
        <v>1650</v>
      </c>
      <c r="L2109">
        <v>0</v>
      </c>
      <c r="M2109">
        <v>0</v>
      </c>
      <c r="N2109">
        <v>1650</v>
      </c>
    </row>
    <row r="2110" spans="1:14" x14ac:dyDescent="0.25">
      <c r="A2110">
        <v>1636.3353990000001</v>
      </c>
      <c r="B2110" s="1">
        <f>DATE(2014,10,23) + TIME(8,2,58)</f>
        <v>41935.335393518515</v>
      </c>
      <c r="C2110">
        <v>80</v>
      </c>
      <c r="D2110">
        <v>79.963478088000002</v>
      </c>
      <c r="E2110">
        <v>40</v>
      </c>
      <c r="F2110">
        <v>57.924667358000001</v>
      </c>
      <c r="G2110">
        <v>1340.625</v>
      </c>
      <c r="H2110">
        <v>1338.0117187999999</v>
      </c>
      <c r="I2110">
        <v>1324.2321777</v>
      </c>
      <c r="J2110">
        <v>1320.9804687999999</v>
      </c>
      <c r="K2110">
        <v>1650</v>
      </c>
      <c r="L2110">
        <v>0</v>
      </c>
      <c r="M2110">
        <v>0</v>
      </c>
      <c r="N2110">
        <v>1650</v>
      </c>
    </row>
    <row r="2111" spans="1:14" x14ac:dyDescent="0.25">
      <c r="A2111">
        <v>1640.512702</v>
      </c>
      <c r="B2111" s="1">
        <f>DATE(2014,10,27) + TIME(12,18,17)</f>
        <v>41939.512696759259</v>
      </c>
      <c r="C2111">
        <v>80</v>
      </c>
      <c r="D2111">
        <v>79.963493346999996</v>
      </c>
      <c r="E2111">
        <v>40</v>
      </c>
      <c r="F2111">
        <v>58.467170715000002</v>
      </c>
      <c r="G2111">
        <v>1340.6147461</v>
      </c>
      <c r="H2111">
        <v>1338.0056152</v>
      </c>
      <c r="I2111">
        <v>1324.2509766000001</v>
      </c>
      <c r="J2111">
        <v>1321.0070800999999</v>
      </c>
      <c r="K2111">
        <v>1650</v>
      </c>
      <c r="L2111">
        <v>0</v>
      </c>
      <c r="M2111">
        <v>0</v>
      </c>
      <c r="N2111">
        <v>1650</v>
      </c>
    </row>
    <row r="2112" spans="1:14" x14ac:dyDescent="0.25">
      <c r="A2112">
        <v>1642.756351</v>
      </c>
      <c r="B2112" s="1">
        <f>DATE(2014,10,29) + TIME(18,9,8)</f>
        <v>41941.756342592591</v>
      </c>
      <c r="C2112">
        <v>80</v>
      </c>
      <c r="D2112">
        <v>79.963478088000002</v>
      </c>
      <c r="E2112">
        <v>40</v>
      </c>
      <c r="F2112">
        <v>58.931777953999998</v>
      </c>
      <c r="G2112">
        <v>1340.6042480000001</v>
      </c>
      <c r="H2112">
        <v>1337.9995117000001</v>
      </c>
      <c r="I2112">
        <v>1324.2725829999999</v>
      </c>
      <c r="J2112">
        <v>1321.0340576000001</v>
      </c>
      <c r="K2112">
        <v>1650</v>
      </c>
      <c r="L2112">
        <v>0</v>
      </c>
      <c r="M2112">
        <v>0</v>
      </c>
      <c r="N2112">
        <v>1650</v>
      </c>
    </row>
    <row r="2113" spans="1:14" x14ac:dyDescent="0.25">
      <c r="A2113">
        <v>1645</v>
      </c>
      <c r="B2113" s="1">
        <f>DATE(2014,11,1) + TIME(0,0,0)</f>
        <v>41944</v>
      </c>
      <c r="C2113">
        <v>80</v>
      </c>
      <c r="D2113">
        <v>79.963478088000002</v>
      </c>
      <c r="E2113">
        <v>40</v>
      </c>
      <c r="F2113">
        <v>59.254455565999997</v>
      </c>
      <c r="G2113">
        <v>1340.5988769999999</v>
      </c>
      <c r="H2113">
        <v>1337.9963379000001</v>
      </c>
      <c r="I2113">
        <v>1324.2851562000001</v>
      </c>
      <c r="J2113">
        <v>1321.0554199000001</v>
      </c>
      <c r="K2113">
        <v>1650</v>
      </c>
      <c r="L2113">
        <v>0</v>
      </c>
      <c r="M2113">
        <v>0</v>
      </c>
      <c r="N2113">
        <v>1650</v>
      </c>
    </row>
    <row r="2114" spans="1:14" x14ac:dyDescent="0.25">
      <c r="A2114">
        <v>1645.0000010000001</v>
      </c>
      <c r="B2114" s="1">
        <f>DATE(2014,11,1) + TIME(0,0,0)</f>
        <v>41944</v>
      </c>
      <c r="C2114">
        <v>80</v>
      </c>
      <c r="D2114">
        <v>79.963409424000005</v>
      </c>
      <c r="E2114">
        <v>40</v>
      </c>
      <c r="F2114">
        <v>59.25453186</v>
      </c>
      <c r="G2114">
        <v>1337.5035399999999</v>
      </c>
      <c r="H2114">
        <v>1336.5911865</v>
      </c>
      <c r="I2114">
        <v>1328.1816406</v>
      </c>
      <c r="J2114">
        <v>1325.0050048999999</v>
      </c>
      <c r="K2114">
        <v>0</v>
      </c>
      <c r="L2114">
        <v>1650</v>
      </c>
      <c r="M2114">
        <v>1650</v>
      </c>
      <c r="N2114">
        <v>0</v>
      </c>
    </row>
    <row r="2115" spans="1:14" x14ac:dyDescent="0.25">
      <c r="A2115">
        <v>1645.000004</v>
      </c>
      <c r="B2115" s="1">
        <f>DATE(2014,11,1) + TIME(0,0,0)</f>
        <v>41944</v>
      </c>
      <c r="C2115">
        <v>80</v>
      </c>
      <c r="D2115">
        <v>79.963287354000002</v>
      </c>
      <c r="E2115">
        <v>40</v>
      </c>
      <c r="F2115">
        <v>59.254646301000001</v>
      </c>
      <c r="G2115">
        <v>1336.6574707</v>
      </c>
      <c r="H2115">
        <v>1335.7326660000001</v>
      </c>
      <c r="I2115">
        <v>1329.3199463000001</v>
      </c>
      <c r="J2115">
        <v>1326.3267822</v>
      </c>
      <c r="K2115">
        <v>0</v>
      </c>
      <c r="L2115">
        <v>1650</v>
      </c>
      <c r="M2115">
        <v>1650</v>
      </c>
      <c r="N2115">
        <v>0</v>
      </c>
    </row>
    <row r="2116" spans="1:14" x14ac:dyDescent="0.25">
      <c r="A2116">
        <v>1645.0000130000001</v>
      </c>
      <c r="B2116" s="1">
        <f>DATE(2014,11,1) + TIME(0,0,1)</f>
        <v>41944.000011574077</v>
      </c>
      <c r="C2116">
        <v>80</v>
      </c>
      <c r="D2116">
        <v>79.963134765999996</v>
      </c>
      <c r="E2116">
        <v>40</v>
      </c>
      <c r="F2116">
        <v>59.254684447999999</v>
      </c>
      <c r="G2116">
        <v>1335.605957</v>
      </c>
      <c r="H2116">
        <v>1334.6499022999999</v>
      </c>
      <c r="I2116">
        <v>1331.0072021000001</v>
      </c>
      <c r="J2116">
        <v>1328.0466309000001</v>
      </c>
      <c r="K2116">
        <v>0</v>
      </c>
      <c r="L2116">
        <v>1650</v>
      </c>
      <c r="M2116">
        <v>1650</v>
      </c>
      <c r="N2116">
        <v>0</v>
      </c>
    </row>
    <row r="2117" spans="1:14" x14ac:dyDescent="0.25">
      <c r="A2117">
        <v>1645.0000399999999</v>
      </c>
      <c r="B2117" s="1">
        <f>DATE(2014,11,1) + TIME(0,0,3)</f>
        <v>41944.000034722223</v>
      </c>
      <c r="C2117">
        <v>80</v>
      </c>
      <c r="D2117">
        <v>79.962982178000004</v>
      </c>
      <c r="E2117">
        <v>40</v>
      </c>
      <c r="F2117">
        <v>59.254364013999997</v>
      </c>
      <c r="G2117">
        <v>1334.5169678</v>
      </c>
      <c r="H2117">
        <v>1333.5173339999999</v>
      </c>
      <c r="I2117">
        <v>1332.9210204999999</v>
      </c>
      <c r="J2117">
        <v>1329.9177245999999</v>
      </c>
      <c r="K2117">
        <v>0</v>
      </c>
      <c r="L2117">
        <v>1650</v>
      </c>
      <c r="M2117">
        <v>1650</v>
      </c>
      <c r="N2117">
        <v>0</v>
      </c>
    </row>
    <row r="2118" spans="1:14" x14ac:dyDescent="0.25">
      <c r="A2118">
        <v>1645.000121</v>
      </c>
      <c r="B2118" s="1">
        <f>DATE(2014,11,1) + TIME(0,0,10)</f>
        <v>41944.000115740739</v>
      </c>
      <c r="C2118">
        <v>80</v>
      </c>
      <c r="D2118">
        <v>79.962814331000004</v>
      </c>
      <c r="E2118">
        <v>40</v>
      </c>
      <c r="F2118">
        <v>59.252880095999998</v>
      </c>
      <c r="G2118">
        <v>1333.3990478999999</v>
      </c>
      <c r="H2118">
        <v>1332.3361815999999</v>
      </c>
      <c r="I2118">
        <v>1334.8557129000001</v>
      </c>
      <c r="J2118">
        <v>1331.8092041</v>
      </c>
      <c r="K2118">
        <v>0</v>
      </c>
      <c r="L2118">
        <v>1650</v>
      </c>
      <c r="M2118">
        <v>1650</v>
      </c>
      <c r="N2118">
        <v>0</v>
      </c>
    </row>
    <row r="2119" spans="1:14" x14ac:dyDescent="0.25">
      <c r="A2119">
        <v>1645.000364</v>
      </c>
      <c r="B2119" s="1">
        <f>DATE(2014,11,1) + TIME(0,0,31)</f>
        <v>41944.000358796293</v>
      </c>
      <c r="C2119">
        <v>80</v>
      </c>
      <c r="D2119">
        <v>79.962615967000005</v>
      </c>
      <c r="E2119">
        <v>40</v>
      </c>
      <c r="F2119">
        <v>59.247844696000001</v>
      </c>
      <c r="G2119">
        <v>1332.2152100000001</v>
      </c>
      <c r="H2119">
        <v>1331.0642089999999</v>
      </c>
      <c r="I2119">
        <v>1336.7788086</v>
      </c>
      <c r="J2119">
        <v>1333.6782227000001</v>
      </c>
      <c r="K2119">
        <v>0</v>
      </c>
      <c r="L2119">
        <v>1650</v>
      </c>
      <c r="M2119">
        <v>1650</v>
      </c>
      <c r="N2119">
        <v>0</v>
      </c>
    </row>
    <row r="2120" spans="1:14" x14ac:dyDescent="0.25">
      <c r="A2120">
        <v>1645.0010930000001</v>
      </c>
      <c r="B2120" s="1">
        <f>DATE(2014,11,1) + TIME(0,1,34)</f>
        <v>41944.001087962963</v>
      </c>
      <c r="C2120">
        <v>80</v>
      </c>
      <c r="D2120">
        <v>79.962371825999995</v>
      </c>
      <c r="E2120">
        <v>40</v>
      </c>
      <c r="F2120">
        <v>59.231857300000001</v>
      </c>
      <c r="G2120">
        <v>1331.0410156</v>
      </c>
      <c r="H2120">
        <v>1329.7967529</v>
      </c>
      <c r="I2120">
        <v>1338.5688477000001</v>
      </c>
      <c r="J2120">
        <v>1335.3923339999999</v>
      </c>
      <c r="K2120">
        <v>0</v>
      </c>
      <c r="L2120">
        <v>1650</v>
      </c>
      <c r="M2120">
        <v>1650</v>
      </c>
      <c r="N2120">
        <v>0</v>
      </c>
    </row>
    <row r="2121" spans="1:14" x14ac:dyDescent="0.25">
      <c r="A2121">
        <v>1645.0032799999999</v>
      </c>
      <c r="B2121" s="1">
        <f>DATE(2014,11,1) + TIME(0,4,43)</f>
        <v>41944.003275462965</v>
      </c>
      <c r="C2121">
        <v>80</v>
      </c>
      <c r="D2121">
        <v>79.961990356000001</v>
      </c>
      <c r="E2121">
        <v>40</v>
      </c>
      <c r="F2121">
        <v>59.182476043999998</v>
      </c>
      <c r="G2121">
        <v>1330.1079102000001</v>
      </c>
      <c r="H2121">
        <v>1328.8039550999999</v>
      </c>
      <c r="I2121">
        <v>1339.9373779</v>
      </c>
      <c r="J2121">
        <v>1336.6901855000001</v>
      </c>
      <c r="K2121">
        <v>0</v>
      </c>
      <c r="L2121">
        <v>1650</v>
      </c>
      <c r="M2121">
        <v>1650</v>
      </c>
      <c r="N2121">
        <v>0</v>
      </c>
    </row>
    <row r="2122" spans="1:14" x14ac:dyDescent="0.25">
      <c r="A2122">
        <v>1645.0098410000001</v>
      </c>
      <c r="B2122" s="1">
        <f>DATE(2014,11,1) + TIME(0,14,10)</f>
        <v>41944.009837962964</v>
      </c>
      <c r="C2122">
        <v>80</v>
      </c>
      <c r="D2122">
        <v>79.961166382000002</v>
      </c>
      <c r="E2122">
        <v>40</v>
      </c>
      <c r="F2122">
        <v>59.033615112</v>
      </c>
      <c r="G2122">
        <v>1329.5820312000001</v>
      </c>
      <c r="H2122">
        <v>1328.2569579999999</v>
      </c>
      <c r="I2122">
        <v>1340.6800536999999</v>
      </c>
      <c r="J2122">
        <v>1337.3933105000001</v>
      </c>
      <c r="K2122">
        <v>0</v>
      </c>
      <c r="L2122">
        <v>1650</v>
      </c>
      <c r="M2122">
        <v>1650</v>
      </c>
      <c r="N2122">
        <v>0</v>
      </c>
    </row>
    <row r="2123" spans="1:14" x14ac:dyDescent="0.25">
      <c r="A2123">
        <v>1645.029524</v>
      </c>
      <c r="B2123" s="1">
        <f>DATE(2014,11,1) + TIME(0,42,30)</f>
        <v>41944.029513888891</v>
      </c>
      <c r="C2123">
        <v>80</v>
      </c>
      <c r="D2123">
        <v>79.958923339999998</v>
      </c>
      <c r="E2123">
        <v>40</v>
      </c>
      <c r="F2123">
        <v>58.597629546999997</v>
      </c>
      <c r="G2123">
        <v>1329.4085693</v>
      </c>
      <c r="H2123">
        <v>1328.0788574000001</v>
      </c>
      <c r="I2123">
        <v>1340.8996582</v>
      </c>
      <c r="J2123">
        <v>1337.5955810999999</v>
      </c>
      <c r="K2123">
        <v>0</v>
      </c>
      <c r="L2123">
        <v>1650</v>
      </c>
      <c r="M2123">
        <v>1650</v>
      </c>
      <c r="N2123">
        <v>0</v>
      </c>
    </row>
    <row r="2124" spans="1:14" x14ac:dyDescent="0.25">
      <c r="A2124">
        <v>1645.0692650000001</v>
      </c>
      <c r="B2124" s="1">
        <f>DATE(2014,11,1) + TIME(1,39,44)</f>
        <v>41944.06925925926</v>
      </c>
      <c r="C2124">
        <v>80</v>
      </c>
      <c r="D2124">
        <v>79.954498290999993</v>
      </c>
      <c r="E2124">
        <v>40</v>
      </c>
      <c r="F2124">
        <v>57.764308929000002</v>
      </c>
      <c r="G2124">
        <v>1329.3806152</v>
      </c>
      <c r="H2124">
        <v>1328.0491943</v>
      </c>
      <c r="I2124">
        <v>1340.9187012</v>
      </c>
      <c r="J2124">
        <v>1337.6016846</v>
      </c>
      <c r="K2124">
        <v>0</v>
      </c>
      <c r="L2124">
        <v>1650</v>
      </c>
      <c r="M2124">
        <v>1650</v>
      </c>
      <c r="N2124">
        <v>0</v>
      </c>
    </row>
    <row r="2125" spans="1:14" x14ac:dyDescent="0.25">
      <c r="A2125">
        <v>1645.110623</v>
      </c>
      <c r="B2125" s="1">
        <f>DATE(2014,11,1) + TIME(2,39,17)</f>
        <v>41944.110613425924</v>
      </c>
      <c r="C2125">
        <v>80</v>
      </c>
      <c r="D2125">
        <v>79.949928283999995</v>
      </c>
      <c r="E2125">
        <v>40</v>
      </c>
      <c r="F2125">
        <v>56.94601059</v>
      </c>
      <c r="G2125">
        <v>1329.3747559000001</v>
      </c>
      <c r="H2125">
        <v>1328.0417480000001</v>
      </c>
      <c r="I2125">
        <v>1340.9044189000001</v>
      </c>
      <c r="J2125">
        <v>1337.5803223</v>
      </c>
      <c r="K2125">
        <v>0</v>
      </c>
      <c r="L2125">
        <v>1650</v>
      </c>
      <c r="M2125">
        <v>1650</v>
      </c>
      <c r="N2125">
        <v>0</v>
      </c>
    </row>
    <row r="2126" spans="1:14" x14ac:dyDescent="0.25">
      <c r="A2126">
        <v>1645.153568</v>
      </c>
      <c r="B2126" s="1">
        <f>DATE(2014,11,1) + TIME(3,41,8)</f>
        <v>41944.153564814813</v>
      </c>
      <c r="C2126">
        <v>80</v>
      </c>
      <c r="D2126">
        <v>79.945220946999996</v>
      </c>
      <c r="E2126">
        <v>40</v>
      </c>
      <c r="F2126">
        <v>56.145210265999999</v>
      </c>
      <c r="G2126">
        <v>1329.3708495999999</v>
      </c>
      <c r="H2126">
        <v>1328.0361327999999</v>
      </c>
      <c r="I2126">
        <v>1340.8891602000001</v>
      </c>
      <c r="J2126">
        <v>1337.5581055</v>
      </c>
      <c r="K2126">
        <v>0</v>
      </c>
      <c r="L2126">
        <v>1650</v>
      </c>
      <c r="M2126">
        <v>1650</v>
      </c>
      <c r="N2126">
        <v>0</v>
      </c>
    </row>
    <row r="2127" spans="1:14" x14ac:dyDescent="0.25">
      <c r="A2127">
        <v>1645.198179</v>
      </c>
      <c r="B2127" s="1">
        <f>DATE(2014,11,1) + TIME(4,45,22)</f>
        <v>41944.198171296295</v>
      </c>
      <c r="C2127">
        <v>80</v>
      </c>
      <c r="D2127">
        <v>79.940368652000004</v>
      </c>
      <c r="E2127">
        <v>40</v>
      </c>
      <c r="F2127">
        <v>55.362174988</v>
      </c>
      <c r="G2127">
        <v>1329.3671875</v>
      </c>
      <c r="H2127">
        <v>1328.0305175999999</v>
      </c>
      <c r="I2127">
        <v>1340.8740233999999</v>
      </c>
      <c r="J2127">
        <v>1337.5362548999999</v>
      </c>
      <c r="K2127">
        <v>0</v>
      </c>
      <c r="L2127">
        <v>1650</v>
      </c>
      <c r="M2127">
        <v>1650</v>
      </c>
      <c r="N2127">
        <v>0</v>
      </c>
    </row>
    <row r="2128" spans="1:14" x14ac:dyDescent="0.25">
      <c r="A2128">
        <v>1645.2445769999999</v>
      </c>
      <c r="B2128" s="1">
        <f>DATE(2014,11,1) + TIME(5,52,11)</f>
        <v>41944.244571759256</v>
      </c>
      <c r="C2128">
        <v>80</v>
      </c>
      <c r="D2128">
        <v>79.935356139999996</v>
      </c>
      <c r="E2128">
        <v>40</v>
      </c>
      <c r="F2128">
        <v>54.596538543999998</v>
      </c>
      <c r="G2128">
        <v>1329.3632812000001</v>
      </c>
      <c r="H2128">
        <v>1328.0249022999999</v>
      </c>
      <c r="I2128">
        <v>1340.8591309000001</v>
      </c>
      <c r="J2128">
        <v>1337.5148925999999</v>
      </c>
      <c r="K2128">
        <v>0</v>
      </c>
      <c r="L2128">
        <v>1650</v>
      </c>
      <c r="M2128">
        <v>1650</v>
      </c>
      <c r="N2128">
        <v>0</v>
      </c>
    </row>
    <row r="2129" spans="1:14" x14ac:dyDescent="0.25">
      <c r="A2129">
        <v>1645.292874</v>
      </c>
      <c r="B2129" s="1">
        <f>DATE(2014,11,1) + TIME(7,1,44)</f>
        <v>41944.292870370373</v>
      </c>
      <c r="C2129">
        <v>80</v>
      </c>
      <c r="D2129">
        <v>79.930191039999997</v>
      </c>
      <c r="E2129">
        <v>40</v>
      </c>
      <c r="F2129">
        <v>53.848342895999998</v>
      </c>
      <c r="G2129">
        <v>1329.359375</v>
      </c>
      <c r="H2129">
        <v>1328.0191649999999</v>
      </c>
      <c r="I2129">
        <v>1340.8443603999999</v>
      </c>
      <c r="J2129">
        <v>1337.4937743999999</v>
      </c>
      <c r="K2129">
        <v>0</v>
      </c>
      <c r="L2129">
        <v>1650</v>
      </c>
      <c r="M2129">
        <v>1650</v>
      </c>
      <c r="N2129">
        <v>0</v>
      </c>
    </row>
    <row r="2130" spans="1:14" x14ac:dyDescent="0.25">
      <c r="A2130">
        <v>1645.3431909999999</v>
      </c>
      <c r="B2130" s="1">
        <f>DATE(2014,11,1) + TIME(8,14,11)</f>
        <v>41944.343182870369</v>
      </c>
      <c r="C2130">
        <v>80</v>
      </c>
      <c r="D2130">
        <v>79.924850464000002</v>
      </c>
      <c r="E2130">
        <v>40</v>
      </c>
      <c r="F2130">
        <v>53.117645263999997</v>
      </c>
      <c r="G2130">
        <v>1329.3553466999999</v>
      </c>
      <c r="H2130">
        <v>1328.0133057</v>
      </c>
      <c r="I2130">
        <v>1340.8299560999999</v>
      </c>
      <c r="J2130">
        <v>1337.4731445</v>
      </c>
      <c r="K2130">
        <v>0</v>
      </c>
      <c r="L2130">
        <v>1650</v>
      </c>
      <c r="M2130">
        <v>1650</v>
      </c>
      <c r="N2130">
        <v>0</v>
      </c>
    </row>
    <row r="2131" spans="1:14" x14ac:dyDescent="0.25">
      <c r="A2131">
        <v>1645.3956579999999</v>
      </c>
      <c r="B2131" s="1">
        <f>DATE(2014,11,1) + TIME(9,29,44)</f>
        <v>41944.395648148151</v>
      </c>
      <c r="C2131">
        <v>80</v>
      </c>
      <c r="D2131">
        <v>79.919326781999999</v>
      </c>
      <c r="E2131">
        <v>40</v>
      </c>
      <c r="F2131">
        <v>52.404514313</v>
      </c>
      <c r="G2131">
        <v>1329.3511963000001</v>
      </c>
      <c r="H2131">
        <v>1328.0072021000001</v>
      </c>
      <c r="I2131">
        <v>1340.8156738</v>
      </c>
      <c r="J2131">
        <v>1337.4528809000001</v>
      </c>
      <c r="K2131">
        <v>0</v>
      </c>
      <c r="L2131">
        <v>1650</v>
      </c>
      <c r="M2131">
        <v>1650</v>
      </c>
      <c r="N2131">
        <v>0</v>
      </c>
    </row>
    <row r="2132" spans="1:14" x14ac:dyDescent="0.25">
      <c r="A2132">
        <v>1645.450429</v>
      </c>
      <c r="B2132" s="1">
        <f>DATE(2014,11,1) + TIME(10,48,37)</f>
        <v>41944.450428240743</v>
      </c>
      <c r="C2132">
        <v>80</v>
      </c>
      <c r="D2132">
        <v>79.913612365999995</v>
      </c>
      <c r="E2132">
        <v>40</v>
      </c>
      <c r="F2132">
        <v>51.708923339999998</v>
      </c>
      <c r="G2132">
        <v>1329.3469238</v>
      </c>
      <c r="H2132">
        <v>1328.0009766000001</v>
      </c>
      <c r="I2132">
        <v>1340.8016356999999</v>
      </c>
      <c r="J2132">
        <v>1337.4329834</v>
      </c>
      <c r="K2132">
        <v>0</v>
      </c>
      <c r="L2132">
        <v>1650</v>
      </c>
      <c r="M2132">
        <v>1650</v>
      </c>
      <c r="N2132">
        <v>0</v>
      </c>
    </row>
    <row r="2133" spans="1:14" x14ac:dyDescent="0.25">
      <c r="A2133">
        <v>1645.507648</v>
      </c>
      <c r="B2133" s="1">
        <f>DATE(2014,11,1) + TIME(12,11,0)</f>
        <v>41944.507638888892</v>
      </c>
      <c r="C2133">
        <v>80</v>
      </c>
      <c r="D2133">
        <v>79.907699585000003</v>
      </c>
      <c r="E2133">
        <v>40</v>
      </c>
      <c r="F2133">
        <v>51.031143188000001</v>
      </c>
      <c r="G2133">
        <v>1329.3425293</v>
      </c>
      <c r="H2133">
        <v>1327.9945068</v>
      </c>
      <c r="I2133">
        <v>1340.7877197</v>
      </c>
      <c r="J2133">
        <v>1337.4135742000001</v>
      </c>
      <c r="K2133">
        <v>0</v>
      </c>
      <c r="L2133">
        <v>1650</v>
      </c>
      <c r="M2133">
        <v>1650</v>
      </c>
      <c r="N2133">
        <v>0</v>
      </c>
    </row>
    <row r="2134" spans="1:14" x14ac:dyDescent="0.25">
      <c r="A2134">
        <v>1645.567483</v>
      </c>
      <c r="B2134" s="1">
        <f>DATE(2014,11,1) + TIME(13,37,10)</f>
        <v>41944.567476851851</v>
      </c>
      <c r="C2134">
        <v>80</v>
      </c>
      <c r="D2134">
        <v>79.901573181000003</v>
      </c>
      <c r="E2134">
        <v>40</v>
      </c>
      <c r="F2134">
        <v>50.371330260999997</v>
      </c>
      <c r="G2134">
        <v>1329.3380127</v>
      </c>
      <c r="H2134">
        <v>1327.9880370999999</v>
      </c>
      <c r="I2134">
        <v>1340.7741699000001</v>
      </c>
      <c r="J2134">
        <v>1337.3945312000001</v>
      </c>
      <c r="K2134">
        <v>0</v>
      </c>
      <c r="L2134">
        <v>1650</v>
      </c>
      <c r="M2134">
        <v>1650</v>
      </c>
      <c r="N2134">
        <v>0</v>
      </c>
    </row>
    <row r="2135" spans="1:14" x14ac:dyDescent="0.25">
      <c r="A2135">
        <v>1645.630118</v>
      </c>
      <c r="B2135" s="1">
        <f>DATE(2014,11,1) + TIME(15,7,22)</f>
        <v>41944.630115740743</v>
      </c>
      <c r="C2135">
        <v>80</v>
      </c>
      <c r="D2135">
        <v>79.895217896000005</v>
      </c>
      <c r="E2135">
        <v>40</v>
      </c>
      <c r="F2135">
        <v>49.72952652</v>
      </c>
      <c r="G2135">
        <v>1329.333374</v>
      </c>
      <c r="H2135">
        <v>1327.9812012</v>
      </c>
      <c r="I2135">
        <v>1340.7607422000001</v>
      </c>
      <c r="J2135">
        <v>1337.3759766000001</v>
      </c>
      <c r="K2135">
        <v>0</v>
      </c>
      <c r="L2135">
        <v>1650</v>
      </c>
      <c r="M2135">
        <v>1650</v>
      </c>
      <c r="N2135">
        <v>0</v>
      </c>
    </row>
    <row r="2136" spans="1:14" x14ac:dyDescent="0.25">
      <c r="A2136">
        <v>1645.6957729999999</v>
      </c>
      <c r="B2136" s="1">
        <f>DATE(2014,11,1) + TIME(16,41,54)</f>
        <v>41944.695763888885</v>
      </c>
      <c r="C2136">
        <v>80</v>
      </c>
      <c r="D2136">
        <v>79.888626099000007</v>
      </c>
      <c r="E2136">
        <v>40</v>
      </c>
      <c r="F2136">
        <v>49.105716704999999</v>
      </c>
      <c r="G2136">
        <v>1329.3286132999999</v>
      </c>
      <c r="H2136">
        <v>1327.9742432</v>
      </c>
      <c r="I2136">
        <v>1340.7476807</v>
      </c>
      <c r="J2136">
        <v>1337.3577881000001</v>
      </c>
      <c r="K2136">
        <v>0</v>
      </c>
      <c r="L2136">
        <v>1650</v>
      </c>
      <c r="M2136">
        <v>1650</v>
      </c>
      <c r="N2136">
        <v>0</v>
      </c>
    </row>
    <row r="2137" spans="1:14" x14ac:dyDescent="0.25">
      <c r="A2137">
        <v>1645.764653</v>
      </c>
      <c r="B2137" s="1">
        <f>DATE(2014,11,1) + TIME(18,21,6)</f>
        <v>41944.764652777776</v>
      </c>
      <c r="C2137">
        <v>80</v>
      </c>
      <c r="D2137">
        <v>79.881774902000004</v>
      </c>
      <c r="E2137">
        <v>40</v>
      </c>
      <c r="F2137">
        <v>48.500465392999999</v>
      </c>
      <c r="G2137">
        <v>1329.3237305</v>
      </c>
      <c r="H2137">
        <v>1327.9670410000001</v>
      </c>
      <c r="I2137">
        <v>1340.7347411999999</v>
      </c>
      <c r="J2137">
        <v>1337.3400879000001</v>
      </c>
      <c r="K2137">
        <v>0</v>
      </c>
      <c r="L2137">
        <v>1650</v>
      </c>
      <c r="M2137">
        <v>1650</v>
      </c>
      <c r="N2137">
        <v>0</v>
      </c>
    </row>
    <row r="2138" spans="1:14" x14ac:dyDescent="0.25">
      <c r="A2138">
        <v>1645.837041</v>
      </c>
      <c r="B2138" s="1">
        <f>DATE(2014,11,1) + TIME(20,5,20)</f>
        <v>41944.837037037039</v>
      </c>
      <c r="C2138">
        <v>80</v>
      </c>
      <c r="D2138">
        <v>79.874656677000004</v>
      </c>
      <c r="E2138">
        <v>40</v>
      </c>
      <c r="F2138">
        <v>47.913711548000002</v>
      </c>
      <c r="G2138">
        <v>1329.3187256000001</v>
      </c>
      <c r="H2138">
        <v>1327.9595947</v>
      </c>
      <c r="I2138">
        <v>1340.7220459</v>
      </c>
      <c r="J2138">
        <v>1337.3227539</v>
      </c>
      <c r="K2138">
        <v>0</v>
      </c>
      <c r="L2138">
        <v>1650</v>
      </c>
      <c r="M2138">
        <v>1650</v>
      </c>
      <c r="N2138">
        <v>0</v>
      </c>
    </row>
    <row r="2139" spans="1:14" x14ac:dyDescent="0.25">
      <c r="A2139">
        <v>1645.913223</v>
      </c>
      <c r="B2139" s="1">
        <f>DATE(2014,11,1) + TIME(21,55,2)</f>
        <v>41944.913217592592</v>
      </c>
      <c r="C2139">
        <v>80</v>
      </c>
      <c r="D2139">
        <v>79.867240906000006</v>
      </c>
      <c r="E2139">
        <v>40</v>
      </c>
      <c r="F2139">
        <v>47.345676421999997</v>
      </c>
      <c r="G2139">
        <v>1329.3134766000001</v>
      </c>
      <c r="H2139">
        <v>1327.9520264</v>
      </c>
      <c r="I2139">
        <v>1340.7095947</v>
      </c>
      <c r="J2139">
        <v>1337.3060303</v>
      </c>
      <c r="K2139">
        <v>0</v>
      </c>
      <c r="L2139">
        <v>1650</v>
      </c>
      <c r="M2139">
        <v>1650</v>
      </c>
      <c r="N2139">
        <v>0</v>
      </c>
    </row>
    <row r="2140" spans="1:14" x14ac:dyDescent="0.25">
      <c r="A2140">
        <v>1645.993508</v>
      </c>
      <c r="B2140" s="1">
        <f>DATE(2014,11,1) + TIME(23,50,39)</f>
        <v>41944.993506944447</v>
      </c>
      <c r="C2140">
        <v>80</v>
      </c>
      <c r="D2140">
        <v>79.859512328999998</v>
      </c>
      <c r="E2140">
        <v>40</v>
      </c>
      <c r="F2140">
        <v>46.796657562</v>
      </c>
      <c r="G2140">
        <v>1329.3079834</v>
      </c>
      <c r="H2140">
        <v>1327.9440918</v>
      </c>
      <c r="I2140">
        <v>1340.6973877</v>
      </c>
      <c r="J2140">
        <v>1337.2896728999999</v>
      </c>
      <c r="K2140">
        <v>0</v>
      </c>
      <c r="L2140">
        <v>1650</v>
      </c>
      <c r="M2140">
        <v>1650</v>
      </c>
      <c r="N2140">
        <v>0</v>
      </c>
    </row>
    <row r="2141" spans="1:14" x14ac:dyDescent="0.25">
      <c r="A2141">
        <v>1646.0782369999999</v>
      </c>
      <c r="B2141" s="1">
        <f>DATE(2014,11,2) + TIME(1,52,39)</f>
        <v>41945.078229166669</v>
      </c>
      <c r="C2141">
        <v>80</v>
      </c>
      <c r="D2141">
        <v>79.851440429999997</v>
      </c>
      <c r="E2141">
        <v>40</v>
      </c>
      <c r="F2141">
        <v>46.266994476000001</v>
      </c>
      <c r="G2141">
        <v>1329.3023682</v>
      </c>
      <c r="H2141">
        <v>1327.9357910000001</v>
      </c>
      <c r="I2141">
        <v>1340.6855469</v>
      </c>
      <c r="J2141">
        <v>1337.2739257999999</v>
      </c>
      <c r="K2141">
        <v>0</v>
      </c>
      <c r="L2141">
        <v>1650</v>
      </c>
      <c r="M2141">
        <v>1650</v>
      </c>
      <c r="N2141">
        <v>0</v>
      </c>
    </row>
    <row r="2142" spans="1:14" x14ac:dyDescent="0.25">
      <c r="A2142">
        <v>1646.1677910000001</v>
      </c>
      <c r="B2142" s="1">
        <f>DATE(2014,11,2) + TIME(4,1,37)</f>
        <v>41945.16778935185</v>
      </c>
      <c r="C2142">
        <v>80</v>
      </c>
      <c r="D2142">
        <v>79.843017578000001</v>
      </c>
      <c r="E2142">
        <v>40</v>
      </c>
      <c r="F2142">
        <v>45.757041931000003</v>
      </c>
      <c r="G2142">
        <v>1329.2965088000001</v>
      </c>
      <c r="H2142">
        <v>1327.9272461</v>
      </c>
      <c r="I2142">
        <v>1340.6738281</v>
      </c>
      <c r="J2142">
        <v>1337.2585449000001</v>
      </c>
      <c r="K2142">
        <v>0</v>
      </c>
      <c r="L2142">
        <v>1650</v>
      </c>
      <c r="M2142">
        <v>1650</v>
      </c>
      <c r="N2142">
        <v>0</v>
      </c>
    </row>
    <row r="2143" spans="1:14" x14ac:dyDescent="0.25">
      <c r="A2143">
        <v>1646.2625909999999</v>
      </c>
      <c r="B2143" s="1">
        <f>DATE(2014,11,2) + TIME(6,18,7)</f>
        <v>41945.26258101852</v>
      </c>
      <c r="C2143">
        <v>80</v>
      </c>
      <c r="D2143">
        <v>79.834197997999993</v>
      </c>
      <c r="E2143">
        <v>40</v>
      </c>
      <c r="F2143">
        <v>45.267185210999997</v>
      </c>
      <c r="G2143">
        <v>1329.2905272999999</v>
      </c>
      <c r="H2143">
        <v>1327.918457</v>
      </c>
      <c r="I2143">
        <v>1340.6624756000001</v>
      </c>
      <c r="J2143">
        <v>1337.2437743999999</v>
      </c>
      <c r="K2143">
        <v>0</v>
      </c>
      <c r="L2143">
        <v>1650</v>
      </c>
      <c r="M2143">
        <v>1650</v>
      </c>
      <c r="N2143">
        <v>0</v>
      </c>
    </row>
    <row r="2144" spans="1:14" x14ac:dyDescent="0.25">
      <c r="A2144">
        <v>1646.3631089999999</v>
      </c>
      <c r="B2144" s="1">
        <f>DATE(2014,11,2) + TIME(8,42,52)</f>
        <v>41945.36310185185</v>
      </c>
      <c r="C2144">
        <v>80</v>
      </c>
      <c r="D2144">
        <v>79.824966431000007</v>
      </c>
      <c r="E2144">
        <v>40</v>
      </c>
      <c r="F2144">
        <v>44.797836304</v>
      </c>
      <c r="G2144">
        <v>1329.2841797000001</v>
      </c>
      <c r="H2144">
        <v>1327.9091797000001</v>
      </c>
      <c r="I2144">
        <v>1340.6513672000001</v>
      </c>
      <c r="J2144">
        <v>1337.2294922000001</v>
      </c>
      <c r="K2144">
        <v>0</v>
      </c>
      <c r="L2144">
        <v>1650</v>
      </c>
      <c r="M2144">
        <v>1650</v>
      </c>
      <c r="N2144">
        <v>0</v>
      </c>
    </row>
    <row r="2145" spans="1:14" x14ac:dyDescent="0.25">
      <c r="A2145">
        <v>1646.4698699999999</v>
      </c>
      <c r="B2145" s="1">
        <f>DATE(2014,11,2) + TIME(11,16,36)</f>
        <v>41945.469861111109</v>
      </c>
      <c r="C2145">
        <v>80</v>
      </c>
      <c r="D2145">
        <v>79.815277100000003</v>
      </c>
      <c r="E2145">
        <v>40</v>
      </c>
      <c r="F2145">
        <v>44.349422455000003</v>
      </c>
      <c r="G2145">
        <v>1329.2775879000001</v>
      </c>
      <c r="H2145">
        <v>1327.8996582</v>
      </c>
      <c r="I2145">
        <v>1340.6405029</v>
      </c>
      <c r="J2145">
        <v>1337.2158202999999</v>
      </c>
      <c r="K2145">
        <v>0</v>
      </c>
      <c r="L2145">
        <v>1650</v>
      </c>
      <c r="M2145">
        <v>1650</v>
      </c>
      <c r="N2145">
        <v>0</v>
      </c>
    </row>
    <row r="2146" spans="1:14" x14ac:dyDescent="0.25">
      <c r="A2146">
        <v>1646.5834620000001</v>
      </c>
      <c r="B2146" s="1">
        <f>DATE(2014,11,2) + TIME(14,0,11)</f>
        <v>41945.583460648151</v>
      </c>
      <c r="C2146">
        <v>80</v>
      </c>
      <c r="D2146">
        <v>79.805107117000006</v>
      </c>
      <c r="E2146">
        <v>40</v>
      </c>
      <c r="F2146">
        <v>43.922386168999999</v>
      </c>
      <c r="G2146">
        <v>1329.2707519999999</v>
      </c>
      <c r="H2146">
        <v>1327.8896483999999</v>
      </c>
      <c r="I2146">
        <v>1340.6300048999999</v>
      </c>
      <c r="J2146">
        <v>1337.2027588000001</v>
      </c>
      <c r="K2146">
        <v>0</v>
      </c>
      <c r="L2146">
        <v>1650</v>
      </c>
      <c r="M2146">
        <v>1650</v>
      </c>
      <c r="N2146">
        <v>0</v>
      </c>
    </row>
    <row r="2147" spans="1:14" x14ac:dyDescent="0.25">
      <c r="A2147">
        <v>1646.704524</v>
      </c>
      <c r="B2147" s="1">
        <f>DATE(2014,11,2) + TIME(16,54,30)</f>
        <v>41945.704513888886</v>
      </c>
      <c r="C2147">
        <v>80</v>
      </c>
      <c r="D2147">
        <v>79.794410705999994</v>
      </c>
      <c r="E2147">
        <v>40</v>
      </c>
      <c r="F2147">
        <v>43.517230988000001</v>
      </c>
      <c r="G2147">
        <v>1329.2635498</v>
      </c>
      <c r="H2147">
        <v>1327.8791504000001</v>
      </c>
      <c r="I2147">
        <v>1340.6198730000001</v>
      </c>
      <c r="J2147">
        <v>1337.1903076000001</v>
      </c>
      <c r="K2147">
        <v>0</v>
      </c>
      <c r="L2147">
        <v>1650</v>
      </c>
      <c r="M2147">
        <v>1650</v>
      </c>
      <c r="N2147">
        <v>0</v>
      </c>
    </row>
    <row r="2148" spans="1:14" x14ac:dyDescent="0.25">
      <c r="A2148">
        <v>1646.8337630000001</v>
      </c>
      <c r="B2148" s="1">
        <f>DATE(2014,11,2) + TIME(20,0,37)</f>
        <v>41945.833761574075</v>
      </c>
      <c r="C2148">
        <v>80</v>
      </c>
      <c r="D2148">
        <v>79.783142089999998</v>
      </c>
      <c r="E2148">
        <v>40</v>
      </c>
      <c r="F2148">
        <v>43.134464264000002</v>
      </c>
      <c r="G2148">
        <v>1329.2559814000001</v>
      </c>
      <c r="H2148">
        <v>1327.8681641000001</v>
      </c>
      <c r="I2148">
        <v>1340.6099853999999</v>
      </c>
      <c r="J2148">
        <v>1337.1784668</v>
      </c>
      <c r="K2148">
        <v>0</v>
      </c>
      <c r="L2148">
        <v>1650</v>
      </c>
      <c r="M2148">
        <v>1650</v>
      </c>
      <c r="N2148">
        <v>0</v>
      </c>
    </row>
    <row r="2149" spans="1:14" x14ac:dyDescent="0.25">
      <c r="A2149">
        <v>1646.9720460000001</v>
      </c>
      <c r="B2149" s="1">
        <f>DATE(2014,11,2) + TIME(23,19,44)</f>
        <v>41945.972037037034</v>
      </c>
      <c r="C2149">
        <v>80</v>
      </c>
      <c r="D2149">
        <v>79.771247864000003</v>
      </c>
      <c r="E2149">
        <v>40</v>
      </c>
      <c r="F2149">
        <v>42.774391174000002</v>
      </c>
      <c r="G2149">
        <v>1329.2481689000001</v>
      </c>
      <c r="H2149">
        <v>1327.8566894999999</v>
      </c>
      <c r="I2149">
        <v>1340.6004639</v>
      </c>
      <c r="J2149">
        <v>1337.1672363</v>
      </c>
      <c r="K2149">
        <v>0</v>
      </c>
      <c r="L2149">
        <v>1650</v>
      </c>
      <c r="M2149">
        <v>1650</v>
      </c>
      <c r="N2149">
        <v>0</v>
      </c>
    </row>
    <row r="2150" spans="1:14" x14ac:dyDescent="0.25">
      <c r="A2150">
        <v>1647.120306</v>
      </c>
      <c r="B2150" s="1">
        <f>DATE(2014,11,3) + TIME(2,53,14)</f>
        <v>41946.120300925926</v>
      </c>
      <c r="C2150">
        <v>80</v>
      </c>
      <c r="D2150">
        <v>79.758674622000001</v>
      </c>
      <c r="E2150">
        <v>40</v>
      </c>
      <c r="F2150">
        <v>42.437404633</v>
      </c>
      <c r="G2150">
        <v>1329.2398682</v>
      </c>
      <c r="H2150">
        <v>1327.8446045000001</v>
      </c>
      <c r="I2150">
        <v>1340.5911865</v>
      </c>
      <c r="J2150">
        <v>1337.1567382999999</v>
      </c>
      <c r="K2150">
        <v>0</v>
      </c>
      <c r="L2150">
        <v>1650</v>
      </c>
      <c r="M2150">
        <v>1650</v>
      </c>
      <c r="N2150">
        <v>0</v>
      </c>
    </row>
    <row r="2151" spans="1:14" x14ac:dyDescent="0.25">
      <c r="A2151">
        <v>1647.279597</v>
      </c>
      <c r="B2151" s="1">
        <f>DATE(2014,11,3) + TIME(6,42,37)</f>
        <v>41946.279594907406</v>
      </c>
      <c r="C2151">
        <v>80</v>
      </c>
      <c r="D2151">
        <v>79.745361328000001</v>
      </c>
      <c r="E2151">
        <v>40</v>
      </c>
      <c r="F2151">
        <v>42.123855591000002</v>
      </c>
      <c r="G2151">
        <v>1329.2310791</v>
      </c>
      <c r="H2151">
        <v>1327.8319091999999</v>
      </c>
      <c r="I2151">
        <v>1340.5823975000001</v>
      </c>
      <c r="J2151">
        <v>1337.1469727000001</v>
      </c>
      <c r="K2151">
        <v>0</v>
      </c>
      <c r="L2151">
        <v>1650</v>
      </c>
      <c r="M2151">
        <v>1650</v>
      </c>
      <c r="N2151">
        <v>0</v>
      </c>
    </row>
    <row r="2152" spans="1:14" x14ac:dyDescent="0.25">
      <c r="A2152">
        <v>1647.451108</v>
      </c>
      <c r="B2152" s="1">
        <f>DATE(2014,11,3) + TIME(10,49,35)</f>
        <v>41946.451099537036</v>
      </c>
      <c r="C2152">
        <v>80</v>
      </c>
      <c r="D2152">
        <v>79.731239318999997</v>
      </c>
      <c r="E2152">
        <v>40</v>
      </c>
      <c r="F2152">
        <v>41.834014893000003</v>
      </c>
      <c r="G2152">
        <v>1329.2219238</v>
      </c>
      <c r="H2152">
        <v>1327.8184814000001</v>
      </c>
      <c r="I2152">
        <v>1340.5738524999999</v>
      </c>
      <c r="J2152">
        <v>1337.1378173999999</v>
      </c>
      <c r="K2152">
        <v>0</v>
      </c>
      <c r="L2152">
        <v>1650</v>
      </c>
      <c r="M2152">
        <v>1650</v>
      </c>
      <c r="N2152">
        <v>0</v>
      </c>
    </row>
    <row r="2153" spans="1:14" x14ac:dyDescent="0.25">
      <c r="A2153">
        <v>1647.636184</v>
      </c>
      <c r="B2153" s="1">
        <f>DATE(2014,11,3) + TIME(15,16,6)</f>
        <v>41946.636180555557</v>
      </c>
      <c r="C2153">
        <v>80</v>
      </c>
      <c r="D2153">
        <v>79.716232300000001</v>
      </c>
      <c r="E2153">
        <v>40</v>
      </c>
      <c r="F2153">
        <v>41.568069457999997</v>
      </c>
      <c r="G2153">
        <v>1329.2121582</v>
      </c>
      <c r="H2153">
        <v>1327.8043213000001</v>
      </c>
      <c r="I2153">
        <v>1340.5657959</v>
      </c>
      <c r="J2153">
        <v>1337.1293945</v>
      </c>
      <c r="K2153">
        <v>0</v>
      </c>
      <c r="L2153">
        <v>1650</v>
      </c>
      <c r="M2153">
        <v>1650</v>
      </c>
      <c r="N2153">
        <v>0</v>
      </c>
    </row>
    <row r="2154" spans="1:14" x14ac:dyDescent="0.25">
      <c r="A2154">
        <v>1647.836348</v>
      </c>
      <c r="B2154" s="1">
        <f>DATE(2014,11,3) + TIME(20,4,20)</f>
        <v>41946.836342592593</v>
      </c>
      <c r="C2154">
        <v>80</v>
      </c>
      <c r="D2154">
        <v>79.700241089000002</v>
      </c>
      <c r="E2154">
        <v>40</v>
      </c>
      <c r="F2154">
        <v>41.326080322000003</v>
      </c>
      <c r="G2154">
        <v>1329.2017822</v>
      </c>
      <c r="H2154">
        <v>1327.7893065999999</v>
      </c>
      <c r="I2154">
        <v>1340.5581055</v>
      </c>
      <c r="J2154">
        <v>1337.1218262</v>
      </c>
      <c r="K2154">
        <v>0</v>
      </c>
      <c r="L2154">
        <v>1650</v>
      </c>
      <c r="M2154">
        <v>1650</v>
      </c>
      <c r="N2154">
        <v>0</v>
      </c>
    </row>
    <row r="2155" spans="1:14" x14ac:dyDescent="0.25">
      <c r="A2155">
        <v>1648.0457550000001</v>
      </c>
      <c r="B2155" s="1">
        <f>DATE(2014,11,4) + TIME(1,5,53)</f>
        <v>41947.045752314814</v>
      </c>
      <c r="C2155">
        <v>80</v>
      </c>
      <c r="D2155">
        <v>79.683700561999999</v>
      </c>
      <c r="E2155">
        <v>40</v>
      </c>
      <c r="F2155">
        <v>41.114322661999999</v>
      </c>
      <c r="G2155">
        <v>1329.190918</v>
      </c>
      <c r="H2155">
        <v>1327.7735596</v>
      </c>
      <c r="I2155">
        <v>1340.5510254000001</v>
      </c>
      <c r="J2155">
        <v>1337.1151123</v>
      </c>
      <c r="K2155">
        <v>0</v>
      </c>
      <c r="L2155">
        <v>1650</v>
      </c>
      <c r="M2155">
        <v>1650</v>
      </c>
      <c r="N2155">
        <v>0</v>
      </c>
    </row>
    <row r="2156" spans="1:14" x14ac:dyDescent="0.25">
      <c r="A2156">
        <v>1648.2627869999999</v>
      </c>
      <c r="B2156" s="1">
        <f>DATE(2014,11,4) + TIME(6,18,24)</f>
        <v>41947.262777777774</v>
      </c>
      <c r="C2156">
        <v>80</v>
      </c>
      <c r="D2156">
        <v>79.666717528999996</v>
      </c>
      <c r="E2156">
        <v>40</v>
      </c>
      <c r="F2156">
        <v>40.931587219000001</v>
      </c>
      <c r="G2156">
        <v>1329.1796875</v>
      </c>
      <c r="H2156">
        <v>1327.7574463000001</v>
      </c>
      <c r="I2156">
        <v>1340.5445557</v>
      </c>
      <c r="J2156">
        <v>1337.109375</v>
      </c>
      <c r="K2156">
        <v>0</v>
      </c>
      <c r="L2156">
        <v>1650</v>
      </c>
      <c r="M2156">
        <v>1650</v>
      </c>
      <c r="N2156">
        <v>0</v>
      </c>
    </row>
    <row r="2157" spans="1:14" x14ac:dyDescent="0.25">
      <c r="A2157">
        <v>1648.4880149999999</v>
      </c>
      <c r="B2157" s="1">
        <f>DATE(2014,11,4) + TIME(11,42,44)</f>
        <v>41947.488009259258</v>
      </c>
      <c r="C2157">
        <v>80</v>
      </c>
      <c r="D2157">
        <v>79.649261475000003</v>
      </c>
      <c r="E2157">
        <v>40</v>
      </c>
      <c r="F2157">
        <v>40.774478911999999</v>
      </c>
      <c r="G2157">
        <v>1329.1682129000001</v>
      </c>
      <c r="H2157">
        <v>1327.7408447</v>
      </c>
      <c r="I2157">
        <v>1340.5385742000001</v>
      </c>
      <c r="J2157">
        <v>1337.1044922000001</v>
      </c>
      <c r="K2157">
        <v>0</v>
      </c>
      <c r="L2157">
        <v>1650</v>
      </c>
      <c r="M2157">
        <v>1650</v>
      </c>
      <c r="N2157">
        <v>0</v>
      </c>
    </row>
    <row r="2158" spans="1:14" x14ac:dyDescent="0.25">
      <c r="A2158">
        <v>1648.72198</v>
      </c>
      <c r="B2158" s="1">
        <f>DATE(2014,11,4) + TIME(17,19,39)</f>
        <v>41947.721979166665</v>
      </c>
      <c r="C2158">
        <v>80</v>
      </c>
      <c r="D2158">
        <v>79.631301879999995</v>
      </c>
      <c r="E2158">
        <v>40</v>
      </c>
      <c r="F2158">
        <v>40.640003204000003</v>
      </c>
      <c r="G2158">
        <v>1329.1564940999999</v>
      </c>
      <c r="H2158">
        <v>1327.7238769999999</v>
      </c>
      <c r="I2158">
        <v>1340.5332031</v>
      </c>
      <c r="J2158">
        <v>1337.1003418</v>
      </c>
      <c r="K2158">
        <v>0</v>
      </c>
      <c r="L2158">
        <v>1650</v>
      </c>
      <c r="M2158">
        <v>1650</v>
      </c>
      <c r="N2158">
        <v>0</v>
      </c>
    </row>
    <row r="2159" spans="1:14" x14ac:dyDescent="0.25">
      <c r="A2159">
        <v>1648.9652699999999</v>
      </c>
      <c r="B2159" s="1">
        <f>DATE(2014,11,4) + TIME(23,9,59)</f>
        <v>41947.965266203704</v>
      </c>
      <c r="C2159">
        <v>80</v>
      </c>
      <c r="D2159">
        <v>79.612800598000007</v>
      </c>
      <c r="E2159">
        <v>40</v>
      </c>
      <c r="F2159">
        <v>40.525440216</v>
      </c>
      <c r="G2159">
        <v>1329.1444091999999</v>
      </c>
      <c r="H2159">
        <v>1327.706543</v>
      </c>
      <c r="I2159">
        <v>1340.5283202999999</v>
      </c>
      <c r="J2159">
        <v>1337.0969238</v>
      </c>
      <c r="K2159">
        <v>0</v>
      </c>
      <c r="L2159">
        <v>1650</v>
      </c>
      <c r="M2159">
        <v>1650</v>
      </c>
      <c r="N2159">
        <v>0</v>
      </c>
    </row>
    <row r="2160" spans="1:14" x14ac:dyDescent="0.25">
      <c r="A2160">
        <v>1649.2185320000001</v>
      </c>
      <c r="B2160" s="1">
        <f>DATE(2014,11,5) + TIME(5,14,41)</f>
        <v>41948.218530092592</v>
      </c>
      <c r="C2160">
        <v>80</v>
      </c>
      <c r="D2160">
        <v>79.593719481999997</v>
      </c>
      <c r="E2160">
        <v>40</v>
      </c>
      <c r="F2160">
        <v>40.428352355999998</v>
      </c>
      <c r="G2160">
        <v>1329.1320800999999</v>
      </c>
      <c r="H2160">
        <v>1327.6885986</v>
      </c>
      <c r="I2160">
        <v>1340.5239257999999</v>
      </c>
      <c r="J2160">
        <v>1337.0939940999999</v>
      </c>
      <c r="K2160">
        <v>0</v>
      </c>
      <c r="L2160">
        <v>1650</v>
      </c>
      <c r="M2160">
        <v>1650</v>
      </c>
      <c r="N2160">
        <v>0</v>
      </c>
    </row>
    <row r="2161" spans="1:14" x14ac:dyDescent="0.25">
      <c r="A2161">
        <v>1649.4824550000001</v>
      </c>
      <c r="B2161" s="1">
        <f>DATE(2014,11,5) + TIME(11,34,44)</f>
        <v>41948.482453703706</v>
      </c>
      <c r="C2161">
        <v>80</v>
      </c>
      <c r="D2161">
        <v>79.574020386000001</v>
      </c>
      <c r="E2161">
        <v>40</v>
      </c>
      <c r="F2161">
        <v>40.346530913999999</v>
      </c>
      <c r="G2161">
        <v>1329.1192627</v>
      </c>
      <c r="H2161">
        <v>1327.6702881000001</v>
      </c>
      <c r="I2161">
        <v>1340.5197754000001</v>
      </c>
      <c r="J2161">
        <v>1337.0915527</v>
      </c>
      <c r="K2161">
        <v>0</v>
      </c>
      <c r="L2161">
        <v>1650</v>
      </c>
      <c r="M2161">
        <v>1650</v>
      </c>
      <c r="N2161">
        <v>0</v>
      </c>
    </row>
    <row r="2162" spans="1:14" x14ac:dyDescent="0.25">
      <c r="A2162">
        <v>1649.7577100000001</v>
      </c>
      <c r="B2162" s="1">
        <f>DATE(2014,11,5) + TIME(18,11,6)</f>
        <v>41948.757708333331</v>
      </c>
      <c r="C2162">
        <v>80</v>
      </c>
      <c r="D2162">
        <v>79.553672790999997</v>
      </c>
      <c r="E2162">
        <v>40</v>
      </c>
      <c r="F2162">
        <v>40.277999878000003</v>
      </c>
      <c r="G2162">
        <v>1329.1062012</v>
      </c>
      <c r="H2162">
        <v>1327.6514893000001</v>
      </c>
      <c r="I2162">
        <v>1340.5161132999999</v>
      </c>
      <c r="J2162">
        <v>1337.0895995999999</v>
      </c>
      <c r="K2162">
        <v>0</v>
      </c>
      <c r="L2162">
        <v>1650</v>
      </c>
      <c r="M2162">
        <v>1650</v>
      </c>
      <c r="N2162">
        <v>0</v>
      </c>
    </row>
    <row r="2163" spans="1:14" x14ac:dyDescent="0.25">
      <c r="A2163">
        <v>1650.0452459999999</v>
      </c>
      <c r="B2163" s="1">
        <f>DATE(2014,11,6) + TIME(1,5,9)</f>
        <v>41949.045243055552</v>
      </c>
      <c r="C2163">
        <v>80</v>
      </c>
      <c r="D2163">
        <v>79.532615661999998</v>
      </c>
      <c r="E2163">
        <v>40</v>
      </c>
      <c r="F2163">
        <v>40.220943450999997</v>
      </c>
      <c r="G2163">
        <v>1329.0926514</v>
      </c>
      <c r="H2163">
        <v>1327.6320800999999</v>
      </c>
      <c r="I2163">
        <v>1340.5126952999999</v>
      </c>
      <c r="J2163">
        <v>1337.0881348</v>
      </c>
      <c r="K2163">
        <v>0</v>
      </c>
      <c r="L2163">
        <v>1650</v>
      </c>
      <c r="M2163">
        <v>1650</v>
      </c>
      <c r="N2163">
        <v>0</v>
      </c>
    </row>
    <row r="2164" spans="1:14" x14ac:dyDescent="0.25">
      <c r="A2164">
        <v>1650.3459909999999</v>
      </c>
      <c r="B2164" s="1">
        <f>DATE(2014,11,6) + TIME(8,18,13)</f>
        <v>41949.345983796295</v>
      </c>
      <c r="C2164">
        <v>80</v>
      </c>
      <c r="D2164">
        <v>79.510803222999996</v>
      </c>
      <c r="E2164">
        <v>40</v>
      </c>
      <c r="F2164">
        <v>40.173763274999999</v>
      </c>
      <c r="G2164">
        <v>1329.0787353999999</v>
      </c>
      <c r="H2164">
        <v>1327.6119385</v>
      </c>
      <c r="I2164">
        <v>1340.5095214999999</v>
      </c>
      <c r="J2164">
        <v>1337.0869141000001</v>
      </c>
      <c r="K2164">
        <v>0</v>
      </c>
      <c r="L2164">
        <v>1650</v>
      </c>
      <c r="M2164">
        <v>1650</v>
      </c>
      <c r="N2164">
        <v>0</v>
      </c>
    </row>
    <row r="2165" spans="1:14" x14ac:dyDescent="0.25">
      <c r="A2165">
        <v>1650.6609800000001</v>
      </c>
      <c r="B2165" s="1">
        <f>DATE(2014,11,6) + TIME(15,51,48)</f>
        <v>41949.66097222222</v>
      </c>
      <c r="C2165">
        <v>80</v>
      </c>
      <c r="D2165">
        <v>79.488182068</v>
      </c>
      <c r="E2165">
        <v>40</v>
      </c>
      <c r="F2165">
        <v>40.135021209999998</v>
      </c>
      <c r="G2165">
        <v>1329.0643310999999</v>
      </c>
      <c r="H2165">
        <v>1327.5913086</v>
      </c>
      <c r="I2165">
        <v>1340.5065918</v>
      </c>
      <c r="J2165">
        <v>1337.0859375</v>
      </c>
      <c r="K2165">
        <v>0</v>
      </c>
      <c r="L2165">
        <v>1650</v>
      </c>
      <c r="M2165">
        <v>1650</v>
      </c>
      <c r="N2165">
        <v>0</v>
      </c>
    </row>
    <row r="2166" spans="1:14" x14ac:dyDescent="0.25">
      <c r="A2166">
        <v>1650.9913590000001</v>
      </c>
      <c r="B2166" s="1">
        <f>DATE(2014,11,6) + TIME(23,47,33)</f>
        <v>41949.991354166668</v>
      </c>
      <c r="C2166">
        <v>80</v>
      </c>
      <c r="D2166">
        <v>79.464691161999994</v>
      </c>
      <c r="E2166">
        <v>40</v>
      </c>
      <c r="F2166">
        <v>40.103450774999999</v>
      </c>
      <c r="G2166">
        <v>1329.0493164</v>
      </c>
      <c r="H2166">
        <v>1327.5698242000001</v>
      </c>
      <c r="I2166">
        <v>1340.5039062000001</v>
      </c>
      <c r="J2166">
        <v>1337.0853271000001</v>
      </c>
      <c r="K2166">
        <v>0</v>
      </c>
      <c r="L2166">
        <v>1650</v>
      </c>
      <c r="M2166">
        <v>1650</v>
      </c>
      <c r="N2166">
        <v>0</v>
      </c>
    </row>
    <row r="2167" spans="1:14" x14ac:dyDescent="0.25">
      <c r="A2167">
        <v>1651.338405</v>
      </c>
      <c r="B2167" s="1">
        <f>DATE(2014,11,7) + TIME(8,7,18)</f>
        <v>41950.338402777779</v>
      </c>
      <c r="C2167">
        <v>80</v>
      </c>
      <c r="D2167">
        <v>79.440261840999995</v>
      </c>
      <c r="E2167">
        <v>40</v>
      </c>
      <c r="F2167">
        <v>40.077926636000001</v>
      </c>
      <c r="G2167">
        <v>1329.0338135</v>
      </c>
      <c r="H2167">
        <v>1327.5476074000001</v>
      </c>
      <c r="I2167">
        <v>1340.5013428</v>
      </c>
      <c r="J2167">
        <v>1337.0848389</v>
      </c>
      <c r="K2167">
        <v>0</v>
      </c>
      <c r="L2167">
        <v>1650</v>
      </c>
      <c r="M2167">
        <v>1650</v>
      </c>
      <c r="N2167">
        <v>0</v>
      </c>
    </row>
    <row r="2168" spans="1:14" x14ac:dyDescent="0.25">
      <c r="A2168">
        <v>1651.703546</v>
      </c>
      <c r="B2168" s="1">
        <f>DATE(2014,11,7) + TIME(16,53,6)</f>
        <v>41950.703541666669</v>
      </c>
      <c r="C2168">
        <v>80</v>
      </c>
      <c r="D2168">
        <v>79.414817810000002</v>
      </c>
      <c r="E2168">
        <v>40</v>
      </c>
      <c r="F2168">
        <v>40.057456969999997</v>
      </c>
      <c r="G2168">
        <v>1329.0178223</v>
      </c>
      <c r="H2168">
        <v>1327.5245361</v>
      </c>
      <c r="I2168">
        <v>1340.4990233999999</v>
      </c>
      <c r="J2168">
        <v>1337.0845947</v>
      </c>
      <c r="K2168">
        <v>0</v>
      </c>
      <c r="L2168">
        <v>1650</v>
      </c>
      <c r="M2168">
        <v>1650</v>
      </c>
      <c r="N2168">
        <v>0</v>
      </c>
    </row>
    <row r="2169" spans="1:14" x14ac:dyDescent="0.25">
      <c r="A2169">
        <v>1652.0883799999999</v>
      </c>
      <c r="B2169" s="1">
        <f>DATE(2014,11,8) + TIME(2,7,16)</f>
        <v>41951.088379629633</v>
      </c>
      <c r="C2169">
        <v>80</v>
      </c>
      <c r="D2169">
        <v>79.388282775999997</v>
      </c>
      <c r="E2169">
        <v>40</v>
      </c>
      <c r="F2169">
        <v>40.041179657000001</v>
      </c>
      <c r="G2169">
        <v>1329.0009766000001</v>
      </c>
      <c r="H2169">
        <v>1327.5006103999999</v>
      </c>
      <c r="I2169">
        <v>1340.4967041</v>
      </c>
      <c r="J2169">
        <v>1337.0844727000001</v>
      </c>
      <c r="K2169">
        <v>0</v>
      </c>
      <c r="L2169">
        <v>1650</v>
      </c>
      <c r="M2169">
        <v>1650</v>
      </c>
      <c r="N2169">
        <v>0</v>
      </c>
    </row>
    <row r="2170" spans="1:14" x14ac:dyDescent="0.25">
      <c r="A2170">
        <v>1652.4936660000001</v>
      </c>
      <c r="B2170" s="1">
        <f>DATE(2014,11,8) + TIME(11,50,52)</f>
        <v>41951.493657407409</v>
      </c>
      <c r="C2170">
        <v>80</v>
      </c>
      <c r="D2170">
        <v>79.360633849999999</v>
      </c>
      <c r="E2170">
        <v>40</v>
      </c>
      <c r="F2170">
        <v>40.028377532999997</v>
      </c>
      <c r="G2170">
        <v>1328.9835204999999</v>
      </c>
      <c r="H2170">
        <v>1327.4757079999999</v>
      </c>
      <c r="I2170">
        <v>1340.4946289</v>
      </c>
      <c r="J2170">
        <v>1337.0844727000001</v>
      </c>
      <c r="K2170">
        <v>0</v>
      </c>
      <c r="L2170">
        <v>1650</v>
      </c>
      <c r="M2170">
        <v>1650</v>
      </c>
      <c r="N2170">
        <v>0</v>
      </c>
    </row>
    <row r="2171" spans="1:14" x14ac:dyDescent="0.25">
      <c r="A2171">
        <v>1652.9156829999999</v>
      </c>
      <c r="B2171" s="1">
        <f>DATE(2014,11,8) + TIME(21,58,35)</f>
        <v>41951.915682870371</v>
      </c>
      <c r="C2171">
        <v>80</v>
      </c>
      <c r="D2171">
        <v>79.332054138000004</v>
      </c>
      <c r="E2171">
        <v>40</v>
      </c>
      <c r="F2171">
        <v>40.018482208000002</v>
      </c>
      <c r="G2171">
        <v>1328.965332</v>
      </c>
      <c r="H2171">
        <v>1327.4498291</v>
      </c>
      <c r="I2171">
        <v>1340.4925536999999</v>
      </c>
      <c r="J2171">
        <v>1337.0844727000001</v>
      </c>
      <c r="K2171">
        <v>0</v>
      </c>
      <c r="L2171">
        <v>1650</v>
      </c>
      <c r="M2171">
        <v>1650</v>
      </c>
      <c r="N2171">
        <v>0</v>
      </c>
    </row>
    <row r="2172" spans="1:14" x14ac:dyDescent="0.25">
      <c r="A2172">
        <v>1653.3543520000001</v>
      </c>
      <c r="B2172" s="1">
        <f>DATE(2014,11,9) + TIME(8,30,15)</f>
        <v>41952.35434027778</v>
      </c>
      <c r="C2172">
        <v>80</v>
      </c>
      <c r="D2172">
        <v>79.302581786999994</v>
      </c>
      <c r="E2172">
        <v>40</v>
      </c>
      <c r="F2172">
        <v>40.010894774999997</v>
      </c>
      <c r="G2172">
        <v>1328.9466553</v>
      </c>
      <c r="H2172">
        <v>1327.4230957</v>
      </c>
      <c r="I2172">
        <v>1340.4907227000001</v>
      </c>
      <c r="J2172">
        <v>1337.0845947</v>
      </c>
      <c r="K2172">
        <v>0</v>
      </c>
      <c r="L2172">
        <v>1650</v>
      </c>
      <c r="M2172">
        <v>1650</v>
      </c>
      <c r="N2172">
        <v>0</v>
      </c>
    </row>
    <row r="2173" spans="1:14" x14ac:dyDescent="0.25">
      <c r="A2173">
        <v>1653.810878</v>
      </c>
      <c r="B2173" s="1">
        <f>DATE(2014,11,9) + TIME(19,27,39)</f>
        <v>41952.810868055552</v>
      </c>
      <c r="C2173">
        <v>80</v>
      </c>
      <c r="D2173">
        <v>79.272155761999997</v>
      </c>
      <c r="E2173">
        <v>40</v>
      </c>
      <c r="F2173">
        <v>40.005100249999998</v>
      </c>
      <c r="G2173">
        <v>1328.9273682</v>
      </c>
      <c r="H2173">
        <v>1327.3956298999999</v>
      </c>
      <c r="I2173">
        <v>1340.4888916</v>
      </c>
      <c r="J2173">
        <v>1337.0847168</v>
      </c>
      <c r="K2173">
        <v>0</v>
      </c>
      <c r="L2173">
        <v>1650</v>
      </c>
      <c r="M2173">
        <v>1650</v>
      </c>
      <c r="N2173">
        <v>0</v>
      </c>
    </row>
    <row r="2174" spans="1:14" x14ac:dyDescent="0.25">
      <c r="A2174">
        <v>1654.2868350000001</v>
      </c>
      <c r="B2174" s="1">
        <f>DATE(2014,11,10) + TIME(6,53,2)</f>
        <v>41953.286828703705</v>
      </c>
      <c r="C2174">
        <v>80</v>
      </c>
      <c r="D2174">
        <v>79.240737914999997</v>
      </c>
      <c r="E2174">
        <v>40</v>
      </c>
      <c r="F2174">
        <v>40.000686645999998</v>
      </c>
      <c r="G2174">
        <v>1328.9074707</v>
      </c>
      <c r="H2174">
        <v>1327.3673096</v>
      </c>
      <c r="I2174">
        <v>1340.4871826000001</v>
      </c>
      <c r="J2174">
        <v>1337.0848389</v>
      </c>
      <c r="K2174">
        <v>0</v>
      </c>
      <c r="L2174">
        <v>1650</v>
      </c>
      <c r="M2174">
        <v>1650</v>
      </c>
      <c r="N2174">
        <v>0</v>
      </c>
    </row>
    <row r="2175" spans="1:14" x14ac:dyDescent="0.25">
      <c r="A2175">
        <v>1654.7792569999999</v>
      </c>
      <c r="B2175" s="1">
        <f>DATE(2014,11,10) + TIME(18,42,7)</f>
        <v>41953.779247685183</v>
      </c>
      <c r="C2175">
        <v>80</v>
      </c>
      <c r="D2175">
        <v>79.208480835000003</v>
      </c>
      <c r="E2175">
        <v>40</v>
      </c>
      <c r="F2175">
        <v>39.997360229000002</v>
      </c>
      <c r="G2175">
        <v>1328.8869629000001</v>
      </c>
      <c r="H2175">
        <v>1327.3381348</v>
      </c>
      <c r="I2175">
        <v>1340.4854736</v>
      </c>
      <c r="J2175">
        <v>1337.0850829999999</v>
      </c>
      <c r="K2175">
        <v>0</v>
      </c>
      <c r="L2175">
        <v>1650</v>
      </c>
      <c r="M2175">
        <v>1650</v>
      </c>
      <c r="N2175">
        <v>0</v>
      </c>
    </row>
    <row r="2176" spans="1:14" x14ac:dyDescent="0.25">
      <c r="A2176">
        <v>1655.280794</v>
      </c>
      <c r="B2176" s="1">
        <f>DATE(2014,11,11) + TIME(6,44,20)</f>
        <v>41954.280787037038</v>
      </c>
      <c r="C2176">
        <v>80</v>
      </c>
      <c r="D2176">
        <v>79.175750731999997</v>
      </c>
      <c r="E2176">
        <v>40</v>
      </c>
      <c r="F2176">
        <v>39.994876861999998</v>
      </c>
      <c r="G2176">
        <v>1328.8659668</v>
      </c>
      <c r="H2176">
        <v>1327.3083495999999</v>
      </c>
      <c r="I2176">
        <v>1340.4838867000001</v>
      </c>
      <c r="J2176">
        <v>1337.0852050999999</v>
      </c>
      <c r="K2176">
        <v>0</v>
      </c>
      <c r="L2176">
        <v>1650</v>
      </c>
      <c r="M2176">
        <v>1650</v>
      </c>
      <c r="N2176">
        <v>0</v>
      </c>
    </row>
    <row r="2177" spans="1:14" x14ac:dyDescent="0.25">
      <c r="A2177">
        <v>1655.7926689999999</v>
      </c>
      <c r="B2177" s="1">
        <f>DATE(2014,11,11) + TIME(19,1,26)</f>
        <v>41954.792662037034</v>
      </c>
      <c r="C2177">
        <v>80</v>
      </c>
      <c r="D2177">
        <v>79.142547606999997</v>
      </c>
      <c r="E2177">
        <v>40</v>
      </c>
      <c r="F2177">
        <v>39.993015288999999</v>
      </c>
      <c r="G2177">
        <v>1328.8447266000001</v>
      </c>
      <c r="H2177">
        <v>1327.2781981999999</v>
      </c>
      <c r="I2177">
        <v>1340.4824219</v>
      </c>
      <c r="J2177">
        <v>1337.0853271000001</v>
      </c>
      <c r="K2177">
        <v>0</v>
      </c>
      <c r="L2177">
        <v>1650</v>
      </c>
      <c r="M2177">
        <v>1650</v>
      </c>
      <c r="N2177">
        <v>0</v>
      </c>
    </row>
    <row r="2178" spans="1:14" x14ac:dyDescent="0.25">
      <c r="A2178">
        <v>1656.316014</v>
      </c>
      <c r="B2178" s="1">
        <f>DATE(2014,11,12) + TIME(7,35,3)</f>
        <v>41955.316006944442</v>
      </c>
      <c r="C2178">
        <v>80</v>
      </c>
      <c r="D2178">
        <v>79.108856200999995</v>
      </c>
      <c r="E2178">
        <v>40</v>
      </c>
      <c r="F2178">
        <v>39.991611481</v>
      </c>
      <c r="G2178">
        <v>1328.8231201000001</v>
      </c>
      <c r="H2178">
        <v>1327.2476807</v>
      </c>
      <c r="I2178">
        <v>1340.480957</v>
      </c>
      <c r="J2178">
        <v>1337.0855713000001</v>
      </c>
      <c r="K2178">
        <v>0</v>
      </c>
      <c r="L2178">
        <v>1650</v>
      </c>
      <c r="M2178">
        <v>1650</v>
      </c>
      <c r="N2178">
        <v>0</v>
      </c>
    </row>
    <row r="2179" spans="1:14" x14ac:dyDescent="0.25">
      <c r="A2179">
        <v>1656.852003</v>
      </c>
      <c r="B2179" s="1">
        <f>DATE(2014,11,12) + TIME(20,26,53)</f>
        <v>41955.852002314816</v>
      </c>
      <c r="C2179">
        <v>80</v>
      </c>
      <c r="D2179">
        <v>79.074661254999995</v>
      </c>
      <c r="E2179">
        <v>40</v>
      </c>
      <c r="F2179">
        <v>39.990539550999998</v>
      </c>
      <c r="G2179">
        <v>1328.8013916</v>
      </c>
      <c r="H2179">
        <v>1327.2166748</v>
      </c>
      <c r="I2179">
        <v>1340.4796143000001</v>
      </c>
      <c r="J2179">
        <v>1337.0855713000001</v>
      </c>
      <c r="K2179">
        <v>0</v>
      </c>
      <c r="L2179">
        <v>1650</v>
      </c>
      <c r="M2179">
        <v>1650</v>
      </c>
      <c r="N2179">
        <v>0</v>
      </c>
    </row>
    <row r="2180" spans="1:14" x14ac:dyDescent="0.25">
      <c r="A2180">
        <v>1657.401867</v>
      </c>
      <c r="B2180" s="1">
        <f>DATE(2014,11,13) + TIME(9,38,41)</f>
        <v>41956.401863425926</v>
      </c>
      <c r="C2180">
        <v>80</v>
      </c>
      <c r="D2180">
        <v>79.039916992000002</v>
      </c>
      <c r="E2180">
        <v>40</v>
      </c>
      <c r="F2180">
        <v>39.989715576000002</v>
      </c>
      <c r="G2180">
        <v>1328.7791748</v>
      </c>
      <c r="H2180">
        <v>1327.1853027</v>
      </c>
      <c r="I2180">
        <v>1340.4782714999999</v>
      </c>
      <c r="J2180">
        <v>1337.0856934000001</v>
      </c>
      <c r="K2180">
        <v>0</v>
      </c>
      <c r="L2180">
        <v>1650</v>
      </c>
      <c r="M2180">
        <v>1650</v>
      </c>
      <c r="N2180">
        <v>0</v>
      </c>
    </row>
    <row r="2181" spans="1:14" x14ac:dyDescent="0.25">
      <c r="A2181">
        <v>1657.966911</v>
      </c>
      <c r="B2181" s="1">
        <f>DATE(2014,11,13) + TIME(23,12,21)</f>
        <v>41956.966909722221</v>
      </c>
      <c r="C2181">
        <v>80</v>
      </c>
      <c r="D2181">
        <v>79.004585266000007</v>
      </c>
      <c r="E2181">
        <v>40</v>
      </c>
      <c r="F2181">
        <v>39.989078522</v>
      </c>
      <c r="G2181">
        <v>1328.7565918</v>
      </c>
      <c r="H2181">
        <v>1327.1534423999999</v>
      </c>
      <c r="I2181">
        <v>1340.4770507999999</v>
      </c>
      <c r="J2181">
        <v>1337.0858154</v>
      </c>
      <c r="K2181">
        <v>0</v>
      </c>
      <c r="L2181">
        <v>1650</v>
      </c>
      <c r="M2181">
        <v>1650</v>
      </c>
      <c r="N2181">
        <v>0</v>
      </c>
    </row>
    <row r="2182" spans="1:14" x14ac:dyDescent="0.25">
      <c r="A2182">
        <v>1658.548538</v>
      </c>
      <c r="B2182" s="1">
        <f>DATE(2014,11,14) + TIME(13,9,53)</f>
        <v>41957.548530092594</v>
      </c>
      <c r="C2182">
        <v>80</v>
      </c>
      <c r="D2182">
        <v>78.968612671000002</v>
      </c>
      <c r="E2182">
        <v>40</v>
      </c>
      <c r="F2182">
        <v>39.988578795999999</v>
      </c>
      <c r="G2182">
        <v>1328.7337646000001</v>
      </c>
      <c r="H2182">
        <v>1327.1209716999999</v>
      </c>
      <c r="I2182">
        <v>1340.4758300999999</v>
      </c>
      <c r="J2182">
        <v>1337.0859375</v>
      </c>
      <c r="K2182">
        <v>0</v>
      </c>
      <c r="L2182">
        <v>1650</v>
      </c>
      <c r="M2182">
        <v>1650</v>
      </c>
      <c r="N2182">
        <v>0</v>
      </c>
    </row>
    <row r="2183" spans="1:14" x14ac:dyDescent="0.25">
      <c r="A2183">
        <v>1659.1482410000001</v>
      </c>
      <c r="B2183" s="1">
        <f>DATE(2014,11,15) + TIME(3,33,28)</f>
        <v>41958.148240740738</v>
      </c>
      <c r="C2183">
        <v>80</v>
      </c>
      <c r="D2183">
        <v>78.931953429999993</v>
      </c>
      <c r="E2183">
        <v>40</v>
      </c>
      <c r="F2183">
        <v>39.988182068</v>
      </c>
      <c r="G2183">
        <v>1328.7103271000001</v>
      </c>
      <c r="H2183">
        <v>1327.0878906</v>
      </c>
      <c r="I2183">
        <v>1340.4746094</v>
      </c>
      <c r="J2183">
        <v>1337.0859375</v>
      </c>
      <c r="K2183">
        <v>0</v>
      </c>
      <c r="L2183">
        <v>1650</v>
      </c>
      <c r="M2183">
        <v>1650</v>
      </c>
      <c r="N2183">
        <v>0</v>
      </c>
    </row>
    <row r="2184" spans="1:14" x14ac:dyDescent="0.25">
      <c r="A2184">
        <v>1659.7676260000001</v>
      </c>
      <c r="B2184" s="1">
        <f>DATE(2014,11,15) + TIME(18,25,22)</f>
        <v>41958.76761574074</v>
      </c>
      <c r="C2184">
        <v>80</v>
      </c>
      <c r="D2184">
        <v>78.894523621000005</v>
      </c>
      <c r="E2184">
        <v>40</v>
      </c>
      <c r="F2184">
        <v>39.987869263</v>
      </c>
      <c r="G2184">
        <v>1328.6864014</v>
      </c>
      <c r="H2184">
        <v>1327.0541992000001</v>
      </c>
      <c r="I2184">
        <v>1340.4735106999999</v>
      </c>
      <c r="J2184">
        <v>1337.0859375</v>
      </c>
      <c r="K2184">
        <v>0</v>
      </c>
      <c r="L2184">
        <v>1650</v>
      </c>
      <c r="M2184">
        <v>1650</v>
      </c>
      <c r="N2184">
        <v>0</v>
      </c>
    </row>
    <row r="2185" spans="1:14" x14ac:dyDescent="0.25">
      <c r="A2185">
        <v>1660.408224</v>
      </c>
      <c r="B2185" s="1">
        <f>DATE(2014,11,16) + TIME(9,47,50)</f>
        <v>41959.408217592594</v>
      </c>
      <c r="C2185">
        <v>80</v>
      </c>
      <c r="D2185">
        <v>78.856285095000004</v>
      </c>
      <c r="E2185">
        <v>40</v>
      </c>
      <c r="F2185">
        <v>39.987613678000002</v>
      </c>
      <c r="G2185">
        <v>1328.6619873</v>
      </c>
      <c r="H2185">
        <v>1327.0197754000001</v>
      </c>
      <c r="I2185">
        <v>1340.4724120999999</v>
      </c>
      <c r="J2185">
        <v>1337.0860596</v>
      </c>
      <c r="K2185">
        <v>0</v>
      </c>
      <c r="L2185">
        <v>1650</v>
      </c>
      <c r="M2185">
        <v>1650</v>
      </c>
      <c r="N2185">
        <v>0</v>
      </c>
    </row>
    <row r="2186" spans="1:14" x14ac:dyDescent="0.25">
      <c r="A2186">
        <v>1661.072028</v>
      </c>
      <c r="B2186" s="1">
        <f>DATE(2014,11,17) + TIME(1,43,43)</f>
        <v>41960.072025462963</v>
      </c>
      <c r="C2186">
        <v>80</v>
      </c>
      <c r="D2186">
        <v>78.817153931000007</v>
      </c>
      <c r="E2186">
        <v>40</v>
      </c>
      <c r="F2186">
        <v>39.987407683999997</v>
      </c>
      <c r="G2186">
        <v>1328.6369629000001</v>
      </c>
      <c r="H2186">
        <v>1326.9844971</v>
      </c>
      <c r="I2186">
        <v>1340.4714355000001</v>
      </c>
      <c r="J2186">
        <v>1337.0860596</v>
      </c>
      <c r="K2186">
        <v>0</v>
      </c>
      <c r="L2186">
        <v>1650</v>
      </c>
      <c r="M2186">
        <v>1650</v>
      </c>
      <c r="N2186">
        <v>0</v>
      </c>
    </row>
    <row r="2187" spans="1:14" x14ac:dyDescent="0.25">
      <c r="A2187">
        <v>1661.7611850000001</v>
      </c>
      <c r="B2187" s="1">
        <f>DATE(2014,11,17) + TIME(18,16,6)</f>
        <v>41960.761180555557</v>
      </c>
      <c r="C2187">
        <v>80</v>
      </c>
      <c r="D2187">
        <v>78.777038574000002</v>
      </c>
      <c r="E2187">
        <v>40</v>
      </c>
      <c r="F2187">
        <v>39.987239838000001</v>
      </c>
      <c r="G2187">
        <v>1328.6112060999999</v>
      </c>
      <c r="H2187">
        <v>1326.9482422000001</v>
      </c>
      <c r="I2187">
        <v>1340.4703368999999</v>
      </c>
      <c r="J2187">
        <v>1337.0860596</v>
      </c>
      <c r="K2187">
        <v>0</v>
      </c>
      <c r="L2187">
        <v>1650</v>
      </c>
      <c r="M2187">
        <v>1650</v>
      </c>
      <c r="N2187">
        <v>0</v>
      </c>
    </row>
    <row r="2188" spans="1:14" x14ac:dyDescent="0.25">
      <c r="A2188">
        <v>1662.4779900000001</v>
      </c>
      <c r="B2188" s="1">
        <f>DATE(2014,11,18) + TIME(11,28,18)</f>
        <v>41961.477986111109</v>
      </c>
      <c r="C2188">
        <v>80</v>
      </c>
      <c r="D2188">
        <v>78.735862732000001</v>
      </c>
      <c r="E2188">
        <v>40</v>
      </c>
      <c r="F2188">
        <v>39.987102509000003</v>
      </c>
      <c r="G2188">
        <v>1328.5848389</v>
      </c>
      <c r="H2188">
        <v>1326.9111327999999</v>
      </c>
      <c r="I2188">
        <v>1340.4693603999999</v>
      </c>
      <c r="J2188">
        <v>1337.0860596</v>
      </c>
      <c r="K2188">
        <v>0</v>
      </c>
      <c r="L2188">
        <v>1650</v>
      </c>
      <c r="M2188">
        <v>1650</v>
      </c>
      <c r="N2188">
        <v>0</v>
      </c>
    </row>
    <row r="2189" spans="1:14" x14ac:dyDescent="0.25">
      <c r="A2189">
        <v>1663.2249859999999</v>
      </c>
      <c r="B2189" s="1">
        <f>DATE(2014,11,19) + TIME(5,23,58)</f>
        <v>41962.224976851852</v>
      </c>
      <c r="C2189">
        <v>80</v>
      </c>
      <c r="D2189">
        <v>78.693527222</v>
      </c>
      <c r="E2189">
        <v>40</v>
      </c>
      <c r="F2189">
        <v>39.986988068000002</v>
      </c>
      <c r="G2189">
        <v>1328.5576172000001</v>
      </c>
      <c r="H2189">
        <v>1326.8729248</v>
      </c>
      <c r="I2189">
        <v>1340.4683838000001</v>
      </c>
      <c r="J2189">
        <v>1337.0860596</v>
      </c>
      <c r="K2189">
        <v>0</v>
      </c>
      <c r="L2189">
        <v>1650</v>
      </c>
      <c r="M2189">
        <v>1650</v>
      </c>
      <c r="N2189">
        <v>0</v>
      </c>
    </row>
    <row r="2190" spans="1:14" x14ac:dyDescent="0.25">
      <c r="A2190">
        <v>1664.004991</v>
      </c>
      <c r="B2190" s="1">
        <f>DATE(2014,11,20) + TIME(0,7,11)</f>
        <v>41963.004988425928</v>
      </c>
      <c r="C2190">
        <v>80</v>
      </c>
      <c r="D2190">
        <v>78.649917603000006</v>
      </c>
      <c r="E2190">
        <v>40</v>
      </c>
      <c r="F2190">
        <v>39.986888884999999</v>
      </c>
      <c r="G2190">
        <v>1328.5295410000001</v>
      </c>
      <c r="H2190">
        <v>1326.8334961</v>
      </c>
      <c r="I2190">
        <v>1340.4675293</v>
      </c>
      <c r="J2190">
        <v>1337.0860596</v>
      </c>
      <c r="K2190">
        <v>0</v>
      </c>
      <c r="L2190">
        <v>1650</v>
      </c>
      <c r="M2190">
        <v>1650</v>
      </c>
      <c r="N2190">
        <v>0</v>
      </c>
    </row>
    <row r="2191" spans="1:14" x14ac:dyDescent="0.25">
      <c r="A2191">
        <v>1664.8211670000001</v>
      </c>
      <c r="B2191" s="1">
        <f>DATE(2014,11,20) + TIME(19,42,28)</f>
        <v>41963.821157407408</v>
      </c>
      <c r="C2191">
        <v>80</v>
      </c>
      <c r="D2191">
        <v>78.604927063000005</v>
      </c>
      <c r="E2191">
        <v>40</v>
      </c>
      <c r="F2191">
        <v>39.986808777</v>
      </c>
      <c r="G2191">
        <v>1328.5004882999999</v>
      </c>
      <c r="H2191">
        <v>1326.7928466999999</v>
      </c>
      <c r="I2191">
        <v>1340.4666748</v>
      </c>
      <c r="J2191">
        <v>1337.0860596</v>
      </c>
      <c r="K2191">
        <v>0</v>
      </c>
      <c r="L2191">
        <v>1650</v>
      </c>
      <c r="M2191">
        <v>1650</v>
      </c>
      <c r="N2191">
        <v>0</v>
      </c>
    </row>
    <row r="2192" spans="1:14" x14ac:dyDescent="0.25">
      <c r="A2192">
        <v>1665.677068</v>
      </c>
      <c r="B2192" s="1">
        <f>DATE(2014,11,21) + TIME(16,14,58)</f>
        <v>41964.677060185182</v>
      </c>
      <c r="C2192">
        <v>80</v>
      </c>
      <c r="D2192">
        <v>78.558418274000005</v>
      </c>
      <c r="E2192">
        <v>40</v>
      </c>
      <c r="F2192">
        <v>39.986740112</v>
      </c>
      <c r="G2192">
        <v>1328.4704589999999</v>
      </c>
      <c r="H2192">
        <v>1326.7507324000001</v>
      </c>
      <c r="I2192">
        <v>1340.4658202999999</v>
      </c>
      <c r="J2192">
        <v>1337.0860596</v>
      </c>
      <c r="K2192">
        <v>0</v>
      </c>
      <c r="L2192">
        <v>1650</v>
      </c>
      <c r="M2192">
        <v>1650</v>
      </c>
      <c r="N2192">
        <v>0</v>
      </c>
    </row>
    <row r="2193" spans="1:14" x14ac:dyDescent="0.25">
      <c r="A2193">
        <v>1666.5766980000001</v>
      </c>
      <c r="B2193" s="1">
        <f>DATE(2014,11,22) + TIME(13,50,26)</f>
        <v>41965.576689814814</v>
      </c>
      <c r="C2193">
        <v>80</v>
      </c>
      <c r="D2193">
        <v>78.510261536000002</v>
      </c>
      <c r="E2193">
        <v>40</v>
      </c>
      <c r="F2193">
        <v>39.986682891999997</v>
      </c>
      <c r="G2193">
        <v>1328.4392089999999</v>
      </c>
      <c r="H2193">
        <v>1326.7070312000001</v>
      </c>
      <c r="I2193">
        <v>1340.4649658000001</v>
      </c>
      <c r="J2193">
        <v>1337.0860596</v>
      </c>
      <c r="K2193">
        <v>0</v>
      </c>
      <c r="L2193">
        <v>1650</v>
      </c>
      <c r="M2193">
        <v>1650</v>
      </c>
      <c r="N2193">
        <v>0</v>
      </c>
    </row>
    <row r="2194" spans="1:14" x14ac:dyDescent="0.25">
      <c r="A2194">
        <v>1667.5246099999999</v>
      </c>
      <c r="B2194" s="1">
        <f>DATE(2014,11,23) + TIME(12,35,26)</f>
        <v>41966.524606481478</v>
      </c>
      <c r="C2194">
        <v>80</v>
      </c>
      <c r="D2194">
        <v>78.460281371999997</v>
      </c>
      <c r="E2194">
        <v>40</v>
      </c>
      <c r="F2194">
        <v>39.986633300999998</v>
      </c>
      <c r="G2194">
        <v>1328.4068603999999</v>
      </c>
      <c r="H2194">
        <v>1326.6617432</v>
      </c>
      <c r="I2194">
        <v>1340.4641113</v>
      </c>
      <c r="J2194">
        <v>1337.0860596</v>
      </c>
      <c r="K2194">
        <v>0</v>
      </c>
      <c r="L2194">
        <v>1650</v>
      </c>
      <c r="M2194">
        <v>1650</v>
      </c>
      <c r="N2194">
        <v>0</v>
      </c>
    </row>
    <row r="2195" spans="1:14" x14ac:dyDescent="0.25">
      <c r="A2195">
        <v>1668.4964829999999</v>
      </c>
      <c r="B2195" s="1">
        <f>DATE(2014,11,24) + TIME(11,54,56)</f>
        <v>41967.496481481481</v>
      </c>
      <c r="C2195">
        <v>80</v>
      </c>
      <c r="D2195">
        <v>78.409141540999997</v>
      </c>
      <c r="E2195">
        <v>40</v>
      </c>
      <c r="F2195">
        <v>39.986591339</v>
      </c>
      <c r="G2195">
        <v>1328.3731689000001</v>
      </c>
      <c r="H2195">
        <v>1326.6147461</v>
      </c>
      <c r="I2195">
        <v>1340.4633789</v>
      </c>
      <c r="J2195">
        <v>1337.0860596</v>
      </c>
      <c r="K2195">
        <v>0</v>
      </c>
      <c r="L2195">
        <v>1650</v>
      </c>
      <c r="M2195">
        <v>1650</v>
      </c>
      <c r="N2195">
        <v>0</v>
      </c>
    </row>
    <row r="2196" spans="1:14" x14ac:dyDescent="0.25">
      <c r="A2196">
        <v>1669.4878169999999</v>
      </c>
      <c r="B2196" s="1">
        <f>DATE(2014,11,25) + TIME(11,42,27)</f>
        <v>41968.487812500003</v>
      </c>
      <c r="C2196">
        <v>80</v>
      </c>
      <c r="D2196">
        <v>78.357223511000001</v>
      </c>
      <c r="E2196">
        <v>40</v>
      </c>
      <c r="F2196">
        <v>39.986557007000002</v>
      </c>
      <c r="G2196">
        <v>1328.3387451000001</v>
      </c>
      <c r="H2196">
        <v>1326.5668945</v>
      </c>
      <c r="I2196">
        <v>1340.4626464999999</v>
      </c>
      <c r="J2196">
        <v>1337.0860596</v>
      </c>
      <c r="K2196">
        <v>0</v>
      </c>
      <c r="L2196">
        <v>1650</v>
      </c>
      <c r="M2196">
        <v>1650</v>
      </c>
      <c r="N2196">
        <v>0</v>
      </c>
    </row>
    <row r="2197" spans="1:14" x14ac:dyDescent="0.25">
      <c r="A2197">
        <v>1670.501074</v>
      </c>
      <c r="B2197" s="1">
        <f>DATE(2014,11,26) + TIME(12,1,32)</f>
        <v>41969.501064814816</v>
      </c>
      <c r="C2197">
        <v>80</v>
      </c>
      <c r="D2197">
        <v>78.304634093999994</v>
      </c>
      <c r="E2197">
        <v>40</v>
      </c>
      <c r="F2197">
        <v>39.986526488999999</v>
      </c>
      <c r="G2197">
        <v>1328.3039550999999</v>
      </c>
      <c r="H2197">
        <v>1326.5183105000001</v>
      </c>
      <c r="I2197">
        <v>1340.4620361</v>
      </c>
      <c r="J2197">
        <v>1337.0861815999999</v>
      </c>
      <c r="K2197">
        <v>0</v>
      </c>
      <c r="L2197">
        <v>1650</v>
      </c>
      <c r="M2197">
        <v>1650</v>
      </c>
      <c r="N2197">
        <v>0</v>
      </c>
    </row>
    <row r="2198" spans="1:14" x14ac:dyDescent="0.25">
      <c r="A2198">
        <v>1671.5387479999999</v>
      </c>
      <c r="B2198" s="1">
        <f>DATE(2014,11,27) + TIME(12,55,47)</f>
        <v>41970.538738425923</v>
      </c>
      <c r="C2198">
        <v>80</v>
      </c>
      <c r="D2198">
        <v>78.251396178999997</v>
      </c>
      <c r="E2198">
        <v>40</v>
      </c>
      <c r="F2198">
        <v>39.986495972</v>
      </c>
      <c r="G2198">
        <v>1328.2686768000001</v>
      </c>
      <c r="H2198">
        <v>1326.4691161999999</v>
      </c>
      <c r="I2198">
        <v>1340.4613036999999</v>
      </c>
      <c r="J2198">
        <v>1337.0861815999999</v>
      </c>
      <c r="K2198">
        <v>0</v>
      </c>
      <c r="L2198">
        <v>1650</v>
      </c>
      <c r="M2198">
        <v>1650</v>
      </c>
      <c r="N2198">
        <v>0</v>
      </c>
    </row>
    <row r="2199" spans="1:14" x14ac:dyDescent="0.25">
      <c r="A2199">
        <v>1672.603509</v>
      </c>
      <c r="B2199" s="1">
        <f>DATE(2014,11,28) + TIME(14,29,3)</f>
        <v>41971.603506944448</v>
      </c>
      <c r="C2199">
        <v>80</v>
      </c>
      <c r="D2199">
        <v>78.197471618999998</v>
      </c>
      <c r="E2199">
        <v>40</v>
      </c>
      <c r="F2199">
        <v>39.986473083</v>
      </c>
      <c r="G2199">
        <v>1328.2329102000001</v>
      </c>
      <c r="H2199">
        <v>1326.4193115</v>
      </c>
      <c r="I2199">
        <v>1340.4608154</v>
      </c>
      <c r="J2199">
        <v>1337.0863036999999</v>
      </c>
      <c r="K2199">
        <v>0</v>
      </c>
      <c r="L2199">
        <v>1650</v>
      </c>
      <c r="M2199">
        <v>1650</v>
      </c>
      <c r="N2199">
        <v>0</v>
      </c>
    </row>
    <row r="2200" spans="1:14" x14ac:dyDescent="0.25">
      <c r="A2200">
        <v>1673.698236</v>
      </c>
      <c r="B2200" s="1">
        <f>DATE(2014,11,29) + TIME(16,45,27)</f>
        <v>41972.698229166665</v>
      </c>
      <c r="C2200">
        <v>80</v>
      </c>
      <c r="D2200">
        <v>78.142761230000005</v>
      </c>
      <c r="E2200">
        <v>40</v>
      </c>
      <c r="F2200">
        <v>39.986446381</v>
      </c>
      <c r="G2200">
        <v>1328.1965332</v>
      </c>
      <c r="H2200">
        <v>1326.3686522999999</v>
      </c>
      <c r="I2200">
        <v>1340.4602050999999</v>
      </c>
      <c r="J2200">
        <v>1337.0863036999999</v>
      </c>
      <c r="K2200">
        <v>0</v>
      </c>
      <c r="L2200">
        <v>1650</v>
      </c>
      <c r="M2200">
        <v>1650</v>
      </c>
      <c r="N2200">
        <v>0</v>
      </c>
    </row>
    <row r="2201" spans="1:14" x14ac:dyDescent="0.25">
      <c r="A2201">
        <v>1674.8260580000001</v>
      </c>
      <c r="B2201" s="1">
        <f>DATE(2014,11,30) + TIME(19,49,31)</f>
        <v>41973.826053240744</v>
      </c>
      <c r="C2201">
        <v>80</v>
      </c>
      <c r="D2201">
        <v>78.087173461999996</v>
      </c>
      <c r="E2201">
        <v>40</v>
      </c>
      <c r="F2201">
        <v>39.986427307</v>
      </c>
      <c r="G2201">
        <v>1328.1595459</v>
      </c>
      <c r="H2201">
        <v>1326.3172606999999</v>
      </c>
      <c r="I2201">
        <v>1340.4597168</v>
      </c>
      <c r="J2201">
        <v>1337.0864257999999</v>
      </c>
      <c r="K2201">
        <v>0</v>
      </c>
      <c r="L2201">
        <v>1650</v>
      </c>
      <c r="M2201">
        <v>1650</v>
      </c>
      <c r="N2201">
        <v>0</v>
      </c>
    </row>
    <row r="2202" spans="1:14" x14ac:dyDescent="0.25">
      <c r="A2202">
        <v>1675</v>
      </c>
      <c r="B2202" s="1">
        <f>DATE(2014,12,1) + TIME(0,0,0)</f>
        <v>41974</v>
      </c>
      <c r="C2202">
        <v>80</v>
      </c>
      <c r="D2202">
        <v>78.072334290000001</v>
      </c>
      <c r="E2202">
        <v>40</v>
      </c>
      <c r="F2202">
        <v>39.986423492</v>
      </c>
      <c r="G2202">
        <v>1328.1267089999999</v>
      </c>
      <c r="H2202">
        <v>1326.2736815999999</v>
      </c>
      <c r="I2202">
        <v>1340.4589844</v>
      </c>
      <c r="J2202">
        <v>1337.0863036999999</v>
      </c>
      <c r="K2202">
        <v>0</v>
      </c>
      <c r="L2202">
        <v>1650</v>
      </c>
      <c r="M2202">
        <v>1650</v>
      </c>
      <c r="N2202">
        <v>0</v>
      </c>
    </row>
    <row r="2203" spans="1:14" x14ac:dyDescent="0.25">
      <c r="A2203">
        <v>1676.164254</v>
      </c>
      <c r="B2203" s="1">
        <f>DATE(2014,12,2) + TIME(3,56,31)</f>
        <v>41975.164247685185</v>
      </c>
      <c r="C2203">
        <v>80</v>
      </c>
      <c r="D2203">
        <v>78.018913268999995</v>
      </c>
      <c r="E2203">
        <v>40</v>
      </c>
      <c r="F2203">
        <v>39.986400604000004</v>
      </c>
      <c r="G2203">
        <v>1328.1141356999999</v>
      </c>
      <c r="H2203">
        <v>1326.2536620999999</v>
      </c>
      <c r="I2203">
        <v>1340.4592285000001</v>
      </c>
      <c r="J2203">
        <v>1337.0865478999999</v>
      </c>
      <c r="K2203">
        <v>0</v>
      </c>
      <c r="L2203">
        <v>1650</v>
      </c>
      <c r="M2203">
        <v>1650</v>
      </c>
      <c r="N2203">
        <v>0</v>
      </c>
    </row>
    <row r="2204" spans="1:14" x14ac:dyDescent="0.25">
      <c r="A2204">
        <v>1677.374579</v>
      </c>
      <c r="B2204" s="1">
        <f>DATE(2014,12,3) + TIME(8,59,23)</f>
        <v>41976.374571759261</v>
      </c>
      <c r="C2204">
        <v>80</v>
      </c>
      <c r="D2204">
        <v>77.962654114000003</v>
      </c>
      <c r="E2204">
        <v>40</v>
      </c>
      <c r="F2204">
        <v>39.986381530999999</v>
      </c>
      <c r="G2204">
        <v>1328.0767822</v>
      </c>
      <c r="H2204">
        <v>1326.2020264</v>
      </c>
      <c r="I2204">
        <v>1340.4588623</v>
      </c>
      <c r="J2204">
        <v>1337.0866699000001</v>
      </c>
      <c r="K2204">
        <v>0</v>
      </c>
      <c r="L2204">
        <v>1650</v>
      </c>
      <c r="M2204">
        <v>1650</v>
      </c>
      <c r="N2204">
        <v>0</v>
      </c>
    </row>
    <row r="2205" spans="1:14" x14ac:dyDescent="0.25">
      <c r="A2205">
        <v>1678.628989</v>
      </c>
      <c r="B2205" s="1">
        <f>DATE(2014,12,4) + TIME(15,5,44)</f>
        <v>41977.628981481481</v>
      </c>
      <c r="C2205">
        <v>80</v>
      </c>
      <c r="D2205">
        <v>77.904197693</v>
      </c>
      <c r="E2205">
        <v>40</v>
      </c>
      <c r="F2205">
        <v>39.986362456999998</v>
      </c>
      <c r="G2205">
        <v>1328.0378418</v>
      </c>
      <c r="H2205">
        <v>1326.1483154</v>
      </c>
      <c r="I2205">
        <v>1340.458374</v>
      </c>
      <c r="J2205">
        <v>1337.0867920000001</v>
      </c>
      <c r="K2205">
        <v>0</v>
      </c>
      <c r="L2205">
        <v>1650</v>
      </c>
      <c r="M2205">
        <v>1650</v>
      </c>
      <c r="N2205">
        <v>0</v>
      </c>
    </row>
    <row r="2206" spans="1:14" x14ac:dyDescent="0.25">
      <c r="A2206">
        <v>1679.932264</v>
      </c>
      <c r="B2206" s="1">
        <f>DATE(2014,12,5) + TIME(22,22,27)</f>
        <v>41978.932256944441</v>
      </c>
      <c r="C2206">
        <v>80</v>
      </c>
      <c r="D2206">
        <v>77.843788146999998</v>
      </c>
      <c r="E2206">
        <v>40</v>
      </c>
      <c r="F2206">
        <v>39.986339569000002</v>
      </c>
      <c r="G2206">
        <v>1327.9976807</v>
      </c>
      <c r="H2206">
        <v>1326.0927733999999</v>
      </c>
      <c r="I2206">
        <v>1340.4580077999999</v>
      </c>
      <c r="J2206">
        <v>1337.0870361</v>
      </c>
      <c r="K2206">
        <v>0</v>
      </c>
      <c r="L2206">
        <v>1650</v>
      </c>
      <c r="M2206">
        <v>1650</v>
      </c>
      <c r="N2206">
        <v>0</v>
      </c>
    </row>
    <row r="2207" spans="1:14" x14ac:dyDescent="0.25">
      <c r="A2207">
        <v>1681.289307</v>
      </c>
      <c r="B2207" s="1">
        <f>DATE(2014,12,7) + TIME(6,56,36)</f>
        <v>41980.289305555554</v>
      </c>
      <c r="C2207">
        <v>80</v>
      </c>
      <c r="D2207">
        <v>77.781455993999998</v>
      </c>
      <c r="E2207">
        <v>40</v>
      </c>
      <c r="F2207">
        <v>39.986320495999998</v>
      </c>
      <c r="G2207">
        <v>1327.9562988</v>
      </c>
      <c r="H2207">
        <v>1326.0356445</v>
      </c>
      <c r="I2207">
        <v>1340.4577637</v>
      </c>
      <c r="J2207">
        <v>1337.0871582</v>
      </c>
      <c r="K2207">
        <v>0</v>
      </c>
      <c r="L2207">
        <v>1650</v>
      </c>
      <c r="M2207">
        <v>1650</v>
      </c>
      <c r="N2207">
        <v>0</v>
      </c>
    </row>
    <row r="2208" spans="1:14" x14ac:dyDescent="0.25">
      <c r="A2208">
        <v>1682.7055949999999</v>
      </c>
      <c r="B2208" s="1">
        <f>DATE(2014,12,8) + TIME(16,56,3)</f>
        <v>41981.705590277779</v>
      </c>
      <c r="C2208">
        <v>80</v>
      </c>
      <c r="D2208">
        <v>77.717063904</v>
      </c>
      <c r="E2208">
        <v>40</v>
      </c>
      <c r="F2208">
        <v>39.986297606999997</v>
      </c>
      <c r="G2208">
        <v>1327.9136963000001</v>
      </c>
      <c r="H2208">
        <v>1325.9766846</v>
      </c>
      <c r="I2208">
        <v>1340.4573975000001</v>
      </c>
      <c r="J2208">
        <v>1337.0874022999999</v>
      </c>
      <c r="K2208">
        <v>0</v>
      </c>
      <c r="L2208">
        <v>1650</v>
      </c>
      <c r="M2208">
        <v>1650</v>
      </c>
      <c r="N2208">
        <v>0</v>
      </c>
    </row>
    <row r="2209" spans="1:14" x14ac:dyDescent="0.25">
      <c r="A2209">
        <v>1684.1872760000001</v>
      </c>
      <c r="B2209" s="1">
        <f>DATE(2014,12,10) + TIME(4,29,40)</f>
        <v>41983.187268518515</v>
      </c>
      <c r="C2209">
        <v>80</v>
      </c>
      <c r="D2209">
        <v>77.650428771999998</v>
      </c>
      <c r="E2209">
        <v>40</v>
      </c>
      <c r="F2209">
        <v>39.986278534</v>
      </c>
      <c r="G2209">
        <v>1327.869751</v>
      </c>
      <c r="H2209">
        <v>1325.9161377</v>
      </c>
      <c r="I2209">
        <v>1340.4571533000001</v>
      </c>
      <c r="J2209">
        <v>1337.0876464999999</v>
      </c>
      <c r="K2209">
        <v>0</v>
      </c>
      <c r="L2209">
        <v>1650</v>
      </c>
      <c r="M2209">
        <v>1650</v>
      </c>
      <c r="N2209">
        <v>0</v>
      </c>
    </row>
    <row r="2210" spans="1:14" x14ac:dyDescent="0.25">
      <c r="A2210">
        <v>1685.7412879999999</v>
      </c>
      <c r="B2210" s="1">
        <f>DATE(2014,12,11) + TIME(17,47,27)</f>
        <v>41984.741284722222</v>
      </c>
      <c r="C2210">
        <v>80</v>
      </c>
      <c r="D2210">
        <v>77.581275939999998</v>
      </c>
      <c r="E2210">
        <v>40</v>
      </c>
      <c r="F2210">
        <v>39.986255645999996</v>
      </c>
      <c r="G2210">
        <v>1327.8243408000001</v>
      </c>
      <c r="H2210">
        <v>1325.8535156</v>
      </c>
      <c r="I2210">
        <v>1340.4569091999999</v>
      </c>
      <c r="J2210">
        <v>1337.0880127</v>
      </c>
      <c r="K2210">
        <v>0</v>
      </c>
      <c r="L2210">
        <v>1650</v>
      </c>
      <c r="M2210">
        <v>1650</v>
      </c>
      <c r="N2210">
        <v>0</v>
      </c>
    </row>
    <row r="2211" spans="1:14" x14ac:dyDescent="0.25">
      <c r="A2211">
        <v>1687.3577090000001</v>
      </c>
      <c r="B2211" s="1">
        <f>DATE(2014,12,13) + TIME(8,35,6)</f>
        <v>41986.357708333337</v>
      </c>
      <c r="C2211">
        <v>80</v>
      </c>
      <c r="D2211">
        <v>77.509605407999999</v>
      </c>
      <c r="E2211">
        <v>40</v>
      </c>
      <c r="F2211">
        <v>39.986232758</v>
      </c>
      <c r="G2211">
        <v>1327.7773437999999</v>
      </c>
      <c r="H2211">
        <v>1325.7888184000001</v>
      </c>
      <c r="I2211">
        <v>1340.4566649999999</v>
      </c>
      <c r="J2211">
        <v>1337.0882568</v>
      </c>
      <c r="K2211">
        <v>0</v>
      </c>
      <c r="L2211">
        <v>1650</v>
      </c>
      <c r="M2211">
        <v>1650</v>
      </c>
      <c r="N2211">
        <v>0</v>
      </c>
    </row>
    <row r="2212" spans="1:14" x14ac:dyDescent="0.25">
      <c r="A2212">
        <v>1689.0012119999999</v>
      </c>
      <c r="B2212" s="1">
        <f>DATE(2014,12,15) + TIME(0,1,44)</f>
        <v>41988.001203703701</v>
      </c>
      <c r="C2212">
        <v>80</v>
      </c>
      <c r="D2212">
        <v>77.436073303000001</v>
      </c>
      <c r="E2212">
        <v>40</v>
      </c>
      <c r="F2212">
        <v>39.986209869</v>
      </c>
      <c r="G2212">
        <v>1327.729126</v>
      </c>
      <c r="H2212">
        <v>1325.7225341999999</v>
      </c>
      <c r="I2212">
        <v>1340.4564209</v>
      </c>
      <c r="J2212">
        <v>1337.0886230000001</v>
      </c>
      <c r="K2212">
        <v>0</v>
      </c>
      <c r="L2212">
        <v>1650</v>
      </c>
      <c r="M2212">
        <v>1650</v>
      </c>
      <c r="N2212">
        <v>0</v>
      </c>
    </row>
    <row r="2213" spans="1:14" x14ac:dyDescent="0.25">
      <c r="A2213">
        <v>1690.6821239999999</v>
      </c>
      <c r="B2213" s="1">
        <f>DATE(2014,12,16) + TIME(16,22,15)</f>
        <v>41989.682118055556</v>
      </c>
      <c r="C2213">
        <v>80</v>
      </c>
      <c r="D2213">
        <v>77.361091614000003</v>
      </c>
      <c r="E2213">
        <v>40</v>
      </c>
      <c r="F2213">
        <v>39.986186981000003</v>
      </c>
      <c r="G2213">
        <v>1327.6802978999999</v>
      </c>
      <c r="H2213">
        <v>1325.6553954999999</v>
      </c>
      <c r="I2213">
        <v>1340.4561768000001</v>
      </c>
      <c r="J2213">
        <v>1337.0889893000001</v>
      </c>
      <c r="K2213">
        <v>0</v>
      </c>
      <c r="L2213">
        <v>1650</v>
      </c>
      <c r="M2213">
        <v>1650</v>
      </c>
      <c r="N2213">
        <v>0</v>
      </c>
    </row>
    <row r="2214" spans="1:14" x14ac:dyDescent="0.25">
      <c r="A2214">
        <v>1692.411265</v>
      </c>
      <c r="B2214" s="1">
        <f>DATE(2014,12,18) + TIME(9,52,13)</f>
        <v>41991.411261574074</v>
      </c>
      <c r="C2214">
        <v>80</v>
      </c>
      <c r="D2214">
        <v>77.284484863000003</v>
      </c>
      <c r="E2214">
        <v>40</v>
      </c>
      <c r="F2214">
        <v>39.986167907999999</v>
      </c>
      <c r="G2214">
        <v>1327.6309814000001</v>
      </c>
      <c r="H2214">
        <v>1325.5876464999999</v>
      </c>
      <c r="I2214">
        <v>1340.4560547000001</v>
      </c>
      <c r="J2214">
        <v>1337.0894774999999</v>
      </c>
      <c r="K2214">
        <v>0</v>
      </c>
      <c r="L2214">
        <v>1650</v>
      </c>
      <c r="M2214">
        <v>1650</v>
      </c>
      <c r="N2214">
        <v>0</v>
      </c>
    </row>
    <row r="2215" spans="1:14" x14ac:dyDescent="0.25">
      <c r="A2215">
        <v>1694.1894130000001</v>
      </c>
      <c r="B2215" s="1">
        <f>DATE(2014,12,20) + TIME(4,32,45)</f>
        <v>41993.189409722225</v>
      </c>
      <c r="C2215">
        <v>80</v>
      </c>
      <c r="D2215">
        <v>77.205986022999994</v>
      </c>
      <c r="E2215">
        <v>40</v>
      </c>
      <c r="F2215">
        <v>39.986141205000003</v>
      </c>
      <c r="G2215">
        <v>1327.5809326000001</v>
      </c>
      <c r="H2215">
        <v>1325.5189209</v>
      </c>
      <c r="I2215">
        <v>1340.4559326000001</v>
      </c>
      <c r="J2215">
        <v>1337.0898437999999</v>
      </c>
      <c r="K2215">
        <v>0</v>
      </c>
      <c r="L2215">
        <v>1650</v>
      </c>
      <c r="M2215">
        <v>1650</v>
      </c>
      <c r="N2215">
        <v>0</v>
      </c>
    </row>
    <row r="2216" spans="1:14" x14ac:dyDescent="0.25">
      <c r="A2216">
        <v>1695.9994039999999</v>
      </c>
      <c r="B2216" s="1">
        <f>DATE(2014,12,21) + TIME(23,59,8)</f>
        <v>41994.999398148146</v>
      </c>
      <c r="C2216">
        <v>80</v>
      </c>
      <c r="D2216">
        <v>77.125724792</v>
      </c>
      <c r="E2216">
        <v>40</v>
      </c>
      <c r="F2216">
        <v>39.986118316999999</v>
      </c>
      <c r="G2216">
        <v>1327.5301514</v>
      </c>
      <c r="H2216">
        <v>1325.4493408000001</v>
      </c>
      <c r="I2216">
        <v>1340.4558105000001</v>
      </c>
      <c r="J2216">
        <v>1337.090332</v>
      </c>
      <c r="K2216">
        <v>0</v>
      </c>
      <c r="L2216">
        <v>1650</v>
      </c>
      <c r="M2216">
        <v>1650</v>
      </c>
      <c r="N2216">
        <v>0</v>
      </c>
    </row>
    <row r="2217" spans="1:14" x14ac:dyDescent="0.25">
      <c r="A2217">
        <v>1697.853572</v>
      </c>
      <c r="B2217" s="1">
        <f>DATE(2014,12,23) + TIME(20,29,8)</f>
        <v>41996.853564814817</v>
      </c>
      <c r="C2217">
        <v>80</v>
      </c>
      <c r="D2217">
        <v>77.043663025000001</v>
      </c>
      <c r="E2217">
        <v>40</v>
      </c>
      <c r="F2217">
        <v>39.986095427999999</v>
      </c>
      <c r="G2217">
        <v>1327.479126</v>
      </c>
      <c r="H2217">
        <v>1325.3793945</v>
      </c>
      <c r="I2217">
        <v>1340.4556885</v>
      </c>
      <c r="J2217">
        <v>1337.0908202999999</v>
      </c>
      <c r="K2217">
        <v>0</v>
      </c>
      <c r="L2217">
        <v>1650</v>
      </c>
      <c r="M2217">
        <v>1650</v>
      </c>
      <c r="N2217">
        <v>0</v>
      </c>
    </row>
    <row r="2218" spans="1:14" x14ac:dyDescent="0.25">
      <c r="A2218">
        <v>1699.765136</v>
      </c>
      <c r="B2218" s="1">
        <f>DATE(2014,12,25) + TIME(18,21,47)</f>
        <v>41998.765127314815</v>
      </c>
      <c r="C2218">
        <v>80</v>
      </c>
      <c r="D2218">
        <v>76.959373474000003</v>
      </c>
      <c r="E2218">
        <v>40</v>
      </c>
      <c r="F2218">
        <v>39.986072540000002</v>
      </c>
      <c r="G2218">
        <v>1327.4274902</v>
      </c>
      <c r="H2218">
        <v>1325.3087158000001</v>
      </c>
      <c r="I2218">
        <v>1340.4555664</v>
      </c>
      <c r="J2218">
        <v>1337.0913086</v>
      </c>
      <c r="K2218">
        <v>0</v>
      </c>
      <c r="L2218">
        <v>1650</v>
      </c>
      <c r="M2218">
        <v>1650</v>
      </c>
      <c r="N2218">
        <v>0</v>
      </c>
    </row>
    <row r="2219" spans="1:14" x14ac:dyDescent="0.25">
      <c r="A2219">
        <v>1701.7489949999999</v>
      </c>
      <c r="B2219" s="1">
        <f>DATE(2014,12,27) + TIME(17,58,33)</f>
        <v>42000.748993055553</v>
      </c>
      <c r="C2219">
        <v>80</v>
      </c>
      <c r="D2219">
        <v>76.872207642000006</v>
      </c>
      <c r="E2219">
        <v>40</v>
      </c>
      <c r="F2219">
        <v>39.986049651999998</v>
      </c>
      <c r="G2219">
        <v>1327.3752440999999</v>
      </c>
      <c r="H2219">
        <v>1325.2370605000001</v>
      </c>
      <c r="I2219">
        <v>1340.4554443</v>
      </c>
      <c r="J2219">
        <v>1337.0919189000001</v>
      </c>
      <c r="K2219">
        <v>0</v>
      </c>
      <c r="L2219">
        <v>1650</v>
      </c>
      <c r="M2219">
        <v>1650</v>
      </c>
      <c r="N2219">
        <v>0</v>
      </c>
    </row>
    <row r="2220" spans="1:14" x14ac:dyDescent="0.25">
      <c r="A2220">
        <v>1703.7879800000001</v>
      </c>
      <c r="B2220" s="1">
        <f>DATE(2014,12,29) + TIME(18,54,41)</f>
        <v>42002.787974537037</v>
      </c>
      <c r="C2220">
        <v>80</v>
      </c>
      <c r="D2220">
        <v>76.781867981000005</v>
      </c>
      <c r="E2220">
        <v>40</v>
      </c>
      <c r="F2220">
        <v>39.986022949000002</v>
      </c>
      <c r="G2220">
        <v>1327.3217772999999</v>
      </c>
      <c r="H2220">
        <v>1325.1641846</v>
      </c>
      <c r="I2220">
        <v>1340.4554443</v>
      </c>
      <c r="J2220">
        <v>1337.0924072</v>
      </c>
      <c r="K2220">
        <v>0</v>
      </c>
      <c r="L2220">
        <v>1650</v>
      </c>
      <c r="M2220">
        <v>1650</v>
      </c>
      <c r="N2220">
        <v>0</v>
      </c>
    </row>
    <row r="2221" spans="1:14" x14ac:dyDescent="0.25">
      <c r="A2221">
        <v>1705.85221</v>
      </c>
      <c r="B2221" s="1">
        <f>DATE(2014,12,31) + TIME(20,27,10)</f>
        <v>42004.852199074077</v>
      </c>
      <c r="C2221">
        <v>80</v>
      </c>
      <c r="D2221">
        <v>76.688842773000005</v>
      </c>
      <c r="E2221">
        <v>40</v>
      </c>
      <c r="F2221">
        <v>39.986000060999999</v>
      </c>
      <c r="G2221">
        <v>1327.2677002</v>
      </c>
      <c r="H2221">
        <v>1325.0902100000001</v>
      </c>
      <c r="I2221">
        <v>1340.4553223</v>
      </c>
      <c r="J2221">
        <v>1337.0930175999999</v>
      </c>
      <c r="K2221">
        <v>0</v>
      </c>
      <c r="L2221">
        <v>1650</v>
      </c>
      <c r="M2221">
        <v>1650</v>
      </c>
      <c r="N2221">
        <v>0</v>
      </c>
    </row>
    <row r="2222" spans="1:14" x14ac:dyDescent="0.25">
      <c r="A2222">
        <v>1706</v>
      </c>
      <c r="B2222" s="1">
        <f>DATE(2015,1,1) + TIME(0,0,0)</f>
        <v>42005</v>
      </c>
      <c r="C2222">
        <v>80</v>
      </c>
      <c r="D2222">
        <v>76.670570373999993</v>
      </c>
      <c r="E2222">
        <v>40</v>
      </c>
      <c r="F2222">
        <v>39.985996245999999</v>
      </c>
      <c r="G2222">
        <v>1327.2196045000001</v>
      </c>
      <c r="H2222">
        <v>1325.0288086</v>
      </c>
      <c r="I2222">
        <v>1340.4549560999999</v>
      </c>
      <c r="J2222">
        <v>1337.0933838000001</v>
      </c>
      <c r="K2222">
        <v>0</v>
      </c>
      <c r="L2222">
        <v>1650</v>
      </c>
      <c r="M2222">
        <v>1650</v>
      </c>
      <c r="N2222">
        <v>0</v>
      </c>
    </row>
    <row r="2223" spans="1:14" x14ac:dyDescent="0.25">
      <c r="A2223">
        <v>1708.098864</v>
      </c>
      <c r="B2223" s="1">
        <f>DATE(2015,1,3) + TIME(2,22,21)</f>
        <v>42007.098854166667</v>
      </c>
      <c r="C2223">
        <v>80</v>
      </c>
      <c r="D2223">
        <v>76.583015442000004</v>
      </c>
      <c r="E2223">
        <v>40</v>
      </c>
      <c r="F2223">
        <v>39.985973358000003</v>
      </c>
      <c r="G2223">
        <v>1327.2069091999999</v>
      </c>
      <c r="H2223">
        <v>1325.0063477000001</v>
      </c>
      <c r="I2223">
        <v>1340.4552002</v>
      </c>
      <c r="J2223">
        <v>1337.0936279</v>
      </c>
      <c r="K2223">
        <v>0</v>
      </c>
      <c r="L2223">
        <v>1650</v>
      </c>
      <c r="M2223">
        <v>1650</v>
      </c>
      <c r="N2223">
        <v>0</v>
      </c>
    </row>
    <row r="2224" spans="1:14" x14ac:dyDescent="0.25">
      <c r="A2224">
        <v>1710.250004</v>
      </c>
      <c r="B2224" s="1">
        <f>DATE(2015,1,5) + TIME(6,0,0)</f>
        <v>42009.25</v>
      </c>
      <c r="C2224">
        <v>80</v>
      </c>
      <c r="D2224">
        <v>76.487510681000003</v>
      </c>
      <c r="E2224">
        <v>40</v>
      </c>
      <c r="F2224">
        <v>39.985946654999999</v>
      </c>
      <c r="G2224">
        <v>1327.1542969</v>
      </c>
      <c r="H2224">
        <v>1324.9351807</v>
      </c>
      <c r="I2224">
        <v>1340.4552002</v>
      </c>
      <c r="J2224">
        <v>1337.0942382999999</v>
      </c>
      <c r="K2224">
        <v>0</v>
      </c>
      <c r="L2224">
        <v>1650</v>
      </c>
      <c r="M2224">
        <v>1650</v>
      </c>
      <c r="N2224">
        <v>0</v>
      </c>
    </row>
    <row r="2225" spans="1:14" x14ac:dyDescent="0.25">
      <c r="A2225">
        <v>1712.4606590000001</v>
      </c>
      <c r="B2225" s="1">
        <f>DATE(2015,1,7) + TIME(11,3,20)</f>
        <v>42011.460648148146</v>
      </c>
      <c r="C2225">
        <v>80</v>
      </c>
      <c r="D2225">
        <v>76.387001037999994</v>
      </c>
      <c r="E2225">
        <v>40</v>
      </c>
      <c r="F2225">
        <v>39.985923767000003</v>
      </c>
      <c r="G2225">
        <v>1327.1000977000001</v>
      </c>
      <c r="H2225">
        <v>1324.8615723</v>
      </c>
      <c r="I2225">
        <v>1340.4550781</v>
      </c>
      <c r="J2225">
        <v>1337.0949707</v>
      </c>
      <c r="K2225">
        <v>0</v>
      </c>
      <c r="L2225">
        <v>1650</v>
      </c>
      <c r="M2225">
        <v>1650</v>
      </c>
      <c r="N2225">
        <v>0</v>
      </c>
    </row>
    <row r="2226" spans="1:14" x14ac:dyDescent="0.25">
      <c r="A2226">
        <v>1714.711427</v>
      </c>
      <c r="B2226" s="1">
        <f>DATE(2015,1,9) + TIME(17,4,27)</f>
        <v>42013.711423611108</v>
      </c>
      <c r="C2226">
        <v>80</v>
      </c>
      <c r="D2226">
        <v>76.282463074000006</v>
      </c>
      <c r="E2226">
        <v>40</v>
      </c>
      <c r="F2226">
        <v>39.985897064</v>
      </c>
      <c r="G2226">
        <v>1327.0450439000001</v>
      </c>
      <c r="H2226">
        <v>1324.7867432</v>
      </c>
      <c r="I2226">
        <v>1340.4549560999999</v>
      </c>
      <c r="J2226">
        <v>1337.0955810999999</v>
      </c>
      <c r="K2226">
        <v>0</v>
      </c>
      <c r="L2226">
        <v>1650</v>
      </c>
      <c r="M2226">
        <v>1650</v>
      </c>
      <c r="N2226">
        <v>0</v>
      </c>
    </row>
    <row r="2227" spans="1:14" x14ac:dyDescent="0.25">
      <c r="A2227">
        <v>1717.0181769999999</v>
      </c>
      <c r="B2227" s="1">
        <f>DATE(2015,1,12) + TIME(0,26,10)</f>
        <v>42016.018171296295</v>
      </c>
      <c r="C2227">
        <v>80</v>
      </c>
      <c r="D2227">
        <v>76.174262999999996</v>
      </c>
      <c r="E2227">
        <v>40</v>
      </c>
      <c r="F2227">
        <v>39.985870361000003</v>
      </c>
      <c r="G2227">
        <v>1326.9895019999999</v>
      </c>
      <c r="H2227">
        <v>1324.7111815999999</v>
      </c>
      <c r="I2227">
        <v>1340.4548339999999</v>
      </c>
      <c r="J2227">
        <v>1337.0961914</v>
      </c>
      <c r="K2227">
        <v>0</v>
      </c>
      <c r="L2227">
        <v>1650</v>
      </c>
      <c r="M2227">
        <v>1650</v>
      </c>
      <c r="N2227">
        <v>0</v>
      </c>
    </row>
    <row r="2228" spans="1:14" x14ac:dyDescent="0.25">
      <c r="A2228">
        <v>1719.3980979999999</v>
      </c>
      <c r="B2228" s="1">
        <f>DATE(2015,1,14) + TIME(9,33,15)</f>
        <v>42018.398090277777</v>
      </c>
      <c r="C2228">
        <v>80</v>
      </c>
      <c r="D2228">
        <v>76.061828613000003</v>
      </c>
      <c r="E2228">
        <v>40</v>
      </c>
      <c r="F2228">
        <v>39.985843658</v>
      </c>
      <c r="G2228">
        <v>1326.9335937999999</v>
      </c>
      <c r="H2228">
        <v>1324.6351318</v>
      </c>
      <c r="I2228">
        <v>1340.4547118999999</v>
      </c>
      <c r="J2228">
        <v>1337.0969238</v>
      </c>
      <c r="K2228">
        <v>0</v>
      </c>
      <c r="L2228">
        <v>1650</v>
      </c>
      <c r="M2228">
        <v>1650</v>
      </c>
      <c r="N2228">
        <v>0</v>
      </c>
    </row>
    <row r="2229" spans="1:14" x14ac:dyDescent="0.25">
      <c r="A2229">
        <v>1721.8518329999999</v>
      </c>
      <c r="B2229" s="1">
        <f>DATE(2015,1,16) + TIME(20,26,38)</f>
        <v>42020.8518287037</v>
      </c>
      <c r="C2229">
        <v>80</v>
      </c>
      <c r="D2229">
        <v>75.944503784000005</v>
      </c>
      <c r="E2229">
        <v>40</v>
      </c>
      <c r="F2229">
        <v>39.985816956000001</v>
      </c>
      <c r="G2229">
        <v>1326.8768310999999</v>
      </c>
      <c r="H2229">
        <v>1324.5582274999999</v>
      </c>
      <c r="I2229">
        <v>1340.4545897999999</v>
      </c>
      <c r="J2229">
        <v>1337.0976562000001</v>
      </c>
      <c r="K2229">
        <v>0</v>
      </c>
      <c r="L2229">
        <v>1650</v>
      </c>
      <c r="M2229">
        <v>1650</v>
      </c>
      <c r="N2229">
        <v>0</v>
      </c>
    </row>
    <row r="2230" spans="1:14" x14ac:dyDescent="0.25">
      <c r="A2230">
        <v>1724.3328039999999</v>
      </c>
      <c r="B2230" s="1">
        <f>DATE(2015,1,19) + TIME(7,59,14)</f>
        <v>42023.332800925928</v>
      </c>
      <c r="C2230">
        <v>80</v>
      </c>
      <c r="D2230">
        <v>75.822517395000006</v>
      </c>
      <c r="E2230">
        <v>40</v>
      </c>
      <c r="F2230">
        <v>39.985790252999998</v>
      </c>
      <c r="G2230">
        <v>1326.8194579999999</v>
      </c>
      <c r="H2230">
        <v>1324.4804687999999</v>
      </c>
      <c r="I2230">
        <v>1340.4543457</v>
      </c>
      <c r="J2230">
        <v>1337.0983887</v>
      </c>
      <c r="K2230">
        <v>0</v>
      </c>
      <c r="L2230">
        <v>1650</v>
      </c>
      <c r="M2230">
        <v>1650</v>
      </c>
      <c r="N2230">
        <v>0</v>
      </c>
    </row>
    <row r="2231" spans="1:14" x14ac:dyDescent="0.25">
      <c r="A2231">
        <v>1726.8444999999999</v>
      </c>
      <c r="B2231" s="1">
        <f>DATE(2015,1,21) + TIME(20,16,4)</f>
        <v>42025.844490740739</v>
      </c>
      <c r="C2231">
        <v>80</v>
      </c>
      <c r="D2231">
        <v>75.696838378999999</v>
      </c>
      <c r="E2231">
        <v>40</v>
      </c>
      <c r="F2231">
        <v>39.985763550000001</v>
      </c>
      <c r="G2231">
        <v>1326.7620850000001</v>
      </c>
      <c r="H2231">
        <v>1324.4025879000001</v>
      </c>
      <c r="I2231">
        <v>1340.4542236</v>
      </c>
      <c r="J2231">
        <v>1337.098999</v>
      </c>
      <c r="K2231">
        <v>0</v>
      </c>
      <c r="L2231">
        <v>1650</v>
      </c>
      <c r="M2231">
        <v>1650</v>
      </c>
      <c r="N2231">
        <v>0</v>
      </c>
    </row>
    <row r="2232" spans="1:14" x14ac:dyDescent="0.25">
      <c r="A2232">
        <v>1729.403429</v>
      </c>
      <c r="B2232" s="1">
        <f>DATE(2015,1,24) + TIME(9,40,56)</f>
        <v>42028.403425925928</v>
      </c>
      <c r="C2232">
        <v>80</v>
      </c>
      <c r="D2232">
        <v>75.567359924000002</v>
      </c>
      <c r="E2232">
        <v>40</v>
      </c>
      <c r="F2232">
        <v>39.985736846999998</v>
      </c>
      <c r="G2232">
        <v>1326.7048339999999</v>
      </c>
      <c r="H2232">
        <v>1324.3249512</v>
      </c>
      <c r="I2232">
        <v>1340.4539795000001</v>
      </c>
      <c r="J2232">
        <v>1337.0997314000001</v>
      </c>
      <c r="K2232">
        <v>0</v>
      </c>
      <c r="L2232">
        <v>1650</v>
      </c>
      <c r="M2232">
        <v>1650</v>
      </c>
      <c r="N2232">
        <v>0</v>
      </c>
    </row>
    <row r="2233" spans="1:14" x14ac:dyDescent="0.25">
      <c r="A2233">
        <v>1732.027259</v>
      </c>
      <c r="B2233" s="1">
        <f>DATE(2015,1,27) + TIME(0,39,15)</f>
        <v>42031.027256944442</v>
      </c>
      <c r="C2233">
        <v>80</v>
      </c>
      <c r="D2233">
        <v>75.433311462000006</v>
      </c>
      <c r="E2233">
        <v>40</v>
      </c>
      <c r="F2233">
        <v>39.985710144000002</v>
      </c>
      <c r="G2233">
        <v>1326.6475829999999</v>
      </c>
      <c r="H2233">
        <v>1324.2474365</v>
      </c>
      <c r="I2233">
        <v>1340.4537353999999</v>
      </c>
      <c r="J2233">
        <v>1337.1004639</v>
      </c>
      <c r="K2233">
        <v>0</v>
      </c>
      <c r="L2233">
        <v>1650</v>
      </c>
      <c r="M2233">
        <v>1650</v>
      </c>
      <c r="N2233">
        <v>0</v>
      </c>
    </row>
    <row r="2234" spans="1:14" x14ac:dyDescent="0.25">
      <c r="A2234">
        <v>1734.7093150000001</v>
      </c>
      <c r="B2234" s="1">
        <f>DATE(2015,1,29) + TIME(17,1,24)</f>
        <v>42033.709305555552</v>
      </c>
      <c r="C2234">
        <v>80</v>
      </c>
      <c r="D2234">
        <v>75.294006347999996</v>
      </c>
      <c r="E2234">
        <v>40</v>
      </c>
      <c r="F2234">
        <v>39.985683440999999</v>
      </c>
      <c r="G2234">
        <v>1326.5900879000001</v>
      </c>
      <c r="H2234">
        <v>1324.1695557</v>
      </c>
      <c r="I2234">
        <v>1340.4534911999999</v>
      </c>
      <c r="J2234">
        <v>1337.1011963000001</v>
      </c>
      <c r="K2234">
        <v>0</v>
      </c>
      <c r="L2234">
        <v>1650</v>
      </c>
      <c r="M2234">
        <v>1650</v>
      </c>
      <c r="N2234">
        <v>0</v>
      </c>
    </row>
    <row r="2235" spans="1:14" x14ac:dyDescent="0.25">
      <c r="A2235">
        <v>1737</v>
      </c>
      <c r="B2235" s="1">
        <f>DATE(2015,2,1) + TIME(0,0,0)</f>
        <v>42036</v>
      </c>
      <c r="C2235">
        <v>80</v>
      </c>
      <c r="D2235">
        <v>75.156097411999994</v>
      </c>
      <c r="E2235">
        <v>40</v>
      </c>
      <c r="F2235">
        <v>39.985660553000002</v>
      </c>
      <c r="G2235">
        <v>1326.5327147999999</v>
      </c>
      <c r="H2235">
        <v>1324.0922852000001</v>
      </c>
      <c r="I2235">
        <v>1340.453125</v>
      </c>
      <c r="J2235">
        <v>1337.1018065999999</v>
      </c>
      <c r="K2235">
        <v>0</v>
      </c>
      <c r="L2235">
        <v>1650</v>
      </c>
      <c r="M2235">
        <v>1650</v>
      </c>
      <c r="N2235">
        <v>0</v>
      </c>
    </row>
    <row r="2236" spans="1:14" x14ac:dyDescent="0.25">
      <c r="A2236">
        <v>1739.747556</v>
      </c>
      <c r="B2236" s="1">
        <f>DATE(2015,2,3) + TIME(17,56,28)</f>
        <v>42038.747546296298</v>
      </c>
      <c r="C2236">
        <v>80</v>
      </c>
      <c r="D2236">
        <v>75.020179748999993</v>
      </c>
      <c r="E2236">
        <v>40</v>
      </c>
      <c r="F2236">
        <v>39.985633849999999</v>
      </c>
      <c r="G2236">
        <v>1326.4812012</v>
      </c>
      <c r="H2236">
        <v>1324.0213623</v>
      </c>
      <c r="I2236">
        <v>1340.4528809000001</v>
      </c>
      <c r="J2236">
        <v>1337.1024170000001</v>
      </c>
      <c r="K2236">
        <v>0</v>
      </c>
      <c r="L2236">
        <v>1650</v>
      </c>
      <c r="M2236">
        <v>1650</v>
      </c>
      <c r="N2236">
        <v>0</v>
      </c>
    </row>
    <row r="2237" spans="1:14" x14ac:dyDescent="0.25">
      <c r="A2237">
        <v>1742.6317059999999</v>
      </c>
      <c r="B2237" s="1">
        <f>DATE(2015,2,6) + TIME(15,9,39)</f>
        <v>42041.631701388891</v>
      </c>
      <c r="C2237">
        <v>80</v>
      </c>
      <c r="D2237">
        <v>74.869178771999998</v>
      </c>
      <c r="E2237">
        <v>40</v>
      </c>
      <c r="F2237">
        <v>39.985603333</v>
      </c>
      <c r="G2237">
        <v>1326.4254149999999</v>
      </c>
      <c r="H2237">
        <v>1323.9467772999999</v>
      </c>
      <c r="I2237">
        <v>1340.4525146000001</v>
      </c>
      <c r="J2237">
        <v>1337.1031493999999</v>
      </c>
      <c r="K2237">
        <v>0</v>
      </c>
      <c r="L2237">
        <v>1650</v>
      </c>
      <c r="M2237">
        <v>1650</v>
      </c>
      <c r="N2237">
        <v>0</v>
      </c>
    </row>
    <row r="2238" spans="1:14" x14ac:dyDescent="0.25">
      <c r="A2238">
        <v>1745.53647</v>
      </c>
      <c r="B2238" s="1">
        <f>DATE(2015,2,9) + TIME(12,52,31)</f>
        <v>42044.536469907405</v>
      </c>
      <c r="C2238">
        <v>80</v>
      </c>
      <c r="D2238">
        <v>74.708084106000001</v>
      </c>
      <c r="E2238">
        <v>40</v>
      </c>
      <c r="F2238">
        <v>39.985576629999997</v>
      </c>
      <c r="G2238">
        <v>1326.3673096</v>
      </c>
      <c r="H2238">
        <v>1323.8687743999999</v>
      </c>
      <c r="I2238">
        <v>1340.4520264</v>
      </c>
      <c r="J2238">
        <v>1337.1038818</v>
      </c>
      <c r="K2238">
        <v>0</v>
      </c>
      <c r="L2238">
        <v>1650</v>
      </c>
      <c r="M2238">
        <v>1650</v>
      </c>
      <c r="N2238">
        <v>0</v>
      </c>
    </row>
    <row r="2239" spans="1:14" x14ac:dyDescent="0.25">
      <c r="A2239">
        <v>1748.4805690000001</v>
      </c>
      <c r="B2239" s="1">
        <f>DATE(2015,2,12) + TIME(11,32,1)</f>
        <v>42047.480567129627</v>
      </c>
      <c r="C2239">
        <v>80</v>
      </c>
      <c r="D2239">
        <v>74.541389464999995</v>
      </c>
      <c r="E2239">
        <v>40</v>
      </c>
      <c r="F2239">
        <v>39.985549927000001</v>
      </c>
      <c r="G2239">
        <v>1326.3089600000001</v>
      </c>
      <c r="H2239">
        <v>1323.7900391000001</v>
      </c>
      <c r="I2239">
        <v>1340.4515381000001</v>
      </c>
      <c r="J2239">
        <v>1337.1044922000001</v>
      </c>
      <c r="K2239">
        <v>0</v>
      </c>
      <c r="L2239">
        <v>1650</v>
      </c>
      <c r="M2239">
        <v>1650</v>
      </c>
      <c r="N2239">
        <v>0</v>
      </c>
    </row>
    <row r="2240" spans="1:14" x14ac:dyDescent="0.25">
      <c r="A2240">
        <v>1751.4844350000001</v>
      </c>
      <c r="B2240" s="1">
        <f>DATE(2015,2,15) + TIME(11,37,35)</f>
        <v>42050.484432870369</v>
      </c>
      <c r="C2240">
        <v>80</v>
      </c>
      <c r="D2240">
        <v>74.369293213000006</v>
      </c>
      <c r="E2240">
        <v>40</v>
      </c>
      <c r="F2240">
        <v>39.985519408999998</v>
      </c>
      <c r="G2240">
        <v>1326.2508545000001</v>
      </c>
      <c r="H2240">
        <v>1323.7115478999999</v>
      </c>
      <c r="I2240">
        <v>1340.4510498</v>
      </c>
      <c r="J2240">
        <v>1337.1051024999999</v>
      </c>
      <c r="K2240">
        <v>0</v>
      </c>
      <c r="L2240">
        <v>1650</v>
      </c>
      <c r="M2240">
        <v>1650</v>
      </c>
      <c r="N2240">
        <v>0</v>
      </c>
    </row>
    <row r="2241" spans="1:14" x14ac:dyDescent="0.25">
      <c r="A2241">
        <v>1754.5702690000001</v>
      </c>
      <c r="B2241" s="1">
        <f>DATE(2015,2,18) + TIME(13,41,11)</f>
        <v>42053.5702662037</v>
      </c>
      <c r="C2241">
        <v>80</v>
      </c>
      <c r="D2241">
        <v>74.19078064</v>
      </c>
      <c r="E2241">
        <v>40</v>
      </c>
      <c r="F2241">
        <v>39.985492706000002</v>
      </c>
      <c r="G2241">
        <v>1326.1926269999999</v>
      </c>
      <c r="H2241">
        <v>1323.6331786999999</v>
      </c>
      <c r="I2241">
        <v>1340.4505615</v>
      </c>
      <c r="J2241">
        <v>1337.1058350000001</v>
      </c>
      <c r="K2241">
        <v>0</v>
      </c>
      <c r="L2241">
        <v>1650</v>
      </c>
      <c r="M2241">
        <v>1650</v>
      </c>
      <c r="N2241">
        <v>0</v>
      </c>
    </row>
    <row r="2242" spans="1:14" x14ac:dyDescent="0.25">
      <c r="A2242">
        <v>1757.7286610000001</v>
      </c>
      <c r="B2242" s="1">
        <f>DATE(2015,2,21) + TIME(17,29,16)</f>
        <v>42056.72865740741</v>
      </c>
      <c r="C2242">
        <v>80</v>
      </c>
      <c r="D2242">
        <v>74.004875182999996</v>
      </c>
      <c r="E2242">
        <v>40</v>
      </c>
      <c r="F2242">
        <v>39.985462189000003</v>
      </c>
      <c r="G2242">
        <v>1326.1341553</v>
      </c>
      <c r="H2242">
        <v>1323.5545654</v>
      </c>
      <c r="I2242">
        <v>1340.4499512</v>
      </c>
      <c r="J2242">
        <v>1337.1064452999999</v>
      </c>
      <c r="K2242">
        <v>0</v>
      </c>
      <c r="L2242">
        <v>1650</v>
      </c>
      <c r="M2242">
        <v>1650</v>
      </c>
      <c r="N2242">
        <v>0</v>
      </c>
    </row>
    <row r="2243" spans="1:14" x14ac:dyDescent="0.25">
      <c r="A2243">
        <v>1760.9800310000001</v>
      </c>
      <c r="B2243" s="1">
        <f>DATE(2015,2,24) + TIME(23,31,14)</f>
        <v>42059.980023148149</v>
      </c>
      <c r="C2243">
        <v>80</v>
      </c>
      <c r="D2243">
        <v>73.811294556000007</v>
      </c>
      <c r="E2243">
        <v>40</v>
      </c>
      <c r="F2243">
        <v>39.985435486</v>
      </c>
      <c r="G2243">
        <v>1326.0754394999999</v>
      </c>
      <c r="H2243">
        <v>1323.4754639</v>
      </c>
      <c r="I2243">
        <v>1340.4492187999999</v>
      </c>
      <c r="J2243">
        <v>1337.1070557</v>
      </c>
      <c r="K2243">
        <v>0</v>
      </c>
      <c r="L2243">
        <v>1650</v>
      </c>
      <c r="M2243">
        <v>1650</v>
      </c>
      <c r="N2243">
        <v>0</v>
      </c>
    </row>
    <row r="2244" spans="1:14" x14ac:dyDescent="0.25">
      <c r="A2244">
        <v>1764.276292</v>
      </c>
      <c r="B2244" s="1">
        <f>DATE(2015,2,28) + TIME(6,37,51)</f>
        <v>42063.276284722226</v>
      </c>
      <c r="C2244">
        <v>80</v>
      </c>
      <c r="D2244">
        <v>73.609725952000005</v>
      </c>
      <c r="E2244">
        <v>40</v>
      </c>
      <c r="F2244">
        <v>39.985404967999997</v>
      </c>
      <c r="G2244">
        <v>1326.0162353999999</v>
      </c>
      <c r="H2244">
        <v>1323.3959961</v>
      </c>
      <c r="I2244">
        <v>1340.4484863</v>
      </c>
      <c r="J2244">
        <v>1337.1075439000001</v>
      </c>
      <c r="K2244">
        <v>0</v>
      </c>
      <c r="L2244">
        <v>1650</v>
      </c>
      <c r="M2244">
        <v>1650</v>
      </c>
      <c r="N2244">
        <v>0</v>
      </c>
    </row>
    <row r="2245" spans="1:14" x14ac:dyDescent="0.25">
      <c r="A2245">
        <v>1765</v>
      </c>
      <c r="B2245" s="1">
        <f>DATE(2015,3,1) + TIME(0,0,0)</f>
        <v>42064</v>
      </c>
      <c r="C2245">
        <v>80</v>
      </c>
      <c r="D2245">
        <v>73.489891052000004</v>
      </c>
      <c r="E2245">
        <v>40</v>
      </c>
      <c r="F2245">
        <v>39.985397339000002</v>
      </c>
      <c r="G2245">
        <v>1325.9597168</v>
      </c>
      <c r="H2245">
        <v>1323.3242187999999</v>
      </c>
      <c r="I2245">
        <v>1340.4476318</v>
      </c>
      <c r="J2245">
        <v>1337.1080322</v>
      </c>
      <c r="K2245">
        <v>0</v>
      </c>
      <c r="L2245">
        <v>1650</v>
      </c>
      <c r="M2245">
        <v>1650</v>
      </c>
      <c r="N2245">
        <v>0</v>
      </c>
    </row>
    <row r="2246" spans="1:14" x14ac:dyDescent="0.25">
      <c r="A2246">
        <v>1768.326366</v>
      </c>
      <c r="B2246" s="1">
        <f>DATE(2015,3,4) + TIME(7,49,58)</f>
        <v>42067.326365740744</v>
      </c>
      <c r="C2246">
        <v>80</v>
      </c>
      <c r="D2246">
        <v>73.340408324999999</v>
      </c>
      <c r="E2246">
        <v>40</v>
      </c>
      <c r="F2246">
        <v>39.985370635999999</v>
      </c>
      <c r="G2246">
        <v>1325.9372559000001</v>
      </c>
      <c r="H2246">
        <v>1323.2861327999999</v>
      </c>
      <c r="I2246">
        <v>1340.4476318</v>
      </c>
      <c r="J2246">
        <v>1337.1082764</v>
      </c>
      <c r="K2246">
        <v>0</v>
      </c>
      <c r="L2246">
        <v>1650</v>
      </c>
      <c r="M2246">
        <v>1650</v>
      </c>
      <c r="N2246">
        <v>0</v>
      </c>
    </row>
    <row r="2247" spans="1:14" x14ac:dyDescent="0.25">
      <c r="A2247">
        <v>1771.72272</v>
      </c>
      <c r="B2247" s="1">
        <f>DATE(2015,3,7) + TIME(17,20,43)</f>
        <v>42070.722719907404</v>
      </c>
      <c r="C2247">
        <v>80</v>
      </c>
      <c r="D2247">
        <v>73.137992858999993</v>
      </c>
      <c r="E2247">
        <v>40</v>
      </c>
      <c r="F2247">
        <v>39.985343933000003</v>
      </c>
      <c r="G2247">
        <v>1325.8843993999999</v>
      </c>
      <c r="H2247">
        <v>1323.2180175999999</v>
      </c>
      <c r="I2247">
        <v>1340.4466553</v>
      </c>
      <c r="J2247">
        <v>1337.1086425999999</v>
      </c>
      <c r="K2247">
        <v>0</v>
      </c>
      <c r="L2247">
        <v>1650</v>
      </c>
      <c r="M2247">
        <v>1650</v>
      </c>
      <c r="N2247">
        <v>0</v>
      </c>
    </row>
    <row r="2248" spans="1:14" x14ac:dyDescent="0.25">
      <c r="A2248">
        <v>1775.2042590000001</v>
      </c>
      <c r="B2248" s="1">
        <f>DATE(2015,3,11) + TIME(4,54,7)</f>
        <v>42074.204247685186</v>
      </c>
      <c r="C2248">
        <v>80</v>
      </c>
      <c r="D2248">
        <v>72.918533324999999</v>
      </c>
      <c r="E2248">
        <v>40</v>
      </c>
      <c r="F2248">
        <v>39.985313415999997</v>
      </c>
      <c r="G2248">
        <v>1325.8275146000001</v>
      </c>
      <c r="H2248">
        <v>1323.1420897999999</v>
      </c>
      <c r="I2248">
        <v>1340.4458007999999</v>
      </c>
      <c r="J2248">
        <v>1337.1091309000001</v>
      </c>
      <c r="K2248">
        <v>0</v>
      </c>
      <c r="L2248">
        <v>1650</v>
      </c>
      <c r="M2248">
        <v>1650</v>
      </c>
      <c r="N2248">
        <v>0</v>
      </c>
    </row>
    <row r="2249" spans="1:14" x14ac:dyDescent="0.25">
      <c r="A2249">
        <v>1778.788151</v>
      </c>
      <c r="B2249" s="1">
        <f>DATE(2015,3,14) + TIME(18,54,56)</f>
        <v>42077.788148148145</v>
      </c>
      <c r="C2249">
        <v>80</v>
      </c>
      <c r="D2249">
        <v>72.688400268999999</v>
      </c>
      <c r="E2249">
        <v>40</v>
      </c>
      <c r="F2249">
        <v>39.985286713000001</v>
      </c>
      <c r="G2249">
        <v>1325.7696533000001</v>
      </c>
      <c r="H2249">
        <v>1323.0645752</v>
      </c>
      <c r="I2249">
        <v>1340.4448242000001</v>
      </c>
      <c r="J2249">
        <v>1337.1096190999999</v>
      </c>
      <c r="K2249">
        <v>0</v>
      </c>
      <c r="L2249">
        <v>1650</v>
      </c>
      <c r="M2249">
        <v>1650</v>
      </c>
      <c r="N2249">
        <v>0</v>
      </c>
    </row>
    <row r="2250" spans="1:14" x14ac:dyDescent="0.25">
      <c r="A2250">
        <v>1782.4758859999999</v>
      </c>
      <c r="B2250" s="1">
        <f>DATE(2015,3,18) + TIME(11,25,16)</f>
        <v>42081.47587962963</v>
      </c>
      <c r="C2250">
        <v>80</v>
      </c>
      <c r="D2250">
        <v>72.448013306000007</v>
      </c>
      <c r="E2250">
        <v>40</v>
      </c>
      <c r="F2250">
        <v>39.985256194999998</v>
      </c>
      <c r="G2250">
        <v>1325.7110596</v>
      </c>
      <c r="H2250">
        <v>1322.9860839999999</v>
      </c>
      <c r="I2250">
        <v>1340.4437256000001</v>
      </c>
      <c r="J2250">
        <v>1337.1099853999999</v>
      </c>
      <c r="K2250">
        <v>0</v>
      </c>
      <c r="L2250">
        <v>1650</v>
      </c>
      <c r="M2250">
        <v>1650</v>
      </c>
      <c r="N2250">
        <v>0</v>
      </c>
    </row>
    <row r="2251" spans="1:14" x14ac:dyDescent="0.25">
      <c r="A2251">
        <v>1786.1928029999999</v>
      </c>
      <c r="B2251" s="1">
        <f>DATE(2015,3,22) + TIME(4,37,38)</f>
        <v>42085.192800925928</v>
      </c>
      <c r="C2251">
        <v>80</v>
      </c>
      <c r="D2251">
        <v>72.198150635000005</v>
      </c>
      <c r="E2251">
        <v>40</v>
      </c>
      <c r="F2251">
        <v>39.985225677000003</v>
      </c>
      <c r="G2251">
        <v>1325.6520995999999</v>
      </c>
      <c r="H2251">
        <v>1322.9071045000001</v>
      </c>
      <c r="I2251">
        <v>1340.4426269999999</v>
      </c>
      <c r="J2251">
        <v>1337.1102295000001</v>
      </c>
      <c r="K2251">
        <v>0</v>
      </c>
      <c r="L2251">
        <v>1650</v>
      </c>
      <c r="M2251">
        <v>1650</v>
      </c>
      <c r="N2251">
        <v>0</v>
      </c>
    </row>
    <row r="2252" spans="1:14" x14ac:dyDescent="0.25">
      <c r="A2252">
        <v>1789.954475</v>
      </c>
      <c r="B2252" s="1">
        <f>DATE(2015,3,25) + TIME(22,54,26)</f>
        <v>42088.954467592594</v>
      </c>
      <c r="C2252">
        <v>80</v>
      </c>
      <c r="D2252">
        <v>71.941917419000006</v>
      </c>
      <c r="E2252">
        <v>40</v>
      </c>
      <c r="F2252">
        <v>39.985198975000003</v>
      </c>
      <c r="G2252">
        <v>1325.5936279</v>
      </c>
      <c r="H2252">
        <v>1322.8286132999999</v>
      </c>
      <c r="I2252">
        <v>1340.4414062000001</v>
      </c>
      <c r="J2252">
        <v>1337.1105957</v>
      </c>
      <c r="K2252">
        <v>0</v>
      </c>
      <c r="L2252">
        <v>1650</v>
      </c>
      <c r="M2252">
        <v>1650</v>
      </c>
      <c r="N2252">
        <v>0</v>
      </c>
    </row>
    <row r="2253" spans="1:14" x14ac:dyDescent="0.25">
      <c r="A2253">
        <v>1793.789708</v>
      </c>
      <c r="B2253" s="1">
        <f>DATE(2015,3,29) + TIME(18,57,10)</f>
        <v>42092.789699074077</v>
      </c>
      <c r="C2253">
        <v>80</v>
      </c>
      <c r="D2253">
        <v>71.678863524999997</v>
      </c>
      <c r="E2253">
        <v>40</v>
      </c>
      <c r="F2253">
        <v>39.985172272</v>
      </c>
      <c r="G2253">
        <v>1325.5357666</v>
      </c>
      <c r="H2253">
        <v>1322.7508545000001</v>
      </c>
      <c r="I2253">
        <v>1340.4401855000001</v>
      </c>
      <c r="J2253">
        <v>1337.1107178</v>
      </c>
      <c r="K2253">
        <v>0</v>
      </c>
      <c r="L2253">
        <v>1650</v>
      </c>
      <c r="M2253">
        <v>1650</v>
      </c>
      <c r="N2253">
        <v>0</v>
      </c>
    </row>
    <row r="2254" spans="1:14" x14ac:dyDescent="0.25">
      <c r="A2254">
        <v>1796</v>
      </c>
      <c r="B2254" s="1">
        <f>DATE(2015,4,1) + TIME(0,0,0)</f>
        <v>42095</v>
      </c>
      <c r="C2254">
        <v>80</v>
      </c>
      <c r="D2254">
        <v>71.439666747999993</v>
      </c>
      <c r="E2254">
        <v>40</v>
      </c>
      <c r="F2254">
        <v>39.985153197999999</v>
      </c>
      <c r="G2254">
        <v>1325.4786377</v>
      </c>
      <c r="H2254">
        <v>1322.6756591999999</v>
      </c>
      <c r="I2254">
        <v>1340.4387207</v>
      </c>
      <c r="J2254">
        <v>1337.1108397999999</v>
      </c>
      <c r="K2254">
        <v>0</v>
      </c>
      <c r="L2254">
        <v>1650</v>
      </c>
      <c r="M2254">
        <v>1650</v>
      </c>
      <c r="N225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2022-06-27T09:05:39Z</dcterms:created>
  <dcterms:modified xsi:type="dcterms:W3CDTF">2022-06-27T09:06:18Z</dcterms:modified>
</cp:coreProperties>
</file>