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Permeability/"/>
    </mc:Choice>
  </mc:AlternateContent>
  <xr:revisionPtr revIDLastSave="0" documentId="8_{7245D2A6-0F72-490B-967B-51D7EBF9BCB8}" xr6:coauthVersionLast="47" xr6:coauthVersionMax="47" xr10:uidLastSave="{00000000-0000-0000-0000-000000000000}"/>
  <bookViews>
    <workbookView xWindow="780" yWindow="780" windowWidth="15375" windowHeight="7875" xr2:uid="{950C1437-30CA-4D19-82A5-1D41C014D9D9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92" i="1" l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<sst xmlns="http://schemas.openxmlformats.org/spreadsheetml/2006/main" count="15" uniqueCount="15">
  <si>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MODEL\SCENARIOS\2022\Permeability\Perm100Darcy.sr3</t>
  </si>
  <si>
    <t>Time (day)</t>
  </si>
  <si>
    <t>Date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</si>
  <si>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</si>
  <si>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</si>
  <si>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</si>
  <si>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</si>
  <si>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</si>
  <si>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</si>
  <si>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</si>
  <si>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</si>
  <si>
    <t>Hot well INJ-Fluid Rate SC (m³/day)</t>
  </si>
  <si>
    <t>Hot well PROD-Fluid Rate SC (m³/day)</t>
  </si>
  <si>
    <t>Warm well INJ-Fluid Rate SC (m³/day)</t>
  </si>
  <si>
    <t>Warm well PROD-Fluid Rate SC (m³/day)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</si>
</sst>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A3889D-023B-433A-B0BE-4070688F3EC3}" name="Table1" displayName="Table1" ref="A3:N2592" totalsRowShown="0">
  <autoFilter ref="A3:N2592" xr:uid="{87A3889D-023B-433A-B0BE-4070688F3EC3}"/>
  <tableColumns count="14">
    <tableColumn id="1" xr3:uid="{ACC1A08B-A1AA-4B17-9D9E-D556CEEFC2BA}" name="Time (day)"/>
    <tableColumn id="2" xr3:uid="{C1E7DE4B-438C-4027-829E-005F3252AE8F}" name="Date" dataDxfId="0"/>
    <tableColumn id="3" xr3:uid="{23B675FD-BD7A-42C9-8A43-F1205C68CD6C}" name="Hot well INJ-Well Bottom-hole Pressure (kPa)"/>
    <tableColumn id="4" xr3:uid="{096F9389-A224-41CA-AB93-DCA9E0449D31}" name="Hot well PROD-Well Bottom-hole Pressure (kPa)"/>
    <tableColumn id="5" xr3:uid="{561734FD-6755-4D6A-9EF1-94CAA8E4418E}" name="Warm well INJ-Well Bottom-hole Pressure (kPa)"/>
    <tableColumn id="6" xr3:uid="{CA10BDD8-3BB8-43D2-A319-9BD4C2BA225A}" name="Warm well PROD-Well Bottom-hole Pressure (kPa)"/>
    <tableColumn id="7" xr3:uid="{CCAC8003-1D23-4687-A610-42CAC5C4D222}" name="Hot well INJ-Well bottom hole temperature (C)"/>
    <tableColumn id="8" xr3:uid="{B42ED5AB-52CA-4192-AA3B-F1211E11E2C7}" name="Hot well PROD-Well bottom hole temperature (C)"/>
    <tableColumn id="9" xr3:uid="{A2B8AC74-57AC-4EE6-AC75-AE740D923388}" name="Warm well INJ-Well bottom hole temperature (C)"/>
    <tableColumn id="10" xr3:uid="{124626B4-D062-4C07-9B6D-EAD79D22492A}" name="Warm well PROD-Well bottom hole temperature (C)"/>
    <tableColumn id="11" xr3:uid="{D6FCDA42-2C2C-4851-9C09-62A0D44107D2}" name="Hot well INJ-Fluid Rate SC (m³/day)"/>
    <tableColumn id="12" xr3:uid="{CE466C64-D33E-48F2-AD3B-1F10F71EEC45}" name="Hot well PROD-Fluid Rate SC (m³/day)"/>
    <tableColumn id="13" xr3:uid="{4C0BA2C1-1E93-46CA-8919-3CDCBE52C879}" name="Warm well INJ-Fluid Rate SC (m³/day)"/>
    <tableColumn id="14" xr3:uid="{786CB563-2173-46C7-873E-0CBC57542362}" name="Warm well PROD-Fluid Rate SC (m³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3DEE9-158E-4010-B261-82820C70FAC7}">
  <dimension ref="A1:N2592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43.5703125" customWidth="1"/>
    <col min="4" max="5" width="45.85546875" customWidth="1"/>
    <col min="6" max="6" width="48.140625" customWidth="1"/>
    <col min="7" max="7" width="44.85546875" customWidth="1"/>
    <col min="8" max="9" width="47.140625" customWidth="1"/>
    <col min="10" max="10" width="49.42578125" customWidth="1"/>
    <col min="11" max="11" width="34.140625" customWidth="1"/>
    <col min="12" max="13" width="36.42578125" customWidth="1"/>
    <col min="14" max="14" width="38.710937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1333.7269286999999</v>
      </c>
      <c r="D4">
        <v>1329.7843018000001</v>
      </c>
      <c r="E4">
        <v>1329.0366211</v>
      </c>
      <c r="F4">
        <v>1325.0932617000001</v>
      </c>
      <c r="G4">
        <v>80</v>
      </c>
      <c r="H4">
        <v>15.00011158</v>
      </c>
      <c r="I4">
        <v>50</v>
      </c>
      <c r="J4">
        <v>14.999961853</v>
      </c>
      <c r="K4">
        <v>2400</v>
      </c>
      <c r="L4">
        <v>0</v>
      </c>
      <c r="M4">
        <v>0</v>
      </c>
      <c r="N4">
        <v>2400</v>
      </c>
    </row>
    <row r="5" spans="1:14" x14ac:dyDescent="0.25">
      <c r="A5">
        <v>3.9999999999999998E-6</v>
      </c>
      <c r="B5" s="1">
        <f>DATE(2010,5,1) + TIME(0,0,0)</f>
        <v>40299</v>
      </c>
      <c r="C5">
        <v>1334.4713135</v>
      </c>
      <c r="D5">
        <v>1330.5286865</v>
      </c>
      <c r="E5">
        <v>1328.2954102000001</v>
      </c>
      <c r="F5">
        <v>1324.3521728999999</v>
      </c>
      <c r="G5">
        <v>80</v>
      </c>
      <c r="H5">
        <v>15.000408173</v>
      </c>
      <c r="I5">
        <v>50</v>
      </c>
      <c r="J5">
        <v>14.999885559000001</v>
      </c>
      <c r="K5">
        <v>2400</v>
      </c>
      <c r="L5">
        <v>0</v>
      </c>
      <c r="M5">
        <v>0</v>
      </c>
      <c r="N5">
        <v>2400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1335.5333252</v>
      </c>
      <c r="D6">
        <v>1331.5906981999999</v>
      </c>
      <c r="E6">
        <v>1327.237793</v>
      </c>
      <c r="F6">
        <v>1323.2946777</v>
      </c>
      <c r="G6">
        <v>80</v>
      </c>
      <c r="H6">
        <v>15.001177788</v>
      </c>
      <c r="I6">
        <v>50</v>
      </c>
      <c r="J6">
        <v>14.999776839999999</v>
      </c>
      <c r="K6">
        <v>2400</v>
      </c>
      <c r="L6">
        <v>0</v>
      </c>
      <c r="M6">
        <v>0</v>
      </c>
      <c r="N6">
        <v>2400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1336.6872559000001</v>
      </c>
      <c r="D7">
        <v>1332.7449951000001</v>
      </c>
      <c r="E7">
        <v>1326.088501</v>
      </c>
      <c r="F7">
        <v>1322.1455077999999</v>
      </c>
      <c r="G7">
        <v>80</v>
      </c>
      <c r="H7">
        <v>15.003276825</v>
      </c>
      <c r="I7">
        <v>50</v>
      </c>
      <c r="J7">
        <v>14.999658585000001</v>
      </c>
      <c r="K7">
        <v>2400</v>
      </c>
      <c r="L7">
        <v>0</v>
      </c>
      <c r="M7">
        <v>0</v>
      </c>
      <c r="N7">
        <v>2400</v>
      </c>
    </row>
    <row r="8" spans="1:14" x14ac:dyDescent="0.25">
      <c r="A8">
        <v>1.21E-4</v>
      </c>
      <c r="B8" s="1">
        <f>DATE(2010,5,1) + TIME(0,0,10)</f>
        <v>40299.000115740739</v>
      </c>
      <c r="C8">
        <v>1337.8288574000001</v>
      </c>
      <c r="D8">
        <v>1333.887207</v>
      </c>
      <c r="E8">
        <v>1324.9509277</v>
      </c>
      <c r="F8">
        <v>1321.0079346</v>
      </c>
      <c r="G8">
        <v>80</v>
      </c>
      <c r="H8">
        <v>15.009333611000001</v>
      </c>
      <c r="I8">
        <v>50</v>
      </c>
      <c r="J8">
        <v>14.999541282999999</v>
      </c>
      <c r="K8">
        <v>2400</v>
      </c>
      <c r="L8">
        <v>0</v>
      </c>
      <c r="M8">
        <v>0</v>
      </c>
      <c r="N8">
        <v>2400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1338.9547118999999</v>
      </c>
      <c r="D9">
        <v>1335.0147704999999</v>
      </c>
      <c r="E9">
        <v>1323.8273925999999</v>
      </c>
      <c r="F9">
        <v>1319.8843993999999</v>
      </c>
      <c r="G9">
        <v>80</v>
      </c>
      <c r="H9">
        <v>15.027263640999999</v>
      </c>
      <c r="I9">
        <v>50</v>
      </c>
      <c r="J9">
        <v>14.999425887999999</v>
      </c>
      <c r="K9">
        <v>2400</v>
      </c>
      <c r="L9">
        <v>0</v>
      </c>
      <c r="M9">
        <v>0</v>
      </c>
      <c r="N9">
        <v>2400</v>
      </c>
    </row>
    <row r="10" spans="1:14" x14ac:dyDescent="0.25">
      <c r="A10">
        <v>1.093E-3</v>
      </c>
      <c r="B10" s="1">
        <f>DATE(2010,5,1) + TIME(0,1,34)</f>
        <v>40299.001087962963</v>
      </c>
      <c r="C10">
        <v>1340.0192870999999</v>
      </c>
      <c r="D10">
        <v>1336.0847168</v>
      </c>
      <c r="E10">
        <v>1322.7604980000001</v>
      </c>
      <c r="F10">
        <v>1318.8175048999999</v>
      </c>
      <c r="G10">
        <v>80</v>
      </c>
      <c r="H10">
        <v>15.080778122</v>
      </c>
      <c r="I10">
        <v>50</v>
      </c>
      <c r="J10">
        <v>14.999316216</v>
      </c>
      <c r="K10">
        <v>2400</v>
      </c>
      <c r="L10">
        <v>0</v>
      </c>
      <c r="M10">
        <v>0</v>
      </c>
      <c r="N10">
        <v>2400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1340.8354492000001</v>
      </c>
      <c r="D11">
        <v>1336.916626</v>
      </c>
      <c r="E11">
        <v>1321.9412841999999</v>
      </c>
      <c r="F11">
        <v>1317.9984131000001</v>
      </c>
      <c r="G11">
        <v>80</v>
      </c>
      <c r="H11">
        <v>15.240726471</v>
      </c>
      <c r="I11">
        <v>50</v>
      </c>
      <c r="J11">
        <v>14.999233245999999</v>
      </c>
      <c r="K11">
        <v>2400</v>
      </c>
      <c r="L11">
        <v>0</v>
      </c>
      <c r="M11">
        <v>0</v>
      </c>
      <c r="N11">
        <v>2400</v>
      </c>
    </row>
    <row r="12" spans="1:14" x14ac:dyDescent="0.25">
      <c r="A12">
        <v>9.8410000000000008E-3</v>
      </c>
      <c r="B12" s="1">
        <f>DATE(2010,5,1) + TIME(0,14,10)</f>
        <v>40299.009837962964</v>
      </c>
      <c r="C12">
        <v>1341.1989745999999</v>
      </c>
      <c r="D12">
        <v>1337.3267822</v>
      </c>
      <c r="E12">
        <v>1321.5661620999999</v>
      </c>
      <c r="F12">
        <v>1317.6232910000001</v>
      </c>
      <c r="G12">
        <v>80</v>
      </c>
      <c r="H12">
        <v>15.717515945000001</v>
      </c>
      <c r="I12">
        <v>50</v>
      </c>
      <c r="J12">
        <v>14.999196053</v>
      </c>
      <c r="K12">
        <v>2400</v>
      </c>
      <c r="L12">
        <v>0</v>
      </c>
      <c r="M12">
        <v>0</v>
      </c>
      <c r="N12">
        <v>2400</v>
      </c>
    </row>
    <row r="13" spans="1:14" x14ac:dyDescent="0.25">
      <c r="A13">
        <v>2.3602000000000001E-2</v>
      </c>
      <c r="B13" s="1">
        <f>DATE(2010,5,1) + TIME(0,33,59)</f>
        <v>40299.023599537039</v>
      </c>
      <c r="C13">
        <v>1341.1770019999999</v>
      </c>
      <c r="D13">
        <v>1337.3961182</v>
      </c>
      <c r="E13">
        <v>1321.4979248</v>
      </c>
      <c r="F13">
        <v>1317.5550536999999</v>
      </c>
      <c r="G13">
        <v>80</v>
      </c>
      <c r="H13">
        <v>16.705244063999999</v>
      </c>
      <c r="I13">
        <v>50</v>
      </c>
      <c r="J13">
        <v>14.999193192</v>
      </c>
      <c r="K13">
        <v>2400</v>
      </c>
      <c r="L13">
        <v>0</v>
      </c>
      <c r="M13">
        <v>0</v>
      </c>
      <c r="N13">
        <v>2400</v>
      </c>
    </row>
    <row r="14" spans="1:14" x14ac:dyDescent="0.25">
      <c r="A14">
        <v>3.7533999999999998E-2</v>
      </c>
      <c r="B14" s="1">
        <f>DATE(2010,5,1) + TIME(0,54,2)</f>
        <v>40299.037523148145</v>
      </c>
      <c r="C14">
        <v>1341.0867920000001</v>
      </c>
      <c r="D14">
        <v>1337.3854980000001</v>
      </c>
      <c r="E14">
        <v>1321.4936522999999</v>
      </c>
      <c r="F14">
        <v>1317.5507812000001</v>
      </c>
      <c r="G14">
        <v>80</v>
      </c>
      <c r="H14">
        <v>17.695631027000001</v>
      </c>
      <c r="I14">
        <v>50</v>
      </c>
      <c r="J14">
        <v>14.999196053</v>
      </c>
      <c r="K14">
        <v>2400</v>
      </c>
      <c r="L14">
        <v>0</v>
      </c>
      <c r="M14">
        <v>0</v>
      </c>
      <c r="N14">
        <v>2400</v>
      </c>
    </row>
    <row r="15" spans="1:14" x14ac:dyDescent="0.25">
      <c r="A15">
        <v>5.1601000000000001E-2</v>
      </c>
      <c r="B15" s="1">
        <f>DATE(2010,5,1) + TIME(1,14,18)</f>
        <v>40299.05159722222</v>
      </c>
      <c r="C15">
        <v>1340.9918213000001</v>
      </c>
      <c r="D15">
        <v>1337.3653564000001</v>
      </c>
      <c r="E15">
        <v>1321.4942627</v>
      </c>
      <c r="F15">
        <v>1317.5512695</v>
      </c>
      <c r="G15">
        <v>80</v>
      </c>
      <c r="H15">
        <v>18.686130523999999</v>
      </c>
      <c r="I15">
        <v>50</v>
      </c>
      <c r="J15">
        <v>14.999198914000001</v>
      </c>
      <c r="K15">
        <v>2400</v>
      </c>
      <c r="L15">
        <v>0</v>
      </c>
      <c r="M15">
        <v>0</v>
      </c>
      <c r="N15">
        <v>2400</v>
      </c>
    </row>
    <row r="16" spans="1:14" x14ac:dyDescent="0.25">
      <c r="A16">
        <v>6.5801999999999999E-2</v>
      </c>
      <c r="B16" s="1">
        <f>DATE(2010,5,1) + TIME(1,34,45)</f>
        <v>40299.065798611111</v>
      </c>
      <c r="C16">
        <v>1340.9024658000001</v>
      </c>
      <c r="D16">
        <v>1337.3466797000001</v>
      </c>
      <c r="E16">
        <v>1321.4948730000001</v>
      </c>
      <c r="F16">
        <v>1317.5518798999999</v>
      </c>
      <c r="G16">
        <v>80</v>
      </c>
      <c r="H16">
        <v>19.67672348</v>
      </c>
      <c r="I16">
        <v>50</v>
      </c>
      <c r="J16">
        <v>14.999202728</v>
      </c>
      <c r="K16">
        <v>2400</v>
      </c>
      <c r="L16">
        <v>0</v>
      </c>
      <c r="M16">
        <v>0</v>
      </c>
      <c r="N16">
        <v>2400</v>
      </c>
    </row>
    <row r="17" spans="1:14" x14ac:dyDescent="0.25">
      <c r="A17">
        <v>8.0139000000000002E-2</v>
      </c>
      <c r="B17" s="1">
        <f>DATE(2010,5,1) + TIME(1,55,24)</f>
        <v>40299.080138888887</v>
      </c>
      <c r="C17">
        <v>1340.8203125</v>
      </c>
      <c r="D17">
        <v>1337.3309326000001</v>
      </c>
      <c r="E17">
        <v>1321.4952393000001</v>
      </c>
      <c r="F17">
        <v>1317.5522461</v>
      </c>
      <c r="G17">
        <v>80</v>
      </c>
      <c r="H17">
        <v>20.667991638</v>
      </c>
      <c r="I17">
        <v>50</v>
      </c>
      <c r="J17">
        <v>14.999205589000001</v>
      </c>
      <c r="K17">
        <v>2400</v>
      </c>
      <c r="L17">
        <v>0</v>
      </c>
      <c r="M17">
        <v>0</v>
      </c>
      <c r="N17">
        <v>2400</v>
      </c>
    </row>
    <row r="18" spans="1:14" x14ac:dyDescent="0.25">
      <c r="A18">
        <v>9.4602000000000006E-2</v>
      </c>
      <c r="B18" s="1">
        <f>DATE(2010,5,1) + TIME(2,16,13)</f>
        <v>40299.094594907408</v>
      </c>
      <c r="C18">
        <v>1340.7453613</v>
      </c>
      <c r="D18">
        <v>1337.3186035000001</v>
      </c>
      <c r="E18">
        <v>1321.4956055</v>
      </c>
      <c r="F18">
        <v>1317.5524902</v>
      </c>
      <c r="G18">
        <v>80</v>
      </c>
      <c r="H18">
        <v>21.659044265999999</v>
      </c>
      <c r="I18">
        <v>50</v>
      </c>
      <c r="J18">
        <v>14.999209404</v>
      </c>
      <c r="K18">
        <v>2400</v>
      </c>
      <c r="L18">
        <v>0</v>
      </c>
      <c r="M18">
        <v>0</v>
      </c>
      <c r="N18">
        <v>2400</v>
      </c>
    </row>
    <row r="19" spans="1:14" x14ac:dyDescent="0.25">
      <c r="A19">
        <v>0.109196</v>
      </c>
      <c r="B19" s="1">
        <f>DATE(2010,5,1) + TIME(2,37,14)</f>
        <v>40299.109189814815</v>
      </c>
      <c r="C19">
        <v>1340.677124</v>
      </c>
      <c r="D19">
        <v>1337.3094481999999</v>
      </c>
      <c r="E19">
        <v>1321.4959716999999</v>
      </c>
      <c r="F19">
        <v>1317.5528564000001</v>
      </c>
      <c r="G19">
        <v>80</v>
      </c>
      <c r="H19">
        <v>22.649868010999999</v>
      </c>
      <c r="I19">
        <v>50</v>
      </c>
      <c r="J19">
        <v>14.999212265000001</v>
      </c>
      <c r="K19">
        <v>2400</v>
      </c>
      <c r="L19">
        <v>0</v>
      </c>
      <c r="M19">
        <v>0</v>
      </c>
      <c r="N19">
        <v>2400</v>
      </c>
    </row>
    <row r="20" spans="1:14" x14ac:dyDescent="0.25">
      <c r="A20">
        <v>0.12392499999999999</v>
      </c>
      <c r="B20" s="1">
        <f>DATE(2010,5,1) + TIME(2,58,27)</f>
        <v>40299.123923611114</v>
      </c>
      <c r="C20">
        <v>1340.6154785000001</v>
      </c>
      <c r="D20">
        <v>1337.3033447</v>
      </c>
      <c r="E20">
        <v>1321.4963379000001</v>
      </c>
      <c r="F20">
        <v>1317.5531006000001</v>
      </c>
      <c r="G20">
        <v>80</v>
      </c>
      <c r="H20">
        <v>23.640724182</v>
      </c>
      <c r="I20">
        <v>50</v>
      </c>
      <c r="J20">
        <v>14.99921608</v>
      </c>
      <c r="K20">
        <v>2400</v>
      </c>
      <c r="L20">
        <v>0</v>
      </c>
      <c r="M20">
        <v>0</v>
      </c>
      <c r="N20">
        <v>2400</v>
      </c>
    </row>
    <row r="21" spans="1:14" x14ac:dyDescent="0.25">
      <c r="A21">
        <v>0.13879</v>
      </c>
      <c r="B21" s="1">
        <f>DATE(2010,5,1) + TIME(3,19,51)</f>
        <v>40299.138784722221</v>
      </c>
      <c r="C21">
        <v>1340.5600586</v>
      </c>
      <c r="D21">
        <v>1337.3001709</v>
      </c>
      <c r="E21">
        <v>1321.496582</v>
      </c>
      <c r="F21">
        <v>1317.5533447</v>
      </c>
      <c r="G21">
        <v>80</v>
      </c>
      <c r="H21">
        <v>24.631593704</v>
      </c>
      <c r="I21">
        <v>50</v>
      </c>
      <c r="J21">
        <v>14.999218941000001</v>
      </c>
      <c r="K21">
        <v>2400</v>
      </c>
      <c r="L21">
        <v>0</v>
      </c>
      <c r="M21">
        <v>0</v>
      </c>
      <c r="N21">
        <v>2400</v>
      </c>
    </row>
    <row r="22" spans="1:14" x14ac:dyDescent="0.25">
      <c r="A22">
        <v>0.15379100000000001</v>
      </c>
      <c r="B22" s="1">
        <f>DATE(2010,5,1) + TIME(3,41,27)</f>
        <v>40299.153784722221</v>
      </c>
      <c r="C22">
        <v>1340.510376</v>
      </c>
      <c r="D22">
        <v>1337.2999268000001</v>
      </c>
      <c r="E22">
        <v>1321.4969481999999</v>
      </c>
      <c r="F22">
        <v>1317.5535889</v>
      </c>
      <c r="G22">
        <v>80</v>
      </c>
      <c r="H22">
        <v>25.622882842999999</v>
      </c>
      <c r="I22">
        <v>50</v>
      </c>
      <c r="J22">
        <v>14.999222755</v>
      </c>
      <c r="K22">
        <v>2400</v>
      </c>
      <c r="L22">
        <v>0</v>
      </c>
      <c r="M22">
        <v>0</v>
      </c>
      <c r="N22">
        <v>2400</v>
      </c>
    </row>
    <row r="23" spans="1:14" x14ac:dyDescent="0.25">
      <c r="A23">
        <v>0.16892499999999999</v>
      </c>
      <c r="B23" s="1">
        <f>DATE(2010,5,1) + TIME(4,3,15)</f>
        <v>40299.168923611112</v>
      </c>
      <c r="C23">
        <v>1340.4664307</v>
      </c>
      <c r="D23">
        <v>1337.3022461</v>
      </c>
      <c r="E23">
        <v>1321.4971923999999</v>
      </c>
      <c r="F23">
        <v>1317.5538329999999</v>
      </c>
      <c r="G23">
        <v>80</v>
      </c>
      <c r="H23">
        <v>26.613992691</v>
      </c>
      <c r="I23">
        <v>50</v>
      </c>
      <c r="J23">
        <v>14.999225616</v>
      </c>
      <c r="K23">
        <v>2400</v>
      </c>
      <c r="L23">
        <v>0</v>
      </c>
      <c r="M23">
        <v>0</v>
      </c>
      <c r="N23">
        <v>2400</v>
      </c>
    </row>
    <row r="24" spans="1:14" x14ac:dyDescent="0.25">
      <c r="A24">
        <v>0.184194</v>
      </c>
      <c r="B24" s="1">
        <f>DATE(2010,5,1) + TIME(4,25,14)</f>
        <v>40299.184189814812</v>
      </c>
      <c r="C24">
        <v>1340.4278564000001</v>
      </c>
      <c r="D24">
        <v>1337.3073730000001</v>
      </c>
      <c r="E24">
        <v>1321.4974365</v>
      </c>
      <c r="F24">
        <v>1317.5540771000001</v>
      </c>
      <c r="G24">
        <v>80</v>
      </c>
      <c r="H24">
        <v>27.604814528999999</v>
      </c>
      <c r="I24">
        <v>50</v>
      </c>
      <c r="J24">
        <v>14.999229431</v>
      </c>
      <c r="K24">
        <v>2400</v>
      </c>
      <c r="L24">
        <v>0</v>
      </c>
      <c r="M24">
        <v>0</v>
      </c>
      <c r="N24">
        <v>2400</v>
      </c>
    </row>
    <row r="25" spans="1:14" x14ac:dyDescent="0.25">
      <c r="A25">
        <v>0.199605</v>
      </c>
      <c r="B25" s="1">
        <f>DATE(2010,5,1) + TIME(4,47,25)</f>
        <v>40299.199594907404</v>
      </c>
      <c r="C25">
        <v>1340.3941649999999</v>
      </c>
      <c r="D25">
        <v>1337.3148193</v>
      </c>
      <c r="E25">
        <v>1321.4978027</v>
      </c>
      <c r="F25">
        <v>1317.5543213000001</v>
      </c>
      <c r="G25">
        <v>80</v>
      </c>
      <c r="H25">
        <v>28.595561980999999</v>
      </c>
      <c r="I25">
        <v>50</v>
      </c>
      <c r="J25">
        <v>14.999232292</v>
      </c>
      <c r="K25">
        <v>2400</v>
      </c>
      <c r="L25">
        <v>0</v>
      </c>
      <c r="M25">
        <v>0</v>
      </c>
      <c r="N25">
        <v>2400</v>
      </c>
    </row>
    <row r="26" spans="1:14" x14ac:dyDescent="0.25">
      <c r="A26">
        <v>0.21515899999999999</v>
      </c>
      <c r="B26" s="1">
        <f>DATE(2010,5,1) + TIME(5,9,49)</f>
        <v>40299.215150462966</v>
      </c>
      <c r="C26">
        <v>1340.3654785000001</v>
      </c>
      <c r="D26">
        <v>1337.324707</v>
      </c>
      <c r="E26">
        <v>1321.4980469</v>
      </c>
      <c r="F26">
        <v>1317.5544434000001</v>
      </c>
      <c r="G26">
        <v>80</v>
      </c>
      <c r="H26">
        <v>29.586214066</v>
      </c>
      <c r="I26">
        <v>50</v>
      </c>
      <c r="J26">
        <v>14.999235153000001</v>
      </c>
      <c r="K26">
        <v>2400</v>
      </c>
      <c r="L26">
        <v>0</v>
      </c>
      <c r="M26">
        <v>0</v>
      </c>
      <c r="N26">
        <v>2400</v>
      </c>
    </row>
    <row r="27" spans="1:14" x14ac:dyDescent="0.25">
      <c r="A27">
        <v>0.23086100000000001</v>
      </c>
      <c r="B27" s="1">
        <f>DATE(2010,5,1) + TIME(5,32,26)</f>
        <v>40299.230856481481</v>
      </c>
      <c r="C27">
        <v>1340.3411865</v>
      </c>
      <c r="D27">
        <v>1337.3369141000001</v>
      </c>
      <c r="E27">
        <v>1321.4982910000001</v>
      </c>
      <c r="F27">
        <v>1317.5546875</v>
      </c>
      <c r="G27">
        <v>80</v>
      </c>
      <c r="H27">
        <v>30.576877593999999</v>
      </c>
      <c r="I27">
        <v>50</v>
      </c>
      <c r="J27">
        <v>14.999238968</v>
      </c>
      <c r="K27">
        <v>2400</v>
      </c>
      <c r="L27">
        <v>0</v>
      </c>
      <c r="M27">
        <v>0</v>
      </c>
      <c r="N27">
        <v>2400</v>
      </c>
    </row>
    <row r="28" spans="1:14" x14ac:dyDescent="0.25">
      <c r="A28">
        <v>0.24671000000000001</v>
      </c>
      <c r="B28" s="1">
        <f>DATE(2010,5,1) + TIME(5,55,15)</f>
        <v>40299.246701388889</v>
      </c>
      <c r="C28">
        <v>1340.3212891000001</v>
      </c>
      <c r="D28">
        <v>1337.3513184000001</v>
      </c>
      <c r="E28">
        <v>1321.4985352000001</v>
      </c>
      <c r="F28">
        <v>1317.5548096</v>
      </c>
      <c r="G28">
        <v>80</v>
      </c>
      <c r="H28">
        <v>31.567359924000002</v>
      </c>
      <c r="I28">
        <v>50</v>
      </c>
      <c r="J28">
        <v>14.999241829000001</v>
      </c>
      <c r="K28">
        <v>2400</v>
      </c>
      <c r="L28">
        <v>0</v>
      </c>
      <c r="M28">
        <v>0</v>
      </c>
      <c r="N28">
        <v>2400</v>
      </c>
    </row>
    <row r="29" spans="1:14" x14ac:dyDescent="0.25">
      <c r="A29">
        <v>0.262712</v>
      </c>
      <c r="B29" s="1">
        <f>DATE(2010,5,1) + TIME(6,18,18)</f>
        <v>40299.262708333335</v>
      </c>
      <c r="C29">
        <v>1340.3055420000001</v>
      </c>
      <c r="D29">
        <v>1337.3677978999999</v>
      </c>
      <c r="E29">
        <v>1321.4987793</v>
      </c>
      <c r="F29">
        <v>1317.5550536999999</v>
      </c>
      <c r="G29">
        <v>80</v>
      </c>
      <c r="H29">
        <v>32.557579040999997</v>
      </c>
      <c r="I29">
        <v>50</v>
      </c>
      <c r="J29">
        <v>14.999244689999999</v>
      </c>
      <c r="K29">
        <v>2400</v>
      </c>
      <c r="L29">
        <v>0</v>
      </c>
      <c r="M29">
        <v>0</v>
      </c>
      <c r="N29">
        <v>2400</v>
      </c>
    </row>
    <row r="30" spans="1:14" x14ac:dyDescent="0.25">
      <c r="A30">
        <v>0.27887200000000001</v>
      </c>
      <c r="B30" s="1">
        <f>DATE(2010,5,1) + TIME(6,41,34)</f>
        <v>40299.278865740744</v>
      </c>
      <c r="C30">
        <v>1340.2937012</v>
      </c>
      <c r="D30">
        <v>1337.3862305</v>
      </c>
      <c r="E30">
        <v>1321.4990233999999</v>
      </c>
      <c r="F30">
        <v>1317.5551757999999</v>
      </c>
      <c r="G30">
        <v>80</v>
      </c>
      <c r="H30">
        <v>33.547592162999997</v>
      </c>
      <c r="I30">
        <v>50</v>
      </c>
      <c r="J30">
        <v>14.999248505000001</v>
      </c>
      <c r="K30">
        <v>2400</v>
      </c>
      <c r="L30">
        <v>0</v>
      </c>
      <c r="M30">
        <v>0</v>
      </c>
      <c r="N30">
        <v>2400</v>
      </c>
    </row>
    <row r="31" spans="1:14" x14ac:dyDescent="0.25">
      <c r="A31">
        <v>0.29519400000000001</v>
      </c>
      <c r="B31" s="1">
        <f>DATE(2010,5,1) + TIME(7,5,4)</f>
        <v>40299.295185185183</v>
      </c>
      <c r="C31">
        <v>1340.2855225000001</v>
      </c>
      <c r="D31">
        <v>1337.4066161999999</v>
      </c>
      <c r="E31">
        <v>1321.4992675999999</v>
      </c>
      <c r="F31">
        <v>1317.5552978999999</v>
      </c>
      <c r="G31">
        <v>80</v>
      </c>
      <c r="H31">
        <v>34.537372589</v>
      </c>
      <c r="I31">
        <v>50</v>
      </c>
      <c r="J31">
        <v>14.999251365999999</v>
      </c>
      <c r="K31">
        <v>2400</v>
      </c>
      <c r="L31">
        <v>0</v>
      </c>
      <c r="M31">
        <v>0</v>
      </c>
      <c r="N31">
        <v>2400</v>
      </c>
    </row>
    <row r="32" spans="1:14" x14ac:dyDescent="0.25">
      <c r="A32">
        <v>0.31168600000000002</v>
      </c>
      <c r="B32" s="1">
        <f>DATE(2010,5,1) + TIME(7,28,49)</f>
        <v>40299.311678240738</v>
      </c>
      <c r="C32">
        <v>1340.2810059000001</v>
      </c>
      <c r="D32">
        <v>1337.4288329999999</v>
      </c>
      <c r="E32">
        <v>1321.4993896000001</v>
      </c>
      <c r="F32">
        <v>1317.5554199000001</v>
      </c>
      <c r="G32">
        <v>80</v>
      </c>
      <c r="H32">
        <v>35.526889801000003</v>
      </c>
      <c r="I32">
        <v>50</v>
      </c>
      <c r="J32">
        <v>14.999254227</v>
      </c>
      <c r="K32">
        <v>2400</v>
      </c>
      <c r="L32">
        <v>0</v>
      </c>
      <c r="M32">
        <v>0</v>
      </c>
      <c r="N32">
        <v>2400</v>
      </c>
    </row>
    <row r="33" spans="1:14" x14ac:dyDescent="0.25">
      <c r="A33">
        <v>0.32835199999999998</v>
      </c>
      <c r="B33" s="1">
        <f>DATE(2010,5,1) + TIME(7,52,49)</f>
        <v>40299.328344907408</v>
      </c>
      <c r="C33">
        <v>1340.2796631000001</v>
      </c>
      <c r="D33">
        <v>1337.4526367000001</v>
      </c>
      <c r="E33">
        <v>1321.4996338000001</v>
      </c>
      <c r="F33">
        <v>1317.5556641000001</v>
      </c>
      <c r="G33">
        <v>80</v>
      </c>
      <c r="H33">
        <v>36.516113281000003</v>
      </c>
      <c r="I33">
        <v>50</v>
      </c>
      <c r="J33">
        <v>14.999258040999999</v>
      </c>
      <c r="K33">
        <v>2400</v>
      </c>
      <c r="L33">
        <v>0</v>
      </c>
      <c r="M33">
        <v>0</v>
      </c>
      <c r="N33">
        <v>2400</v>
      </c>
    </row>
    <row r="34" spans="1:14" x14ac:dyDescent="0.25">
      <c r="A34">
        <v>0.34519899999999998</v>
      </c>
      <c r="B34" s="1">
        <f>DATE(2010,5,1) + TIME(8,17,5)</f>
        <v>40299.345196759263</v>
      </c>
      <c r="C34">
        <v>1340.2816161999999</v>
      </c>
      <c r="D34">
        <v>1337.4782714999999</v>
      </c>
      <c r="E34">
        <v>1321.4998779</v>
      </c>
      <c r="F34">
        <v>1317.5557861</v>
      </c>
      <c r="G34">
        <v>80</v>
      </c>
      <c r="H34">
        <v>37.505012512</v>
      </c>
      <c r="I34">
        <v>50</v>
      </c>
      <c r="J34">
        <v>14.999260902</v>
      </c>
      <c r="K34">
        <v>2400</v>
      </c>
      <c r="L34">
        <v>0</v>
      </c>
      <c r="M34">
        <v>0</v>
      </c>
      <c r="N34">
        <v>2400</v>
      </c>
    </row>
    <row r="35" spans="1:14" x14ac:dyDescent="0.25">
      <c r="A35">
        <v>0.362236</v>
      </c>
      <c r="B35" s="1">
        <f>DATE(2010,5,1) + TIME(8,41,37)</f>
        <v>40299.362233796295</v>
      </c>
      <c r="C35">
        <v>1340.2866211</v>
      </c>
      <c r="D35">
        <v>1337.5053711</v>
      </c>
      <c r="E35">
        <v>1321.5</v>
      </c>
      <c r="F35">
        <v>1317.5559082</v>
      </c>
      <c r="G35">
        <v>80</v>
      </c>
      <c r="H35">
        <v>38.493549346999998</v>
      </c>
      <c r="I35">
        <v>50</v>
      </c>
      <c r="J35">
        <v>14.999263763</v>
      </c>
      <c r="K35">
        <v>2400</v>
      </c>
      <c r="L35">
        <v>0</v>
      </c>
      <c r="M35">
        <v>0</v>
      </c>
      <c r="N35">
        <v>2400</v>
      </c>
    </row>
    <row r="36" spans="1:14" x14ac:dyDescent="0.25">
      <c r="A36">
        <v>0.37946999999999997</v>
      </c>
      <c r="B36" s="1">
        <f>DATE(2010,5,1) + TIME(9,6,26)</f>
        <v>40299.379467592589</v>
      </c>
      <c r="C36">
        <v>1340.2944336</v>
      </c>
      <c r="D36">
        <v>1337.5340576000001</v>
      </c>
      <c r="E36">
        <v>1321.5002440999999</v>
      </c>
      <c r="F36">
        <v>1317.5559082</v>
      </c>
      <c r="G36">
        <v>80</v>
      </c>
      <c r="H36">
        <v>39.481689453000001</v>
      </c>
      <c r="I36">
        <v>50</v>
      </c>
      <c r="J36">
        <v>14.999266624000001</v>
      </c>
      <c r="K36">
        <v>2400</v>
      </c>
      <c r="L36">
        <v>0</v>
      </c>
      <c r="M36">
        <v>0</v>
      </c>
      <c r="N36">
        <v>2400</v>
      </c>
    </row>
    <row r="37" spans="1:14" x14ac:dyDescent="0.25">
      <c r="A37">
        <v>0.39691100000000001</v>
      </c>
      <c r="B37" s="1">
        <f>DATE(2010,5,1) + TIME(9,31,33)</f>
        <v>40299.396909722222</v>
      </c>
      <c r="C37">
        <v>1340.3050536999999</v>
      </c>
      <c r="D37">
        <v>1337.5640868999999</v>
      </c>
      <c r="E37">
        <v>1321.5004882999999</v>
      </c>
      <c r="F37">
        <v>1317.5560303</v>
      </c>
      <c r="G37">
        <v>80</v>
      </c>
      <c r="H37">
        <v>40.469512938999998</v>
      </c>
      <c r="I37">
        <v>50</v>
      </c>
      <c r="J37">
        <v>14.999269484999999</v>
      </c>
      <c r="K37">
        <v>2400</v>
      </c>
      <c r="L37">
        <v>0</v>
      </c>
      <c r="M37">
        <v>0</v>
      </c>
      <c r="N37">
        <v>2400</v>
      </c>
    </row>
    <row r="38" spans="1:14" x14ac:dyDescent="0.25">
      <c r="A38">
        <v>0.41456700000000002</v>
      </c>
      <c r="B38" s="1">
        <f>DATE(2010,5,1) + TIME(9,56,58)</f>
        <v>40299.414560185185</v>
      </c>
      <c r="C38">
        <v>1340.3182373</v>
      </c>
      <c r="D38">
        <v>1337.5954589999999</v>
      </c>
      <c r="E38">
        <v>1321.5006103999999</v>
      </c>
      <c r="F38">
        <v>1317.5561522999999</v>
      </c>
      <c r="G38">
        <v>80</v>
      </c>
      <c r="H38">
        <v>41.456886292</v>
      </c>
      <c r="I38">
        <v>50</v>
      </c>
      <c r="J38">
        <v>14.9992733</v>
      </c>
      <c r="K38">
        <v>2400</v>
      </c>
      <c r="L38">
        <v>0</v>
      </c>
      <c r="M38">
        <v>0</v>
      </c>
      <c r="N38">
        <v>2400</v>
      </c>
    </row>
    <row r="39" spans="1:14" x14ac:dyDescent="0.25">
      <c r="A39">
        <v>0.43244899999999997</v>
      </c>
      <c r="B39" s="1">
        <f>DATE(2010,5,1) + TIME(10,22,43)</f>
        <v>40299.432442129626</v>
      </c>
      <c r="C39">
        <v>1340.3338623</v>
      </c>
      <c r="D39">
        <v>1337.6281738</v>
      </c>
      <c r="E39">
        <v>1321.5008545000001</v>
      </c>
      <c r="F39">
        <v>1317.5562743999999</v>
      </c>
      <c r="G39">
        <v>80</v>
      </c>
      <c r="H39">
        <v>42.443637848000002</v>
      </c>
      <c r="I39">
        <v>50</v>
      </c>
      <c r="J39">
        <v>14.999276160999999</v>
      </c>
      <c r="K39">
        <v>2400</v>
      </c>
      <c r="L39">
        <v>0</v>
      </c>
      <c r="M39">
        <v>0</v>
      </c>
      <c r="N39">
        <v>2400</v>
      </c>
    </row>
    <row r="40" spans="1:14" x14ac:dyDescent="0.25">
      <c r="A40">
        <v>0.450571</v>
      </c>
      <c r="B40" s="1">
        <f>DATE(2010,5,1) + TIME(10,48,49)</f>
        <v>40299.450567129628</v>
      </c>
      <c r="C40">
        <v>1340.3518065999999</v>
      </c>
      <c r="D40">
        <v>1337.6621094</v>
      </c>
      <c r="E40">
        <v>1321.5009766000001</v>
      </c>
      <c r="F40">
        <v>1317.5563964999999</v>
      </c>
      <c r="G40">
        <v>80</v>
      </c>
      <c r="H40">
        <v>43.429843902999998</v>
      </c>
      <c r="I40">
        <v>50</v>
      </c>
      <c r="J40">
        <v>14.999279022</v>
      </c>
      <c r="K40">
        <v>2400</v>
      </c>
      <c r="L40">
        <v>0</v>
      </c>
      <c r="M40">
        <v>0</v>
      </c>
      <c r="N40">
        <v>2400</v>
      </c>
    </row>
    <row r="41" spans="1:14" x14ac:dyDescent="0.25">
      <c r="A41">
        <v>0.46894599999999997</v>
      </c>
      <c r="B41" s="1">
        <f>DATE(2010,5,1) + TIME(11,15,16)</f>
        <v>40299.468935185185</v>
      </c>
      <c r="C41">
        <v>1340.3720702999999</v>
      </c>
      <c r="D41">
        <v>1337.6972656</v>
      </c>
      <c r="E41">
        <v>1321.5012207</v>
      </c>
      <c r="F41">
        <v>1317.5563964999999</v>
      </c>
      <c r="G41">
        <v>80</v>
      </c>
      <c r="H41">
        <v>44.415462494000003</v>
      </c>
      <c r="I41">
        <v>50</v>
      </c>
      <c r="J41">
        <v>14.999281883</v>
      </c>
      <c r="K41">
        <v>2400</v>
      </c>
      <c r="L41">
        <v>0</v>
      </c>
      <c r="M41">
        <v>0</v>
      </c>
      <c r="N41">
        <v>2400</v>
      </c>
    </row>
    <row r="42" spans="1:14" x14ac:dyDescent="0.25">
      <c r="A42">
        <v>0.48759000000000002</v>
      </c>
      <c r="B42" s="1">
        <f>DATE(2010,5,1) + TIME(11,42,7)</f>
        <v>40299.487581018519</v>
      </c>
      <c r="C42">
        <v>1340.3944091999999</v>
      </c>
      <c r="D42">
        <v>1337.7333983999999</v>
      </c>
      <c r="E42">
        <v>1321.5013428</v>
      </c>
      <c r="F42">
        <v>1317.5565185999999</v>
      </c>
      <c r="G42">
        <v>80</v>
      </c>
      <c r="H42">
        <v>45.400447845000002</v>
      </c>
      <c r="I42">
        <v>50</v>
      </c>
      <c r="J42">
        <v>14.999284744000001</v>
      </c>
      <c r="K42">
        <v>2400</v>
      </c>
      <c r="L42">
        <v>0</v>
      </c>
      <c r="M42">
        <v>0</v>
      </c>
      <c r="N42">
        <v>2400</v>
      </c>
    </row>
    <row r="43" spans="1:14" x14ac:dyDescent="0.25">
      <c r="A43">
        <v>0.50651800000000002</v>
      </c>
      <c r="B43" s="1">
        <f>DATE(2010,5,1) + TIME(12,9,23)</f>
        <v>40299.506516203706</v>
      </c>
      <c r="C43">
        <v>1340.4188231999999</v>
      </c>
      <c r="D43">
        <v>1337.7706298999999</v>
      </c>
      <c r="E43">
        <v>1321.5014647999999</v>
      </c>
      <c r="F43">
        <v>1317.5565185999999</v>
      </c>
      <c r="G43">
        <v>80</v>
      </c>
      <c r="H43">
        <v>46.384750365999999</v>
      </c>
      <c r="I43">
        <v>50</v>
      </c>
      <c r="J43">
        <v>14.999287604999999</v>
      </c>
      <c r="K43">
        <v>2400</v>
      </c>
      <c r="L43">
        <v>0</v>
      </c>
      <c r="M43">
        <v>0</v>
      </c>
      <c r="N43">
        <v>2400</v>
      </c>
    </row>
    <row r="44" spans="1:14" x14ac:dyDescent="0.25">
      <c r="A44">
        <v>0.52574699999999996</v>
      </c>
      <c r="B44" s="1">
        <f>DATE(2010,5,1) + TIME(12,37,4)</f>
        <v>40299.525740740741</v>
      </c>
      <c r="C44">
        <v>1340.4451904</v>
      </c>
      <c r="D44">
        <v>1337.8089600000001</v>
      </c>
      <c r="E44">
        <v>1321.5017089999999</v>
      </c>
      <c r="F44">
        <v>1317.5566406</v>
      </c>
      <c r="G44">
        <v>80</v>
      </c>
      <c r="H44">
        <v>47.368324280000003</v>
      </c>
      <c r="I44">
        <v>50</v>
      </c>
      <c r="J44">
        <v>14.99929142</v>
      </c>
      <c r="K44">
        <v>2400</v>
      </c>
      <c r="L44">
        <v>0</v>
      </c>
      <c r="M44">
        <v>0</v>
      </c>
      <c r="N44">
        <v>2400</v>
      </c>
    </row>
    <row r="45" spans="1:14" x14ac:dyDescent="0.25">
      <c r="A45">
        <v>0.54529799999999995</v>
      </c>
      <c r="B45" s="1">
        <f>DATE(2010,5,1) + TIME(13,5,13)</f>
        <v>40299.545289351852</v>
      </c>
      <c r="C45">
        <v>1340.4733887</v>
      </c>
      <c r="D45">
        <v>1337.8481445</v>
      </c>
      <c r="E45">
        <v>1321.5018310999999</v>
      </c>
      <c r="F45">
        <v>1317.5566406</v>
      </c>
      <c r="G45">
        <v>80</v>
      </c>
      <c r="H45">
        <v>48.351116179999998</v>
      </c>
      <c r="I45">
        <v>50</v>
      </c>
      <c r="J45">
        <v>14.999294280999999</v>
      </c>
      <c r="K45">
        <v>2400</v>
      </c>
      <c r="L45">
        <v>0</v>
      </c>
      <c r="M45">
        <v>0</v>
      </c>
      <c r="N45">
        <v>2400</v>
      </c>
    </row>
    <row r="46" spans="1:14" x14ac:dyDescent="0.25">
      <c r="A46">
        <v>0.565191</v>
      </c>
      <c r="B46" s="1">
        <f>DATE(2010,5,1) + TIME(13,33,52)</f>
        <v>40299.565185185187</v>
      </c>
      <c r="C46">
        <v>1340.5032959</v>
      </c>
      <c r="D46">
        <v>1337.8883057</v>
      </c>
      <c r="E46">
        <v>1321.5020752</v>
      </c>
      <c r="F46">
        <v>1317.5567627</v>
      </c>
      <c r="G46">
        <v>80</v>
      </c>
      <c r="H46">
        <v>49.333065032999997</v>
      </c>
      <c r="I46">
        <v>50</v>
      </c>
      <c r="J46">
        <v>14.999297142</v>
      </c>
      <c r="K46">
        <v>2400</v>
      </c>
      <c r="L46">
        <v>0</v>
      </c>
      <c r="M46">
        <v>0</v>
      </c>
      <c r="N46">
        <v>2400</v>
      </c>
    </row>
    <row r="47" spans="1:14" x14ac:dyDescent="0.25">
      <c r="A47">
        <v>0.58545000000000003</v>
      </c>
      <c r="B47" s="1">
        <f>DATE(2010,5,1) + TIME(14,3,2)</f>
        <v>40299.585439814815</v>
      </c>
      <c r="C47">
        <v>1340.5349120999999</v>
      </c>
      <c r="D47">
        <v>1337.9291992000001</v>
      </c>
      <c r="E47">
        <v>1321.5021973</v>
      </c>
      <c r="F47">
        <v>1317.5567627</v>
      </c>
      <c r="G47">
        <v>80</v>
      </c>
      <c r="H47">
        <v>50.313961028999998</v>
      </c>
      <c r="I47">
        <v>50</v>
      </c>
      <c r="J47">
        <v>14.999300003</v>
      </c>
      <c r="K47">
        <v>2400</v>
      </c>
      <c r="L47">
        <v>0</v>
      </c>
      <c r="M47">
        <v>0</v>
      </c>
      <c r="N47">
        <v>2400</v>
      </c>
    </row>
    <row r="48" spans="1:14" x14ac:dyDescent="0.25">
      <c r="A48">
        <v>0.60610299999999995</v>
      </c>
      <c r="B48" s="1">
        <f>DATE(2010,5,1) + TIME(14,32,47)</f>
        <v>40299.606099537035</v>
      </c>
      <c r="C48">
        <v>1340.5682373</v>
      </c>
      <c r="D48">
        <v>1337.9709473</v>
      </c>
      <c r="E48">
        <v>1321.5023193</v>
      </c>
      <c r="F48">
        <v>1317.5568848</v>
      </c>
      <c r="G48">
        <v>80</v>
      </c>
      <c r="H48">
        <v>51.293708801000001</v>
      </c>
      <c r="I48">
        <v>50</v>
      </c>
      <c r="J48">
        <v>14.999302864000001</v>
      </c>
      <c r="K48">
        <v>2400</v>
      </c>
      <c r="L48">
        <v>0</v>
      </c>
      <c r="M48">
        <v>0</v>
      </c>
      <c r="N48">
        <v>2400</v>
      </c>
    </row>
    <row r="49" spans="1:14" x14ac:dyDescent="0.25">
      <c r="A49">
        <v>0.62718300000000005</v>
      </c>
      <c r="B49" s="1">
        <f>DATE(2010,5,1) + TIME(15,3,8)</f>
        <v>40299.627175925925</v>
      </c>
      <c r="C49">
        <v>1340.6030272999999</v>
      </c>
      <c r="D49">
        <v>1338.0135498</v>
      </c>
      <c r="E49">
        <v>1321.5025635</v>
      </c>
      <c r="F49">
        <v>1317.5568848</v>
      </c>
      <c r="G49">
        <v>80</v>
      </c>
      <c r="H49">
        <v>52.272712708</v>
      </c>
      <c r="I49">
        <v>50</v>
      </c>
      <c r="J49">
        <v>14.999305724999999</v>
      </c>
      <c r="K49">
        <v>2400</v>
      </c>
      <c r="L49">
        <v>0</v>
      </c>
      <c r="M49">
        <v>0</v>
      </c>
      <c r="N49">
        <v>2400</v>
      </c>
    </row>
    <row r="50" spans="1:14" x14ac:dyDescent="0.25">
      <c r="A50">
        <v>0.64871599999999996</v>
      </c>
      <c r="B50" s="1">
        <f>DATE(2010,5,1) + TIME(15,34,9)</f>
        <v>40299.648715277777</v>
      </c>
      <c r="C50">
        <v>1340.6392822</v>
      </c>
      <c r="D50">
        <v>1338.0568848</v>
      </c>
      <c r="E50">
        <v>1321.5026855000001</v>
      </c>
      <c r="F50">
        <v>1317.5570068</v>
      </c>
      <c r="G50">
        <v>80</v>
      </c>
      <c r="H50">
        <v>53.250598906999997</v>
      </c>
      <c r="I50">
        <v>50</v>
      </c>
      <c r="J50">
        <v>14.99930954</v>
      </c>
      <c r="K50">
        <v>2400</v>
      </c>
      <c r="L50">
        <v>0</v>
      </c>
      <c r="M50">
        <v>0</v>
      </c>
      <c r="N50">
        <v>2400</v>
      </c>
    </row>
    <row r="51" spans="1:14" x14ac:dyDescent="0.25">
      <c r="A51">
        <v>0.67073499999999997</v>
      </c>
      <c r="B51" s="1">
        <f>DATE(2010,5,1) + TIME(16,5,51)</f>
        <v>40299.670729166668</v>
      </c>
      <c r="C51">
        <v>1340.6770019999999</v>
      </c>
      <c r="D51">
        <v>1338.1008300999999</v>
      </c>
      <c r="E51">
        <v>1321.5028076000001</v>
      </c>
      <c r="F51">
        <v>1317.5570068</v>
      </c>
      <c r="G51">
        <v>80</v>
      </c>
      <c r="H51">
        <v>54.227283477999997</v>
      </c>
      <c r="I51">
        <v>50</v>
      </c>
      <c r="J51">
        <v>14.999312400999999</v>
      </c>
      <c r="K51">
        <v>2400</v>
      </c>
      <c r="L51">
        <v>0</v>
      </c>
      <c r="M51">
        <v>0</v>
      </c>
      <c r="N51">
        <v>2400</v>
      </c>
    </row>
    <row r="52" spans="1:14" x14ac:dyDescent="0.25">
      <c r="A52">
        <v>0.69328000000000001</v>
      </c>
      <c r="B52" s="1">
        <f>DATE(2010,5,1) + TIME(16,38,19)</f>
        <v>40299.69327546296</v>
      </c>
      <c r="C52">
        <v>1340.7160644999999</v>
      </c>
      <c r="D52">
        <v>1338.1455077999999</v>
      </c>
      <c r="E52">
        <v>1321.5030518000001</v>
      </c>
      <c r="F52">
        <v>1317.5570068</v>
      </c>
      <c r="G52">
        <v>80</v>
      </c>
      <c r="H52">
        <v>55.202667236000003</v>
      </c>
      <c r="I52">
        <v>50</v>
      </c>
      <c r="J52">
        <v>14.999315262</v>
      </c>
      <c r="K52">
        <v>2400</v>
      </c>
      <c r="L52">
        <v>0</v>
      </c>
      <c r="M52">
        <v>0</v>
      </c>
      <c r="N52">
        <v>2400</v>
      </c>
    </row>
    <row r="53" spans="1:14" x14ac:dyDescent="0.25">
      <c r="A53">
        <v>0.71639399999999998</v>
      </c>
      <c r="B53" s="1">
        <f>DATE(2010,5,1) + TIME(17,11,36)</f>
        <v>40299.71638888889</v>
      </c>
      <c r="C53">
        <v>1340.7565918</v>
      </c>
      <c r="D53">
        <v>1338.1907959</v>
      </c>
      <c r="E53">
        <v>1321.5031738</v>
      </c>
      <c r="F53">
        <v>1317.5571289</v>
      </c>
      <c r="G53">
        <v>80</v>
      </c>
      <c r="H53">
        <v>56.176651001000003</v>
      </c>
      <c r="I53">
        <v>50</v>
      </c>
      <c r="J53">
        <v>14.999318123</v>
      </c>
      <c r="K53">
        <v>2400</v>
      </c>
      <c r="L53">
        <v>0</v>
      </c>
      <c r="M53">
        <v>0</v>
      </c>
      <c r="N53">
        <v>2400</v>
      </c>
    </row>
    <row r="54" spans="1:14" x14ac:dyDescent="0.25">
      <c r="A54">
        <v>0.74012500000000003</v>
      </c>
      <c r="B54" s="1">
        <f>DATE(2010,5,1) + TIME(17,45,46)</f>
        <v>40299.740115740744</v>
      </c>
      <c r="C54">
        <v>1340.7982178</v>
      </c>
      <c r="D54">
        <v>1338.2365723</v>
      </c>
      <c r="E54">
        <v>1321.5032959</v>
      </c>
      <c r="F54">
        <v>1317.5571289</v>
      </c>
      <c r="G54">
        <v>80</v>
      </c>
      <c r="H54">
        <v>57.149116515999999</v>
      </c>
      <c r="I54">
        <v>50</v>
      </c>
      <c r="J54">
        <v>14.999320984000001</v>
      </c>
      <c r="K54">
        <v>2400</v>
      </c>
      <c r="L54">
        <v>0</v>
      </c>
      <c r="M54">
        <v>0</v>
      </c>
      <c r="N54">
        <v>2400</v>
      </c>
    </row>
    <row r="55" spans="1:14" x14ac:dyDescent="0.25">
      <c r="A55">
        <v>0.76452799999999999</v>
      </c>
      <c r="B55" s="1">
        <f>DATE(2010,5,1) + TIME(18,20,55)</f>
        <v>40299.764525462961</v>
      </c>
      <c r="C55">
        <v>1340.8411865</v>
      </c>
      <c r="D55">
        <v>1338.2830810999999</v>
      </c>
      <c r="E55">
        <v>1321.5035399999999</v>
      </c>
      <c r="F55">
        <v>1317.5571289</v>
      </c>
      <c r="G55">
        <v>80</v>
      </c>
      <c r="H55">
        <v>58.119941711000003</v>
      </c>
      <c r="I55">
        <v>50</v>
      </c>
      <c r="J55">
        <v>14.999324799</v>
      </c>
      <c r="K55">
        <v>2400</v>
      </c>
      <c r="L55">
        <v>0</v>
      </c>
      <c r="M55">
        <v>0</v>
      </c>
      <c r="N55">
        <v>2400</v>
      </c>
    </row>
    <row r="56" spans="1:14" x14ac:dyDescent="0.25">
      <c r="A56">
        <v>0.78966499999999995</v>
      </c>
      <c r="B56" s="1">
        <f>DATE(2010,5,1) + TIME(18,57,7)</f>
        <v>40299.789664351854</v>
      </c>
      <c r="C56">
        <v>1340.885376</v>
      </c>
      <c r="D56">
        <v>1338.3299560999999</v>
      </c>
      <c r="E56">
        <v>1321.5036620999999</v>
      </c>
      <c r="F56">
        <v>1317.557251</v>
      </c>
      <c r="G56">
        <v>80</v>
      </c>
      <c r="H56">
        <v>59.088981627999999</v>
      </c>
      <c r="I56">
        <v>50</v>
      </c>
      <c r="J56">
        <v>14.999327660000001</v>
      </c>
      <c r="K56">
        <v>2400</v>
      </c>
      <c r="L56">
        <v>0</v>
      </c>
      <c r="M56">
        <v>0</v>
      </c>
      <c r="N56">
        <v>2400</v>
      </c>
    </row>
    <row r="57" spans="1:14" x14ac:dyDescent="0.25">
      <c r="A57">
        <v>0.815604</v>
      </c>
      <c r="B57" s="1">
        <f>DATE(2010,5,1) + TIME(19,34,28)</f>
        <v>40299.815601851849</v>
      </c>
      <c r="C57">
        <v>1340.9306641000001</v>
      </c>
      <c r="D57">
        <v>1338.3774414</v>
      </c>
      <c r="E57">
        <v>1321.5037841999999</v>
      </c>
      <c r="F57">
        <v>1317.557251</v>
      </c>
      <c r="G57">
        <v>80</v>
      </c>
      <c r="H57">
        <v>60.056037903000004</v>
      </c>
      <c r="I57">
        <v>50</v>
      </c>
      <c r="J57">
        <v>14.999330520999999</v>
      </c>
      <c r="K57">
        <v>2400</v>
      </c>
      <c r="L57">
        <v>0</v>
      </c>
      <c r="M57">
        <v>0</v>
      </c>
      <c r="N57">
        <v>2400</v>
      </c>
    </row>
    <row r="58" spans="1:14" x14ac:dyDescent="0.25">
      <c r="A58">
        <v>0.84242799999999995</v>
      </c>
      <c r="B58" s="1">
        <f>DATE(2010,5,1) + TIME(20,13,5)</f>
        <v>40299.842418981483</v>
      </c>
      <c r="C58">
        <v>1340.9771728999999</v>
      </c>
      <c r="D58">
        <v>1338.4254149999999</v>
      </c>
      <c r="E58">
        <v>1321.5040283000001</v>
      </c>
      <c r="F58">
        <v>1317.5573730000001</v>
      </c>
      <c r="G58">
        <v>80</v>
      </c>
      <c r="H58">
        <v>61.020339966000002</v>
      </c>
      <c r="I58">
        <v>50</v>
      </c>
      <c r="J58">
        <v>14.999334335</v>
      </c>
      <c r="K58">
        <v>2400</v>
      </c>
      <c r="L58">
        <v>0</v>
      </c>
      <c r="M58">
        <v>0</v>
      </c>
      <c r="N58">
        <v>2400</v>
      </c>
    </row>
    <row r="59" spans="1:14" x14ac:dyDescent="0.25">
      <c r="A59">
        <v>0.87024400000000002</v>
      </c>
      <c r="B59" s="1">
        <f>DATE(2010,5,1) + TIME(20,53,9)</f>
        <v>40299.870243055557</v>
      </c>
      <c r="C59">
        <v>1341.0247803</v>
      </c>
      <c r="D59">
        <v>1338.4738769999999</v>
      </c>
      <c r="E59">
        <v>1321.5041504000001</v>
      </c>
      <c r="F59">
        <v>1317.5573730000001</v>
      </c>
      <c r="G59">
        <v>80</v>
      </c>
      <c r="H59">
        <v>61.982906342</v>
      </c>
      <c r="I59">
        <v>50</v>
      </c>
      <c r="J59">
        <v>14.999337196000001</v>
      </c>
      <c r="K59">
        <v>2400</v>
      </c>
      <c r="L59">
        <v>0</v>
      </c>
      <c r="M59">
        <v>0</v>
      </c>
      <c r="N59">
        <v>2400</v>
      </c>
    </row>
    <row r="60" spans="1:14" x14ac:dyDescent="0.25">
      <c r="A60">
        <v>0.899142</v>
      </c>
      <c r="B60" s="1">
        <f>DATE(2010,5,1) + TIME(21,34,45)</f>
        <v>40299.899131944447</v>
      </c>
      <c r="C60">
        <v>1341.0734863</v>
      </c>
      <c r="D60">
        <v>1338.5227050999999</v>
      </c>
      <c r="E60">
        <v>1321.5043945</v>
      </c>
      <c r="F60">
        <v>1317.5573730000001</v>
      </c>
      <c r="G60">
        <v>80</v>
      </c>
      <c r="H60">
        <v>62.942909241000002</v>
      </c>
      <c r="I60">
        <v>50</v>
      </c>
      <c r="J60">
        <v>14.999340057</v>
      </c>
      <c r="K60">
        <v>2400</v>
      </c>
      <c r="L60">
        <v>0</v>
      </c>
      <c r="M60">
        <v>0</v>
      </c>
      <c r="N60">
        <v>2400</v>
      </c>
    </row>
    <row r="61" spans="1:14" x14ac:dyDescent="0.25">
      <c r="A61">
        <v>0.92924399999999996</v>
      </c>
      <c r="B61" s="1">
        <f>DATE(2010,5,1) + TIME(22,18,6)</f>
        <v>40299.929236111115</v>
      </c>
      <c r="C61">
        <v>1341.1232910000001</v>
      </c>
      <c r="D61">
        <v>1338.5718993999999</v>
      </c>
      <c r="E61">
        <v>1321.5045166</v>
      </c>
      <c r="F61">
        <v>1317.5574951000001</v>
      </c>
      <c r="G61">
        <v>80</v>
      </c>
      <c r="H61">
        <v>63.900070190000001</v>
      </c>
      <c r="I61">
        <v>50</v>
      </c>
      <c r="J61">
        <v>14.999343872000001</v>
      </c>
      <c r="K61">
        <v>2400</v>
      </c>
      <c r="L61">
        <v>0</v>
      </c>
      <c r="M61">
        <v>0</v>
      </c>
      <c r="N61">
        <v>2400</v>
      </c>
    </row>
    <row r="62" spans="1:14" x14ac:dyDescent="0.25">
      <c r="A62">
        <v>0.96069300000000002</v>
      </c>
      <c r="B62" s="1">
        <f>DATE(2010,5,1) + TIME(23,3,23)</f>
        <v>40299.960682870369</v>
      </c>
      <c r="C62">
        <v>1341.1741943</v>
      </c>
      <c r="D62">
        <v>1338.621582</v>
      </c>
      <c r="E62">
        <v>1321.5047606999999</v>
      </c>
      <c r="F62">
        <v>1317.5574951000001</v>
      </c>
      <c r="G62">
        <v>80</v>
      </c>
      <c r="H62">
        <v>64.854072571000003</v>
      </c>
      <c r="I62">
        <v>50</v>
      </c>
      <c r="J62">
        <v>14.999347687</v>
      </c>
      <c r="K62">
        <v>2400</v>
      </c>
      <c r="L62">
        <v>0</v>
      </c>
      <c r="M62">
        <v>0</v>
      </c>
      <c r="N62">
        <v>2400</v>
      </c>
    </row>
    <row r="63" spans="1:14" x14ac:dyDescent="0.25">
      <c r="A63">
        <v>0.99365899999999996</v>
      </c>
      <c r="B63" s="1">
        <f>DATE(2010,5,1) + TIME(23,50,52)</f>
        <v>40299.993657407409</v>
      </c>
      <c r="C63">
        <v>1341.2260742000001</v>
      </c>
      <c r="D63">
        <v>1338.6715088000001</v>
      </c>
      <c r="E63">
        <v>1321.5048827999999</v>
      </c>
      <c r="F63">
        <v>1317.5574951000001</v>
      </c>
      <c r="G63">
        <v>80</v>
      </c>
      <c r="H63">
        <v>65.804756165000001</v>
      </c>
      <c r="I63">
        <v>50</v>
      </c>
      <c r="J63">
        <v>14.999350548000001</v>
      </c>
      <c r="K63">
        <v>2400</v>
      </c>
      <c r="L63">
        <v>0</v>
      </c>
      <c r="M63">
        <v>0</v>
      </c>
      <c r="N63">
        <v>2400</v>
      </c>
    </row>
    <row r="64" spans="1:14" x14ac:dyDescent="0.25">
      <c r="A64">
        <v>1.028335</v>
      </c>
      <c r="B64" s="1">
        <f>DATE(2010,5,2) + TIME(0,40,48)</f>
        <v>40300.028333333335</v>
      </c>
      <c r="C64">
        <v>1341.2790527</v>
      </c>
      <c r="D64">
        <v>1338.7218018000001</v>
      </c>
      <c r="E64">
        <v>1321.5051269999999</v>
      </c>
      <c r="F64">
        <v>1317.5576172000001</v>
      </c>
      <c r="G64">
        <v>80</v>
      </c>
      <c r="H64">
        <v>66.751342773000005</v>
      </c>
      <c r="I64">
        <v>50</v>
      </c>
      <c r="J64">
        <v>14.999354362</v>
      </c>
      <c r="K64">
        <v>2400</v>
      </c>
      <c r="L64">
        <v>0</v>
      </c>
      <c r="M64">
        <v>0</v>
      </c>
      <c r="N64">
        <v>2400</v>
      </c>
    </row>
    <row r="65" spans="1:14" x14ac:dyDescent="0.25">
      <c r="A65">
        <v>1.045984</v>
      </c>
      <c r="B65" s="1">
        <f>DATE(2010,5,2) + TIME(1,6,12)</f>
        <v>40300.045972222222</v>
      </c>
      <c r="C65">
        <v>1341.3474120999999</v>
      </c>
      <c r="D65">
        <v>1338.7713623</v>
      </c>
      <c r="E65">
        <v>1321.5053711</v>
      </c>
      <c r="F65">
        <v>1317.5576172000001</v>
      </c>
      <c r="G65">
        <v>80</v>
      </c>
      <c r="H65">
        <v>67.222602843999994</v>
      </c>
      <c r="I65">
        <v>50</v>
      </c>
      <c r="J65">
        <v>14.99935627</v>
      </c>
      <c r="K65">
        <v>2400</v>
      </c>
      <c r="L65">
        <v>0</v>
      </c>
      <c r="M65">
        <v>0</v>
      </c>
      <c r="N65">
        <v>2400</v>
      </c>
    </row>
    <row r="66" spans="1:14" x14ac:dyDescent="0.25">
      <c r="A66">
        <v>1.0636330000000001</v>
      </c>
      <c r="B66" s="1">
        <f>DATE(2010,5,2) + TIME(1,31,37)</f>
        <v>40300.063622685186</v>
      </c>
      <c r="C66">
        <v>1341.375</v>
      </c>
      <c r="D66">
        <v>1338.7967529</v>
      </c>
      <c r="E66">
        <v>1321.5054932</v>
      </c>
      <c r="F66">
        <v>1317.5577393000001</v>
      </c>
      <c r="G66">
        <v>80</v>
      </c>
      <c r="H66">
        <v>67.680191039999997</v>
      </c>
      <c r="I66">
        <v>50</v>
      </c>
      <c r="J66">
        <v>14.999358177</v>
      </c>
      <c r="K66">
        <v>2400</v>
      </c>
      <c r="L66">
        <v>0</v>
      </c>
      <c r="M66">
        <v>0</v>
      </c>
      <c r="N66">
        <v>2400</v>
      </c>
    </row>
    <row r="67" spans="1:14" x14ac:dyDescent="0.25">
      <c r="A67">
        <v>1.0812820000000001</v>
      </c>
      <c r="B67" s="1">
        <f>DATE(2010,5,2) + TIME(1,57,2)</f>
        <v>40300.081273148149</v>
      </c>
      <c r="C67">
        <v>1341.4020995999999</v>
      </c>
      <c r="D67">
        <v>1338.8215332</v>
      </c>
      <c r="E67">
        <v>1321.5054932</v>
      </c>
      <c r="F67">
        <v>1317.5577393000001</v>
      </c>
      <c r="G67">
        <v>80</v>
      </c>
      <c r="H67">
        <v>68.124313353999995</v>
      </c>
      <c r="I67">
        <v>50</v>
      </c>
      <c r="J67">
        <v>14.999360084999999</v>
      </c>
      <c r="K67">
        <v>2400</v>
      </c>
      <c r="L67">
        <v>0</v>
      </c>
      <c r="M67">
        <v>0</v>
      </c>
      <c r="N67">
        <v>2400</v>
      </c>
    </row>
    <row r="68" spans="1:14" x14ac:dyDescent="0.25">
      <c r="A68">
        <v>1.0989120000000001</v>
      </c>
      <c r="B68" s="1">
        <f>DATE(2010,5,2) + TIME(2,22,26)</f>
        <v>40300.098912037036</v>
      </c>
      <c r="C68">
        <v>1341.4287108999999</v>
      </c>
      <c r="D68">
        <v>1338.8457031</v>
      </c>
      <c r="E68">
        <v>1321.5056152</v>
      </c>
      <c r="F68">
        <v>1317.5577393000001</v>
      </c>
      <c r="G68">
        <v>80</v>
      </c>
      <c r="H68">
        <v>68.554748535000002</v>
      </c>
      <c r="I68">
        <v>50</v>
      </c>
      <c r="J68">
        <v>14.999361038</v>
      </c>
      <c r="K68">
        <v>2400</v>
      </c>
      <c r="L68">
        <v>0</v>
      </c>
      <c r="M68">
        <v>0</v>
      </c>
      <c r="N68">
        <v>2400</v>
      </c>
    </row>
    <row r="69" spans="1:14" x14ac:dyDescent="0.25">
      <c r="A69">
        <v>1.116446</v>
      </c>
      <c r="B69" s="1">
        <f>DATE(2010,5,2) + TIME(2,47,40)</f>
        <v>40300.116435185184</v>
      </c>
      <c r="C69">
        <v>1341.4548339999999</v>
      </c>
      <c r="D69">
        <v>1338.8691406</v>
      </c>
      <c r="E69">
        <v>1321.5057373</v>
      </c>
      <c r="F69">
        <v>1317.5577393000001</v>
      </c>
      <c r="G69">
        <v>80</v>
      </c>
      <c r="H69">
        <v>68.969985961999996</v>
      </c>
      <c r="I69">
        <v>50</v>
      </c>
      <c r="J69">
        <v>14.999362946</v>
      </c>
      <c r="K69">
        <v>2400</v>
      </c>
      <c r="L69">
        <v>0</v>
      </c>
      <c r="M69">
        <v>0</v>
      </c>
      <c r="N69">
        <v>2400</v>
      </c>
    </row>
    <row r="70" spans="1:14" x14ac:dyDescent="0.25">
      <c r="A70">
        <v>1.133896</v>
      </c>
      <c r="B70" s="1">
        <f>DATE(2010,5,2) + TIME(3,12,48)</f>
        <v>40300.133888888886</v>
      </c>
      <c r="C70">
        <v>1341.4803466999999</v>
      </c>
      <c r="D70">
        <v>1338.8919678</v>
      </c>
      <c r="E70">
        <v>1321.5058594</v>
      </c>
      <c r="F70">
        <v>1317.5577393000001</v>
      </c>
      <c r="G70">
        <v>80</v>
      </c>
      <c r="H70">
        <v>69.370719910000005</v>
      </c>
      <c r="I70">
        <v>50</v>
      </c>
      <c r="J70">
        <v>14.999364852999999</v>
      </c>
      <c r="K70">
        <v>2400</v>
      </c>
      <c r="L70">
        <v>0</v>
      </c>
      <c r="M70">
        <v>0</v>
      </c>
      <c r="N70">
        <v>2400</v>
      </c>
    </row>
    <row r="71" spans="1:14" x14ac:dyDescent="0.25">
      <c r="A71">
        <v>1.1512720000000001</v>
      </c>
      <c r="B71" s="1">
        <f>DATE(2010,5,2) + TIME(3,37,49)</f>
        <v>40300.151261574072</v>
      </c>
      <c r="C71">
        <v>1341.505249</v>
      </c>
      <c r="D71">
        <v>1338.9140625</v>
      </c>
      <c r="E71">
        <v>1321.5059814000001</v>
      </c>
      <c r="F71">
        <v>1317.5578613</v>
      </c>
      <c r="G71">
        <v>80</v>
      </c>
      <c r="H71">
        <v>69.757591247999997</v>
      </c>
      <c r="I71">
        <v>50</v>
      </c>
      <c r="J71">
        <v>14.999366759999999</v>
      </c>
      <c r="K71">
        <v>2400</v>
      </c>
      <c r="L71">
        <v>0</v>
      </c>
      <c r="M71">
        <v>0</v>
      </c>
      <c r="N71">
        <v>2400</v>
      </c>
    </row>
    <row r="72" spans="1:14" x14ac:dyDescent="0.25">
      <c r="A72">
        <v>1.168585</v>
      </c>
      <c r="B72" s="1">
        <f>DATE(2010,5,2) + TIME(4,2,45)</f>
        <v>40300.168576388889</v>
      </c>
      <c r="C72">
        <v>1341.5295410000001</v>
      </c>
      <c r="D72">
        <v>1338.9354248</v>
      </c>
      <c r="E72">
        <v>1321.5061035000001</v>
      </c>
      <c r="F72">
        <v>1317.5578613</v>
      </c>
      <c r="G72">
        <v>80</v>
      </c>
      <c r="H72">
        <v>70.131103515999996</v>
      </c>
      <c r="I72">
        <v>50</v>
      </c>
      <c r="J72">
        <v>14.999367714</v>
      </c>
      <c r="K72">
        <v>2400</v>
      </c>
      <c r="L72">
        <v>0</v>
      </c>
      <c r="M72">
        <v>0</v>
      </c>
      <c r="N72">
        <v>2400</v>
      </c>
    </row>
    <row r="73" spans="1:14" x14ac:dyDescent="0.25">
      <c r="A73">
        <v>1.185846</v>
      </c>
      <c r="B73" s="1">
        <f>DATE(2010,5,2) + TIME(4,27,37)</f>
        <v>40300.185844907406</v>
      </c>
      <c r="C73">
        <v>1341.5531006000001</v>
      </c>
      <c r="D73">
        <v>1338.9561768000001</v>
      </c>
      <c r="E73">
        <v>1321.5061035000001</v>
      </c>
      <c r="F73">
        <v>1317.5578613</v>
      </c>
      <c r="G73">
        <v>80</v>
      </c>
      <c r="H73">
        <v>70.491737365999995</v>
      </c>
      <c r="I73">
        <v>50</v>
      </c>
      <c r="J73">
        <v>14.999369621</v>
      </c>
      <c r="K73">
        <v>2400</v>
      </c>
      <c r="L73">
        <v>0</v>
      </c>
      <c r="M73">
        <v>0</v>
      </c>
      <c r="N73">
        <v>2400</v>
      </c>
    </row>
    <row r="74" spans="1:14" x14ac:dyDescent="0.25">
      <c r="A74">
        <v>1.2030639999999999</v>
      </c>
      <c r="B74" s="1">
        <f>DATE(2010,5,2) + TIME(4,52,24)</f>
        <v>40300.203055555554</v>
      </c>
      <c r="C74">
        <v>1341.5762939000001</v>
      </c>
      <c r="D74">
        <v>1338.9763184000001</v>
      </c>
      <c r="E74">
        <v>1321.5062256000001</v>
      </c>
      <c r="F74">
        <v>1317.5578613</v>
      </c>
      <c r="G74">
        <v>80</v>
      </c>
      <c r="H74">
        <v>70.840194702000005</v>
      </c>
      <c r="I74">
        <v>50</v>
      </c>
      <c r="J74">
        <v>14.999371528999999</v>
      </c>
      <c r="K74">
        <v>2400</v>
      </c>
      <c r="L74">
        <v>0</v>
      </c>
      <c r="M74">
        <v>0</v>
      </c>
      <c r="N74">
        <v>2400</v>
      </c>
    </row>
    <row r="75" spans="1:14" x14ac:dyDescent="0.25">
      <c r="A75">
        <v>1.2202489999999999</v>
      </c>
      <c r="B75" s="1">
        <f>DATE(2010,5,2) + TIME(5,17,9)</f>
        <v>40300.220243055555</v>
      </c>
      <c r="C75">
        <v>1341.5987548999999</v>
      </c>
      <c r="D75">
        <v>1338.9958495999999</v>
      </c>
      <c r="E75">
        <v>1321.5063477000001</v>
      </c>
      <c r="F75">
        <v>1317.5579834</v>
      </c>
      <c r="G75">
        <v>80</v>
      </c>
      <c r="H75">
        <v>71.176963806000003</v>
      </c>
      <c r="I75">
        <v>50</v>
      </c>
      <c r="J75">
        <v>14.999372482</v>
      </c>
      <c r="K75">
        <v>2400</v>
      </c>
      <c r="L75">
        <v>0</v>
      </c>
      <c r="M75">
        <v>0</v>
      </c>
      <c r="N75">
        <v>2400</v>
      </c>
    </row>
    <row r="76" spans="1:14" x14ac:dyDescent="0.25">
      <c r="A76">
        <v>1.237409</v>
      </c>
      <c r="B76" s="1">
        <f>DATE(2010,5,2) + TIME(5,41,52)</f>
        <v>40300.237407407411</v>
      </c>
      <c r="C76">
        <v>1341.6207274999999</v>
      </c>
      <c r="D76">
        <v>1339.0147704999999</v>
      </c>
      <c r="E76">
        <v>1321.5064697</v>
      </c>
      <c r="F76">
        <v>1317.5579834</v>
      </c>
      <c r="G76">
        <v>80</v>
      </c>
      <c r="H76">
        <v>71.502510071000003</v>
      </c>
      <c r="I76">
        <v>50</v>
      </c>
      <c r="J76">
        <v>14.99937439</v>
      </c>
      <c r="K76">
        <v>2400</v>
      </c>
      <c r="L76">
        <v>0</v>
      </c>
      <c r="M76">
        <v>0</v>
      </c>
      <c r="N76">
        <v>2400</v>
      </c>
    </row>
    <row r="77" spans="1:14" x14ac:dyDescent="0.25">
      <c r="A77">
        <v>1.254553</v>
      </c>
      <c r="B77" s="1">
        <f>DATE(2010,5,2) + TIME(6,6,33)</f>
        <v>40300.254548611112</v>
      </c>
      <c r="C77">
        <v>1341.6422118999999</v>
      </c>
      <c r="D77">
        <v>1339.0332031</v>
      </c>
      <c r="E77">
        <v>1321.5064697</v>
      </c>
      <c r="F77">
        <v>1317.5579834</v>
      </c>
      <c r="G77">
        <v>80</v>
      </c>
      <c r="H77">
        <v>71.817268372000001</v>
      </c>
      <c r="I77">
        <v>50</v>
      </c>
      <c r="J77">
        <v>14.999375343000001</v>
      </c>
      <c r="K77">
        <v>2400</v>
      </c>
      <c r="L77">
        <v>0</v>
      </c>
      <c r="M77">
        <v>0</v>
      </c>
      <c r="N77">
        <v>2400</v>
      </c>
    </row>
    <row r="78" spans="1:14" x14ac:dyDescent="0.25">
      <c r="A78">
        <v>1.27169</v>
      </c>
      <c r="B78" s="1">
        <f>DATE(2010,5,2) + TIME(6,31,14)</f>
        <v>40300.271689814814</v>
      </c>
      <c r="C78">
        <v>1341.6632079999999</v>
      </c>
      <c r="D78">
        <v>1339.0510254000001</v>
      </c>
      <c r="E78">
        <v>1321.5065918</v>
      </c>
      <c r="F78">
        <v>1317.5579834</v>
      </c>
      <c r="G78">
        <v>80</v>
      </c>
      <c r="H78">
        <v>72.121650696000003</v>
      </c>
      <c r="I78">
        <v>50</v>
      </c>
      <c r="J78">
        <v>14.999377251</v>
      </c>
      <c r="K78">
        <v>2400</v>
      </c>
      <c r="L78">
        <v>0</v>
      </c>
      <c r="M78">
        <v>0</v>
      </c>
      <c r="N78">
        <v>2400</v>
      </c>
    </row>
    <row r="79" spans="1:14" x14ac:dyDescent="0.25">
      <c r="A79">
        <v>1.2888280000000001</v>
      </c>
      <c r="B79" s="1">
        <f>DATE(2010,5,2) + TIME(6,55,54)</f>
        <v>40300.288819444446</v>
      </c>
      <c r="C79">
        <v>1341.6835937999999</v>
      </c>
      <c r="D79">
        <v>1339.0683594</v>
      </c>
      <c r="E79">
        <v>1321.5067139</v>
      </c>
      <c r="F79">
        <v>1317.5581055</v>
      </c>
      <c r="G79">
        <v>80</v>
      </c>
      <c r="H79">
        <v>72.416030883999994</v>
      </c>
      <c r="I79">
        <v>50</v>
      </c>
      <c r="J79">
        <v>14.999379158</v>
      </c>
      <c r="K79">
        <v>2400</v>
      </c>
      <c r="L79">
        <v>0</v>
      </c>
      <c r="M79">
        <v>0</v>
      </c>
      <c r="N79">
        <v>2400</v>
      </c>
    </row>
    <row r="80" spans="1:14" x14ac:dyDescent="0.25">
      <c r="A80">
        <v>1.305965</v>
      </c>
      <c r="B80" s="1">
        <f>DATE(2010,5,2) + TIME(7,20,35)</f>
        <v>40300.305960648147</v>
      </c>
      <c r="C80">
        <v>1341.7036132999999</v>
      </c>
      <c r="D80">
        <v>1339.0850829999999</v>
      </c>
      <c r="E80">
        <v>1321.5068358999999</v>
      </c>
      <c r="F80">
        <v>1317.5581055</v>
      </c>
      <c r="G80">
        <v>80</v>
      </c>
      <c r="H80">
        <v>72.700630188000005</v>
      </c>
      <c r="I80">
        <v>50</v>
      </c>
      <c r="J80">
        <v>14.999380112000001</v>
      </c>
      <c r="K80">
        <v>2400</v>
      </c>
      <c r="L80">
        <v>0</v>
      </c>
      <c r="M80">
        <v>0</v>
      </c>
      <c r="N80">
        <v>2400</v>
      </c>
    </row>
    <row r="81" spans="1:14" x14ac:dyDescent="0.25">
      <c r="A81">
        <v>1.323102</v>
      </c>
      <c r="B81" s="1">
        <f>DATE(2010,5,2) + TIME(7,45,16)</f>
        <v>40300.323101851849</v>
      </c>
      <c r="C81">
        <v>1341.7231445</v>
      </c>
      <c r="D81">
        <v>1339.1014404</v>
      </c>
      <c r="E81">
        <v>1321.5068358999999</v>
      </c>
      <c r="F81">
        <v>1317.5581055</v>
      </c>
      <c r="G81">
        <v>80</v>
      </c>
      <c r="H81">
        <v>72.975708007999998</v>
      </c>
      <c r="I81">
        <v>50</v>
      </c>
      <c r="J81">
        <v>14.999382019</v>
      </c>
      <c r="K81">
        <v>2400</v>
      </c>
      <c r="L81">
        <v>0</v>
      </c>
      <c r="M81">
        <v>0</v>
      </c>
      <c r="N81">
        <v>2400</v>
      </c>
    </row>
    <row r="82" spans="1:14" x14ac:dyDescent="0.25">
      <c r="A82">
        <v>1.340239</v>
      </c>
      <c r="B82" s="1">
        <f>DATE(2010,5,2) + TIME(8,9,56)</f>
        <v>40300.340231481481</v>
      </c>
      <c r="C82">
        <v>1341.7421875</v>
      </c>
      <c r="D82">
        <v>1339.1171875</v>
      </c>
      <c r="E82">
        <v>1321.5069579999999</v>
      </c>
      <c r="F82">
        <v>1317.5581055</v>
      </c>
      <c r="G82">
        <v>80</v>
      </c>
      <c r="H82">
        <v>73.241493224999999</v>
      </c>
      <c r="I82">
        <v>50</v>
      </c>
      <c r="J82">
        <v>14.999382972999999</v>
      </c>
      <c r="K82">
        <v>2400</v>
      </c>
      <c r="L82">
        <v>0</v>
      </c>
      <c r="M82">
        <v>0</v>
      </c>
      <c r="N82">
        <v>2400</v>
      </c>
    </row>
    <row r="83" spans="1:14" x14ac:dyDescent="0.25">
      <c r="A83">
        <v>1.3573770000000001</v>
      </c>
      <c r="B83" s="1">
        <f>DATE(2010,5,2) + TIME(8,34,37)</f>
        <v>40300.357372685183</v>
      </c>
      <c r="C83">
        <v>1341.7607422000001</v>
      </c>
      <c r="D83">
        <v>1339.1324463000001</v>
      </c>
      <c r="E83">
        <v>1321.5070800999999</v>
      </c>
      <c r="F83">
        <v>1317.5581055</v>
      </c>
      <c r="G83">
        <v>80</v>
      </c>
      <c r="H83">
        <v>73.498222350999995</v>
      </c>
      <c r="I83">
        <v>50</v>
      </c>
      <c r="J83">
        <v>14.999384879999999</v>
      </c>
      <c r="K83">
        <v>2400</v>
      </c>
      <c r="L83">
        <v>0</v>
      </c>
      <c r="M83">
        <v>0</v>
      </c>
      <c r="N83">
        <v>2400</v>
      </c>
    </row>
    <row r="84" spans="1:14" x14ac:dyDescent="0.25">
      <c r="A84">
        <v>1.374514</v>
      </c>
      <c r="B84" s="1">
        <f>DATE(2010,5,2) + TIME(8,59,17)</f>
        <v>40300.374502314815</v>
      </c>
      <c r="C84">
        <v>1341.7788086</v>
      </c>
      <c r="D84">
        <v>1339.1473389</v>
      </c>
      <c r="E84">
        <v>1321.5070800999999</v>
      </c>
      <c r="F84">
        <v>1317.5582274999999</v>
      </c>
      <c r="G84">
        <v>80</v>
      </c>
      <c r="H84">
        <v>73.746131896999998</v>
      </c>
      <c r="I84">
        <v>50</v>
      </c>
      <c r="J84">
        <v>14.999385834</v>
      </c>
      <c r="K84">
        <v>2400</v>
      </c>
      <c r="L84">
        <v>0</v>
      </c>
      <c r="M84">
        <v>0</v>
      </c>
      <c r="N84">
        <v>2400</v>
      </c>
    </row>
    <row r="85" spans="1:14" x14ac:dyDescent="0.25">
      <c r="A85">
        <v>1.391651</v>
      </c>
      <c r="B85" s="1">
        <f>DATE(2010,5,2) + TIME(9,23,58)</f>
        <v>40300.391643518517</v>
      </c>
      <c r="C85">
        <v>1341.7965088000001</v>
      </c>
      <c r="D85">
        <v>1339.1616211</v>
      </c>
      <c r="E85">
        <v>1321.5072021000001</v>
      </c>
      <c r="F85">
        <v>1317.5582274999999</v>
      </c>
      <c r="G85">
        <v>80</v>
      </c>
      <c r="H85">
        <v>73.985458374000004</v>
      </c>
      <c r="I85">
        <v>50</v>
      </c>
      <c r="J85">
        <v>14.999386787000001</v>
      </c>
      <c r="K85">
        <v>2400</v>
      </c>
      <c r="L85">
        <v>0</v>
      </c>
      <c r="M85">
        <v>0</v>
      </c>
      <c r="N85">
        <v>2400</v>
      </c>
    </row>
    <row r="86" spans="1:14" x14ac:dyDescent="0.25">
      <c r="A86">
        <v>1.4087879999999999</v>
      </c>
      <c r="B86" s="1">
        <f>DATE(2010,5,2) + TIME(9,48,39)</f>
        <v>40300.408784722225</v>
      </c>
      <c r="C86">
        <v>1341.8135986</v>
      </c>
      <c r="D86">
        <v>1339.1755370999999</v>
      </c>
      <c r="E86">
        <v>1321.5073242000001</v>
      </c>
      <c r="F86">
        <v>1317.5582274999999</v>
      </c>
      <c r="G86">
        <v>80</v>
      </c>
      <c r="H86">
        <v>74.216438292999996</v>
      </c>
      <c r="I86">
        <v>50</v>
      </c>
      <c r="J86">
        <v>14.999388695</v>
      </c>
      <c r="K86">
        <v>2400</v>
      </c>
      <c r="L86">
        <v>0</v>
      </c>
      <c r="M86">
        <v>0</v>
      </c>
      <c r="N86">
        <v>2400</v>
      </c>
    </row>
    <row r="87" spans="1:14" x14ac:dyDescent="0.25">
      <c r="A87">
        <v>1.425926</v>
      </c>
      <c r="B87" s="1">
        <f>DATE(2010,5,2) + TIME(10,13,19)</f>
        <v>40300.42591435185</v>
      </c>
      <c r="C87">
        <v>1341.8303223</v>
      </c>
      <c r="D87">
        <v>1339.1889647999999</v>
      </c>
      <c r="E87">
        <v>1321.5073242000001</v>
      </c>
      <c r="F87">
        <v>1317.5582274999999</v>
      </c>
      <c r="G87">
        <v>80</v>
      </c>
      <c r="H87">
        <v>74.439300536999994</v>
      </c>
      <c r="I87">
        <v>50</v>
      </c>
      <c r="J87">
        <v>14.999389647999999</v>
      </c>
      <c r="K87">
        <v>2400</v>
      </c>
      <c r="L87">
        <v>0</v>
      </c>
      <c r="M87">
        <v>0</v>
      </c>
      <c r="N87">
        <v>2400</v>
      </c>
    </row>
    <row r="88" spans="1:14" x14ac:dyDescent="0.25">
      <c r="A88">
        <v>1.4601999999999999</v>
      </c>
      <c r="B88" s="1">
        <f>DATE(2010,5,2) + TIME(11,2,41)</f>
        <v>40300.460196759261</v>
      </c>
      <c r="C88">
        <v>1341.8406981999999</v>
      </c>
      <c r="D88">
        <v>1339.2028809000001</v>
      </c>
      <c r="E88">
        <v>1321.5074463000001</v>
      </c>
      <c r="F88">
        <v>1317.5583495999999</v>
      </c>
      <c r="G88">
        <v>80</v>
      </c>
      <c r="H88">
        <v>74.852882385000001</v>
      </c>
      <c r="I88">
        <v>50</v>
      </c>
      <c r="J88">
        <v>14.999392509</v>
      </c>
      <c r="K88">
        <v>2400</v>
      </c>
      <c r="L88">
        <v>0</v>
      </c>
      <c r="M88">
        <v>0</v>
      </c>
      <c r="N88">
        <v>2400</v>
      </c>
    </row>
    <row r="89" spans="1:14" x14ac:dyDescent="0.25">
      <c r="A89">
        <v>1.494605</v>
      </c>
      <c r="B89" s="1">
        <f>DATE(2010,5,2) + TIME(11,52,13)</f>
        <v>40300.49459490741</v>
      </c>
      <c r="C89">
        <v>1341.8717041</v>
      </c>
      <c r="D89">
        <v>1339.2269286999999</v>
      </c>
      <c r="E89">
        <v>1321.5076904</v>
      </c>
      <c r="F89">
        <v>1317.5583495999999</v>
      </c>
      <c r="G89">
        <v>80</v>
      </c>
      <c r="H89">
        <v>75.239097595000004</v>
      </c>
      <c r="I89">
        <v>50</v>
      </c>
      <c r="J89">
        <v>14.99939537</v>
      </c>
      <c r="K89">
        <v>2400</v>
      </c>
      <c r="L89">
        <v>0</v>
      </c>
      <c r="M89">
        <v>0</v>
      </c>
      <c r="N89">
        <v>2400</v>
      </c>
    </row>
    <row r="90" spans="1:14" x14ac:dyDescent="0.25">
      <c r="A90">
        <v>1.5293859999999999</v>
      </c>
      <c r="B90" s="1">
        <f>DATE(2010,5,2) + TIME(12,42,18)</f>
        <v>40300.529374999998</v>
      </c>
      <c r="C90">
        <v>1341.9011230000001</v>
      </c>
      <c r="D90">
        <v>1339.2493896000001</v>
      </c>
      <c r="E90">
        <v>1321.5078125</v>
      </c>
      <c r="F90">
        <v>1317.5584716999999</v>
      </c>
      <c r="G90">
        <v>80</v>
      </c>
      <c r="H90">
        <v>75.601730347</v>
      </c>
      <c r="I90">
        <v>50</v>
      </c>
      <c r="J90">
        <v>14.999397278</v>
      </c>
      <c r="K90">
        <v>2400</v>
      </c>
      <c r="L90">
        <v>0</v>
      </c>
      <c r="M90">
        <v>0</v>
      </c>
      <c r="N90">
        <v>2400</v>
      </c>
    </row>
    <row r="91" spans="1:14" x14ac:dyDescent="0.25">
      <c r="A91">
        <v>1.564594</v>
      </c>
      <c r="B91" s="1">
        <f>DATE(2010,5,2) + TIME(13,33,0)</f>
        <v>40300.564583333333</v>
      </c>
      <c r="C91">
        <v>1341.9291992000001</v>
      </c>
      <c r="D91">
        <v>1339.2706298999999</v>
      </c>
      <c r="E91">
        <v>1321.5079346</v>
      </c>
      <c r="F91">
        <v>1317.5584716999999</v>
      </c>
      <c r="G91">
        <v>80</v>
      </c>
      <c r="H91">
        <v>75.942161560000002</v>
      </c>
      <c r="I91">
        <v>50</v>
      </c>
      <c r="J91">
        <v>14.999400139</v>
      </c>
      <c r="K91">
        <v>2400</v>
      </c>
      <c r="L91">
        <v>0</v>
      </c>
      <c r="M91">
        <v>0</v>
      </c>
      <c r="N91">
        <v>2400</v>
      </c>
    </row>
    <row r="92" spans="1:14" x14ac:dyDescent="0.25">
      <c r="A92">
        <v>1.6002860000000001</v>
      </c>
      <c r="B92" s="1">
        <f>DATE(2010,5,2) + TIME(14,24,24)</f>
        <v>40300.600277777776</v>
      </c>
      <c r="C92">
        <v>1341.9559326000001</v>
      </c>
      <c r="D92">
        <v>1339.2905272999999</v>
      </c>
      <c r="E92">
        <v>1321.5081786999999</v>
      </c>
      <c r="F92">
        <v>1317.5585937999999</v>
      </c>
      <c r="G92">
        <v>80</v>
      </c>
      <c r="H92">
        <v>76.261619568</v>
      </c>
      <c r="I92">
        <v>50</v>
      </c>
      <c r="J92">
        <v>14.999402046</v>
      </c>
      <c r="K92">
        <v>2400</v>
      </c>
      <c r="L92">
        <v>0</v>
      </c>
      <c r="M92">
        <v>0</v>
      </c>
      <c r="N92">
        <v>2400</v>
      </c>
    </row>
    <row r="93" spans="1:14" x14ac:dyDescent="0.25">
      <c r="A93">
        <v>1.6365229999999999</v>
      </c>
      <c r="B93" s="1">
        <f>DATE(2010,5,2) + TIME(15,16,35)</f>
        <v>40300.636516203704</v>
      </c>
      <c r="C93">
        <v>1341.9814452999999</v>
      </c>
      <c r="D93">
        <v>1339.3092041</v>
      </c>
      <c r="E93">
        <v>1321.5083007999999</v>
      </c>
      <c r="F93">
        <v>1317.5585937999999</v>
      </c>
      <c r="G93">
        <v>80</v>
      </c>
      <c r="H93">
        <v>76.561233521000005</v>
      </c>
      <c r="I93">
        <v>50</v>
      </c>
      <c r="J93">
        <v>14.999404907000001</v>
      </c>
      <c r="K93">
        <v>2400</v>
      </c>
      <c r="L93">
        <v>0</v>
      </c>
      <c r="M93">
        <v>0</v>
      </c>
      <c r="N93">
        <v>2400</v>
      </c>
    </row>
    <row r="94" spans="1:14" x14ac:dyDescent="0.25">
      <c r="A94">
        <v>1.6733659999999999</v>
      </c>
      <c r="B94" s="1">
        <f>DATE(2010,5,2) + TIME(16,9,38)</f>
        <v>40300.673356481479</v>
      </c>
      <c r="C94">
        <v>1342.0057373</v>
      </c>
      <c r="D94">
        <v>1339.3267822</v>
      </c>
      <c r="E94">
        <v>1321.5084228999999</v>
      </c>
      <c r="F94">
        <v>1317.5587158000001</v>
      </c>
      <c r="G94">
        <v>80</v>
      </c>
      <c r="H94">
        <v>76.842048645000006</v>
      </c>
      <c r="I94">
        <v>50</v>
      </c>
      <c r="J94">
        <v>14.999406815</v>
      </c>
      <c r="K94">
        <v>2400</v>
      </c>
      <c r="L94">
        <v>0</v>
      </c>
      <c r="M94">
        <v>0</v>
      </c>
      <c r="N94">
        <v>2400</v>
      </c>
    </row>
    <row r="95" spans="1:14" x14ac:dyDescent="0.25">
      <c r="A95">
        <v>1.7108810000000001</v>
      </c>
      <c r="B95" s="1">
        <f>DATE(2010,5,2) + TIME(17,3,40)</f>
        <v>40300.710879629631</v>
      </c>
      <c r="C95">
        <v>1342.0289307</v>
      </c>
      <c r="D95">
        <v>1339.3430175999999</v>
      </c>
      <c r="E95">
        <v>1321.5085449000001</v>
      </c>
      <c r="F95">
        <v>1317.5587158000001</v>
      </c>
      <c r="G95">
        <v>80</v>
      </c>
      <c r="H95">
        <v>77.105056762999993</v>
      </c>
      <c r="I95">
        <v>50</v>
      </c>
      <c r="J95">
        <v>14.999409676000001</v>
      </c>
      <c r="K95">
        <v>2400</v>
      </c>
      <c r="L95">
        <v>0</v>
      </c>
      <c r="M95">
        <v>0</v>
      </c>
      <c r="N95">
        <v>2400</v>
      </c>
    </row>
    <row r="96" spans="1:14" x14ac:dyDescent="0.25">
      <c r="A96">
        <v>1.7491460000000001</v>
      </c>
      <c r="B96" s="1">
        <f>DATE(2010,5,2) + TIME(17,58,46)</f>
        <v>40300.749143518522</v>
      </c>
      <c r="C96">
        <v>1342.0509033000001</v>
      </c>
      <c r="D96">
        <v>1339.3582764</v>
      </c>
      <c r="E96">
        <v>1321.5087891000001</v>
      </c>
      <c r="F96">
        <v>1317.5588379000001</v>
      </c>
      <c r="G96">
        <v>80</v>
      </c>
      <c r="H96">
        <v>77.351219177000004</v>
      </c>
      <c r="I96">
        <v>50</v>
      </c>
      <c r="J96">
        <v>14.999411583000001</v>
      </c>
      <c r="K96">
        <v>2400</v>
      </c>
      <c r="L96">
        <v>0</v>
      </c>
      <c r="M96">
        <v>0</v>
      </c>
      <c r="N96">
        <v>2400</v>
      </c>
    </row>
    <row r="97" spans="1:14" x14ac:dyDescent="0.25">
      <c r="A97">
        <v>1.7882389999999999</v>
      </c>
      <c r="B97" s="1">
        <f>DATE(2010,5,2) + TIME(18,55,3)</f>
        <v>40300.788229166668</v>
      </c>
      <c r="C97">
        <v>1342.0716553</v>
      </c>
      <c r="D97">
        <v>1339.3724365</v>
      </c>
      <c r="E97">
        <v>1321.5089111</v>
      </c>
      <c r="F97">
        <v>1317.5588379000001</v>
      </c>
      <c r="G97">
        <v>80</v>
      </c>
      <c r="H97">
        <v>77.581398010000001</v>
      </c>
      <c r="I97">
        <v>50</v>
      </c>
      <c r="J97">
        <v>14.999414443999999</v>
      </c>
      <c r="K97">
        <v>2400</v>
      </c>
      <c r="L97">
        <v>0</v>
      </c>
      <c r="M97">
        <v>0</v>
      </c>
      <c r="N97">
        <v>2400</v>
      </c>
    </row>
    <row r="98" spans="1:14" x14ac:dyDescent="0.25">
      <c r="A98">
        <v>1.8282309999999999</v>
      </c>
      <c r="B98" s="1">
        <f>DATE(2010,5,2) + TIME(19,52,39)</f>
        <v>40300.828229166669</v>
      </c>
      <c r="C98">
        <v>1342.0914307</v>
      </c>
      <c r="D98">
        <v>1339.3854980000001</v>
      </c>
      <c r="E98">
        <v>1321.5090332</v>
      </c>
      <c r="F98">
        <v>1317.5589600000001</v>
      </c>
      <c r="G98">
        <v>80</v>
      </c>
      <c r="H98">
        <v>77.796333313000005</v>
      </c>
      <c r="I98">
        <v>50</v>
      </c>
      <c r="J98">
        <v>14.999416351000001</v>
      </c>
      <c r="K98">
        <v>2400</v>
      </c>
      <c r="L98">
        <v>0</v>
      </c>
      <c r="M98">
        <v>0</v>
      </c>
      <c r="N98">
        <v>2400</v>
      </c>
    </row>
    <row r="99" spans="1:14" x14ac:dyDescent="0.25">
      <c r="A99">
        <v>1.86921</v>
      </c>
      <c r="B99" s="1">
        <f>DATE(2010,5,2) + TIME(20,51,39)</f>
        <v>40300.869201388887</v>
      </c>
      <c r="C99">
        <v>1342.1099853999999</v>
      </c>
      <c r="D99">
        <v>1339.3974608999999</v>
      </c>
      <c r="E99">
        <v>1321.5092772999999</v>
      </c>
      <c r="F99">
        <v>1317.559082</v>
      </c>
      <c r="G99">
        <v>80</v>
      </c>
      <c r="H99">
        <v>77.996795653999996</v>
      </c>
      <c r="I99">
        <v>50</v>
      </c>
      <c r="J99">
        <v>14.999419211999999</v>
      </c>
      <c r="K99">
        <v>2400</v>
      </c>
      <c r="L99">
        <v>0</v>
      </c>
      <c r="M99">
        <v>0</v>
      </c>
      <c r="N99">
        <v>2400</v>
      </c>
    </row>
    <row r="100" spans="1:14" x14ac:dyDescent="0.25">
      <c r="A100">
        <v>1.9112720000000001</v>
      </c>
      <c r="B100" s="1">
        <f>DATE(2010,5,2) + TIME(21,52,13)</f>
        <v>40300.911261574074</v>
      </c>
      <c r="C100">
        <v>1342.1275635</v>
      </c>
      <c r="D100">
        <v>1339.4084473</v>
      </c>
      <c r="E100">
        <v>1321.5093993999999</v>
      </c>
      <c r="F100">
        <v>1317.559082</v>
      </c>
      <c r="G100">
        <v>80</v>
      </c>
      <c r="H100">
        <v>78.183502196999996</v>
      </c>
      <c r="I100">
        <v>50</v>
      </c>
      <c r="J100">
        <v>14.999421119999999</v>
      </c>
      <c r="K100">
        <v>2400</v>
      </c>
      <c r="L100">
        <v>0</v>
      </c>
      <c r="M100">
        <v>0</v>
      </c>
      <c r="N100">
        <v>2400</v>
      </c>
    </row>
    <row r="101" spans="1:14" x14ac:dyDescent="0.25">
      <c r="A101">
        <v>1.95452</v>
      </c>
      <c r="B101" s="1">
        <f>DATE(2010,5,2) + TIME(22,54,30)</f>
        <v>40300.954513888886</v>
      </c>
      <c r="C101">
        <v>1342.1441649999999</v>
      </c>
      <c r="D101">
        <v>1339.418457</v>
      </c>
      <c r="E101">
        <v>1321.5095214999999</v>
      </c>
      <c r="F101">
        <v>1317.5592041</v>
      </c>
      <c r="G101">
        <v>80</v>
      </c>
      <c r="H101">
        <v>78.357124329000001</v>
      </c>
      <c r="I101">
        <v>50</v>
      </c>
      <c r="J101">
        <v>14.999423981</v>
      </c>
      <c r="K101">
        <v>2400</v>
      </c>
      <c r="L101">
        <v>0</v>
      </c>
      <c r="M101">
        <v>0</v>
      </c>
      <c r="N101">
        <v>2400</v>
      </c>
    </row>
    <row r="102" spans="1:14" x14ac:dyDescent="0.25">
      <c r="A102">
        <v>1.9990810000000001</v>
      </c>
      <c r="B102" s="1">
        <f>DATE(2010,5,2) + TIME(23,58,40)</f>
        <v>40300.999074074076</v>
      </c>
      <c r="C102">
        <v>1342.1595459</v>
      </c>
      <c r="D102">
        <v>1339.4273682</v>
      </c>
      <c r="E102">
        <v>1321.5096435999999</v>
      </c>
      <c r="F102">
        <v>1317.5592041</v>
      </c>
      <c r="G102">
        <v>80</v>
      </c>
      <c r="H102">
        <v>78.518333435000002</v>
      </c>
      <c r="I102">
        <v>50</v>
      </c>
      <c r="J102">
        <v>14.999425887999999</v>
      </c>
      <c r="K102">
        <v>2400</v>
      </c>
      <c r="L102">
        <v>0</v>
      </c>
      <c r="M102">
        <v>0</v>
      </c>
      <c r="N102">
        <v>2400</v>
      </c>
    </row>
    <row r="103" spans="1:14" x14ac:dyDescent="0.25">
      <c r="A103">
        <v>2.0450870000000001</v>
      </c>
      <c r="B103" s="1">
        <f>DATE(2010,5,3) + TIME(1,4,55)</f>
        <v>40301.045081018521</v>
      </c>
      <c r="C103">
        <v>1342.1739502</v>
      </c>
      <c r="D103">
        <v>1339.4354248</v>
      </c>
      <c r="E103">
        <v>1321.5098877</v>
      </c>
      <c r="F103">
        <v>1317.5593262</v>
      </c>
      <c r="G103">
        <v>80</v>
      </c>
      <c r="H103">
        <v>78.667762756000002</v>
      </c>
      <c r="I103">
        <v>50</v>
      </c>
      <c r="J103">
        <v>14.999428749</v>
      </c>
      <c r="K103">
        <v>2400</v>
      </c>
      <c r="L103">
        <v>0</v>
      </c>
      <c r="M103">
        <v>0</v>
      </c>
      <c r="N103">
        <v>2400</v>
      </c>
    </row>
    <row r="104" spans="1:14" x14ac:dyDescent="0.25">
      <c r="A104">
        <v>2.092657</v>
      </c>
      <c r="B104" s="1">
        <f>DATE(2010,5,3) + TIME(2,13,25)</f>
        <v>40301.092650462961</v>
      </c>
      <c r="C104">
        <v>1342.1873779</v>
      </c>
      <c r="D104">
        <v>1339.4423827999999</v>
      </c>
      <c r="E104">
        <v>1321.5100098</v>
      </c>
      <c r="F104">
        <v>1317.5594481999999</v>
      </c>
      <c r="G104">
        <v>80</v>
      </c>
      <c r="H104">
        <v>78.805900574000006</v>
      </c>
      <c r="I104">
        <v>50</v>
      </c>
      <c r="J104">
        <v>14.999430655999999</v>
      </c>
      <c r="K104">
        <v>2400</v>
      </c>
      <c r="L104">
        <v>0</v>
      </c>
      <c r="M104">
        <v>0</v>
      </c>
      <c r="N104">
        <v>2400</v>
      </c>
    </row>
    <row r="105" spans="1:14" x14ac:dyDescent="0.25">
      <c r="A105">
        <v>2.1415899999999999</v>
      </c>
      <c r="B105" s="1">
        <f>DATE(2010,5,3) + TIME(3,23,53)</f>
        <v>40301.141585648147</v>
      </c>
      <c r="C105">
        <v>1342.1998291</v>
      </c>
      <c r="D105">
        <v>1339.4484863</v>
      </c>
      <c r="E105">
        <v>1321.5101318</v>
      </c>
      <c r="F105">
        <v>1317.5594481999999</v>
      </c>
      <c r="G105">
        <v>80</v>
      </c>
      <c r="H105">
        <v>78.932495117000002</v>
      </c>
      <c r="I105">
        <v>50</v>
      </c>
      <c r="J105">
        <v>14.999433517</v>
      </c>
      <c r="K105">
        <v>2400</v>
      </c>
      <c r="L105">
        <v>0</v>
      </c>
      <c r="M105">
        <v>0</v>
      </c>
      <c r="N105">
        <v>2400</v>
      </c>
    </row>
    <row r="106" spans="1:14" x14ac:dyDescent="0.25">
      <c r="A106">
        <v>2.192008</v>
      </c>
      <c r="B106" s="1">
        <f>DATE(2010,5,3) + TIME(4,36,29)</f>
        <v>40301.192002314812</v>
      </c>
      <c r="C106">
        <v>1342.2110596</v>
      </c>
      <c r="D106">
        <v>1339.4534911999999</v>
      </c>
      <c r="E106">
        <v>1321.510376</v>
      </c>
      <c r="F106">
        <v>1317.5595702999999</v>
      </c>
      <c r="G106">
        <v>80</v>
      </c>
      <c r="H106">
        <v>79.048248290999993</v>
      </c>
      <c r="I106">
        <v>50</v>
      </c>
      <c r="J106">
        <v>14.999436378</v>
      </c>
      <c r="K106">
        <v>2400</v>
      </c>
      <c r="L106">
        <v>0</v>
      </c>
      <c r="M106">
        <v>0</v>
      </c>
      <c r="N106">
        <v>2400</v>
      </c>
    </row>
    <row r="107" spans="1:14" x14ac:dyDescent="0.25">
      <c r="A107">
        <v>2.2439840000000002</v>
      </c>
      <c r="B107" s="1">
        <f>DATE(2010,5,3) + TIME(5,51,20)</f>
        <v>40301.243981481479</v>
      </c>
      <c r="C107">
        <v>1342.2211914</v>
      </c>
      <c r="D107">
        <v>1339.4575195</v>
      </c>
      <c r="E107">
        <v>1321.5104980000001</v>
      </c>
      <c r="F107">
        <v>1317.5596923999999</v>
      </c>
      <c r="G107">
        <v>80</v>
      </c>
      <c r="H107">
        <v>79.153717040999993</v>
      </c>
      <c r="I107">
        <v>50</v>
      </c>
      <c r="J107">
        <v>14.999438286</v>
      </c>
      <c r="K107">
        <v>2400</v>
      </c>
      <c r="L107">
        <v>0</v>
      </c>
      <c r="M107">
        <v>0</v>
      </c>
      <c r="N107">
        <v>2400</v>
      </c>
    </row>
    <row r="108" spans="1:14" x14ac:dyDescent="0.25">
      <c r="A108">
        <v>2.2976679999999998</v>
      </c>
      <c r="B108" s="1">
        <f>DATE(2010,5,3) + TIME(7,8,38)</f>
        <v>40301.297662037039</v>
      </c>
      <c r="C108">
        <v>1342.2302245999999</v>
      </c>
      <c r="D108">
        <v>1339.4605713000001</v>
      </c>
      <c r="E108">
        <v>1321.5106201000001</v>
      </c>
      <c r="F108">
        <v>1317.5596923999999</v>
      </c>
      <c r="G108">
        <v>80</v>
      </c>
      <c r="H108">
        <v>79.249595642000003</v>
      </c>
      <c r="I108">
        <v>50</v>
      </c>
      <c r="J108">
        <v>14.999441147000001</v>
      </c>
      <c r="K108">
        <v>2400</v>
      </c>
      <c r="L108">
        <v>0</v>
      </c>
      <c r="M108">
        <v>0</v>
      </c>
      <c r="N108">
        <v>2400</v>
      </c>
    </row>
    <row r="109" spans="1:14" x14ac:dyDescent="0.25">
      <c r="A109">
        <v>2.353227</v>
      </c>
      <c r="B109" s="1">
        <f>DATE(2010,5,3) + TIME(8,28,38)</f>
        <v>40301.353217592594</v>
      </c>
      <c r="C109">
        <v>1342.2380370999999</v>
      </c>
      <c r="D109">
        <v>1339.4625243999999</v>
      </c>
      <c r="E109">
        <v>1321.5108643000001</v>
      </c>
      <c r="F109">
        <v>1317.5598144999999</v>
      </c>
      <c r="G109">
        <v>80</v>
      </c>
      <c r="H109">
        <v>79.336517334000007</v>
      </c>
      <c r="I109">
        <v>50</v>
      </c>
      <c r="J109">
        <v>14.999443054</v>
      </c>
      <c r="K109">
        <v>2400</v>
      </c>
      <c r="L109">
        <v>0</v>
      </c>
      <c r="M109">
        <v>0</v>
      </c>
      <c r="N109">
        <v>2400</v>
      </c>
    </row>
    <row r="110" spans="1:14" x14ac:dyDescent="0.25">
      <c r="A110">
        <v>2.4108670000000001</v>
      </c>
      <c r="B110" s="1">
        <f>DATE(2010,5,3) + TIME(9,51,38)</f>
        <v>40301.410856481481</v>
      </c>
      <c r="C110">
        <v>1342.244751</v>
      </c>
      <c r="D110">
        <v>1339.463501</v>
      </c>
      <c r="E110">
        <v>1321.5109863</v>
      </c>
      <c r="F110">
        <v>1317.5599365</v>
      </c>
      <c r="G110">
        <v>80</v>
      </c>
      <c r="H110">
        <v>79.415115356000001</v>
      </c>
      <c r="I110">
        <v>50</v>
      </c>
      <c r="J110">
        <v>14.999445915000001</v>
      </c>
      <c r="K110">
        <v>2400</v>
      </c>
      <c r="L110">
        <v>0</v>
      </c>
      <c r="M110">
        <v>0</v>
      </c>
      <c r="N110">
        <v>2400</v>
      </c>
    </row>
    <row r="111" spans="1:14" x14ac:dyDescent="0.25">
      <c r="A111">
        <v>2.4405899999999998</v>
      </c>
      <c r="B111" s="1">
        <f>DATE(2010,5,3) + TIME(10,34,26)</f>
        <v>40301.440578703703</v>
      </c>
      <c r="C111">
        <v>1342.2520752</v>
      </c>
      <c r="D111">
        <v>1339.4633789</v>
      </c>
      <c r="E111">
        <v>1321.5111084</v>
      </c>
      <c r="F111">
        <v>1317.5599365</v>
      </c>
      <c r="G111">
        <v>80</v>
      </c>
      <c r="H111">
        <v>79.452842712000006</v>
      </c>
      <c r="I111">
        <v>50</v>
      </c>
      <c r="J111">
        <v>14.999446869</v>
      </c>
      <c r="K111">
        <v>2400</v>
      </c>
      <c r="L111">
        <v>0</v>
      </c>
      <c r="M111">
        <v>0</v>
      </c>
      <c r="N111">
        <v>2400</v>
      </c>
    </row>
    <row r="112" spans="1:14" x14ac:dyDescent="0.25">
      <c r="A112">
        <v>2.470313</v>
      </c>
      <c r="B112" s="1">
        <f>DATE(2010,5,3) + TIME(11,17,15)</f>
        <v>40301.470312500001</v>
      </c>
      <c r="C112">
        <v>1342.2546387</v>
      </c>
      <c r="D112">
        <v>1339.4632568</v>
      </c>
      <c r="E112">
        <v>1321.5112305</v>
      </c>
      <c r="F112">
        <v>1317.5599365</v>
      </c>
      <c r="G112">
        <v>80</v>
      </c>
      <c r="H112">
        <v>79.487892150999997</v>
      </c>
      <c r="I112">
        <v>50</v>
      </c>
      <c r="J112">
        <v>14.999448775999999</v>
      </c>
      <c r="K112">
        <v>2400</v>
      </c>
      <c r="L112">
        <v>0</v>
      </c>
      <c r="M112">
        <v>0</v>
      </c>
      <c r="N112">
        <v>2400</v>
      </c>
    </row>
    <row r="113" spans="1:14" x14ac:dyDescent="0.25">
      <c r="A113">
        <v>2.5000360000000001</v>
      </c>
      <c r="B113" s="1">
        <f>DATE(2010,5,3) + TIME(12,0,3)</f>
        <v>40301.500034722223</v>
      </c>
      <c r="C113">
        <v>1342.2569579999999</v>
      </c>
      <c r="D113">
        <v>1339.4627685999999</v>
      </c>
      <c r="E113">
        <v>1321.5112305</v>
      </c>
      <c r="F113">
        <v>1317.5600586</v>
      </c>
      <c r="G113">
        <v>80</v>
      </c>
      <c r="H113">
        <v>79.520446777000004</v>
      </c>
      <c r="I113">
        <v>50</v>
      </c>
      <c r="J113">
        <v>14.99944973</v>
      </c>
      <c r="K113">
        <v>2400</v>
      </c>
      <c r="L113">
        <v>0</v>
      </c>
      <c r="M113">
        <v>0</v>
      </c>
      <c r="N113">
        <v>2400</v>
      </c>
    </row>
    <row r="114" spans="1:14" x14ac:dyDescent="0.25">
      <c r="A114">
        <v>2.5297580000000002</v>
      </c>
      <c r="B114" s="1">
        <f>DATE(2010,5,3) + TIME(12,42,51)</f>
        <v>40301.529756944445</v>
      </c>
      <c r="C114">
        <v>1342.2589111</v>
      </c>
      <c r="D114">
        <v>1339.4621582</v>
      </c>
      <c r="E114">
        <v>1321.5113524999999</v>
      </c>
      <c r="F114">
        <v>1317.5600586</v>
      </c>
      <c r="G114">
        <v>80</v>
      </c>
      <c r="H114">
        <v>79.550682068</v>
      </c>
      <c r="I114">
        <v>50</v>
      </c>
      <c r="J114">
        <v>14.999450683999999</v>
      </c>
      <c r="K114">
        <v>2400</v>
      </c>
      <c r="L114">
        <v>0</v>
      </c>
      <c r="M114">
        <v>0</v>
      </c>
      <c r="N114">
        <v>2400</v>
      </c>
    </row>
    <row r="115" spans="1:14" x14ac:dyDescent="0.25">
      <c r="A115">
        <v>2.5594809999999999</v>
      </c>
      <c r="B115" s="1">
        <f>DATE(2010,5,3) + TIME(13,25,39)</f>
        <v>40301.559479166666</v>
      </c>
      <c r="C115">
        <v>1342.2604980000001</v>
      </c>
      <c r="D115">
        <v>1339.4613036999999</v>
      </c>
      <c r="E115">
        <v>1321.5114745999999</v>
      </c>
      <c r="F115">
        <v>1317.5600586</v>
      </c>
      <c r="G115">
        <v>80</v>
      </c>
      <c r="H115">
        <v>79.578765868999994</v>
      </c>
      <c r="I115">
        <v>50</v>
      </c>
      <c r="J115">
        <v>14.999452591000001</v>
      </c>
      <c r="K115">
        <v>2400</v>
      </c>
      <c r="L115">
        <v>0</v>
      </c>
      <c r="M115">
        <v>0</v>
      </c>
      <c r="N115">
        <v>2400</v>
      </c>
    </row>
    <row r="116" spans="1:14" x14ac:dyDescent="0.25">
      <c r="A116">
        <v>2.5892040000000001</v>
      </c>
      <c r="B116" s="1">
        <f>DATE(2010,5,3) + TIME(14,8,27)</f>
        <v>40301.589201388888</v>
      </c>
      <c r="C116">
        <v>1342.2618408000001</v>
      </c>
      <c r="D116">
        <v>1339.4602050999999</v>
      </c>
      <c r="E116">
        <v>1321.5114745999999</v>
      </c>
      <c r="F116">
        <v>1317.5601807</v>
      </c>
      <c r="G116">
        <v>80</v>
      </c>
      <c r="H116">
        <v>79.604850768999995</v>
      </c>
      <c r="I116">
        <v>50</v>
      </c>
      <c r="J116">
        <v>14.999453545</v>
      </c>
      <c r="K116">
        <v>2400</v>
      </c>
      <c r="L116">
        <v>0</v>
      </c>
      <c r="M116">
        <v>0</v>
      </c>
      <c r="N116">
        <v>2400</v>
      </c>
    </row>
    <row r="117" spans="1:14" x14ac:dyDescent="0.25">
      <c r="A117">
        <v>2.6486489999999998</v>
      </c>
      <c r="B117" s="1">
        <f>DATE(2010,5,3) + TIME(15,34,3)</f>
        <v>40301.648645833331</v>
      </c>
      <c r="C117">
        <v>1342.2615966999999</v>
      </c>
      <c r="D117">
        <v>1339.4591064000001</v>
      </c>
      <c r="E117">
        <v>1321.5115966999999</v>
      </c>
      <c r="F117">
        <v>1317.5601807</v>
      </c>
      <c r="G117">
        <v>80</v>
      </c>
      <c r="H117">
        <v>79.650009155000006</v>
      </c>
      <c r="I117">
        <v>50</v>
      </c>
      <c r="J117">
        <v>14.999455451999999</v>
      </c>
      <c r="K117">
        <v>2400</v>
      </c>
      <c r="L117">
        <v>0</v>
      </c>
      <c r="M117">
        <v>0</v>
      </c>
      <c r="N117">
        <v>2400</v>
      </c>
    </row>
    <row r="118" spans="1:14" x14ac:dyDescent="0.25">
      <c r="A118">
        <v>2.7081360000000001</v>
      </c>
      <c r="B118" s="1">
        <f>DATE(2010,5,3) + TIME(16,59,42)</f>
        <v>40301.708124999997</v>
      </c>
      <c r="C118">
        <v>1342.2628173999999</v>
      </c>
      <c r="D118">
        <v>1339.4558105000001</v>
      </c>
      <c r="E118">
        <v>1321.5117187999999</v>
      </c>
      <c r="F118">
        <v>1317.5603027</v>
      </c>
      <c r="G118">
        <v>80</v>
      </c>
      <c r="H118">
        <v>79.689193725999999</v>
      </c>
      <c r="I118">
        <v>50</v>
      </c>
      <c r="J118">
        <v>14.999458313</v>
      </c>
      <c r="K118">
        <v>2400</v>
      </c>
      <c r="L118">
        <v>0</v>
      </c>
      <c r="M118">
        <v>0</v>
      </c>
      <c r="N118">
        <v>2400</v>
      </c>
    </row>
    <row r="119" spans="1:14" x14ac:dyDescent="0.25">
      <c r="A119">
        <v>2.7678579999999999</v>
      </c>
      <c r="B119" s="1">
        <f>DATE(2010,5,3) + TIME(18,25,42)</f>
        <v>40301.767847222225</v>
      </c>
      <c r="C119">
        <v>1342.2630615</v>
      </c>
      <c r="D119">
        <v>1339.4519043</v>
      </c>
      <c r="E119">
        <v>1321.5119629000001</v>
      </c>
      <c r="F119">
        <v>1317.5604248</v>
      </c>
      <c r="G119">
        <v>80</v>
      </c>
      <c r="H119">
        <v>79.723274231000005</v>
      </c>
      <c r="I119">
        <v>50</v>
      </c>
      <c r="J119">
        <v>14.99946022</v>
      </c>
      <c r="K119">
        <v>2400</v>
      </c>
      <c r="L119">
        <v>0</v>
      </c>
      <c r="M119">
        <v>0</v>
      </c>
      <c r="N119">
        <v>2400</v>
      </c>
    </row>
    <row r="120" spans="1:14" x14ac:dyDescent="0.25">
      <c r="A120">
        <v>2.8277679999999998</v>
      </c>
      <c r="B120" s="1">
        <f>DATE(2010,5,3) + TIME(19,51,59)</f>
        <v>40301.827766203707</v>
      </c>
      <c r="C120">
        <v>1342.2624512</v>
      </c>
      <c r="D120">
        <v>1339.4473877</v>
      </c>
      <c r="E120">
        <v>1321.5120850000001</v>
      </c>
      <c r="F120">
        <v>1317.5604248</v>
      </c>
      <c r="G120">
        <v>80</v>
      </c>
      <c r="H120">
        <v>79.752883910999998</v>
      </c>
      <c r="I120">
        <v>50</v>
      </c>
      <c r="J120">
        <v>14.999462127999999</v>
      </c>
      <c r="K120">
        <v>2400</v>
      </c>
      <c r="L120">
        <v>0</v>
      </c>
      <c r="M120">
        <v>0</v>
      </c>
      <c r="N120">
        <v>2400</v>
      </c>
    </row>
    <row r="121" spans="1:14" x14ac:dyDescent="0.25">
      <c r="A121">
        <v>2.8879480000000002</v>
      </c>
      <c r="B121" s="1">
        <f>DATE(2010,5,3) + TIME(21,18,38)</f>
        <v>40301.887939814813</v>
      </c>
      <c r="C121">
        <v>1342.2597656</v>
      </c>
      <c r="D121">
        <v>1339.4415283000001</v>
      </c>
      <c r="E121">
        <v>1321.512207</v>
      </c>
      <c r="F121">
        <v>1317.5605469</v>
      </c>
      <c r="G121">
        <v>80</v>
      </c>
      <c r="H121">
        <v>79.778633118000002</v>
      </c>
      <c r="I121">
        <v>50</v>
      </c>
      <c r="J121">
        <v>14.999464035000001</v>
      </c>
      <c r="K121">
        <v>2400</v>
      </c>
      <c r="L121">
        <v>0</v>
      </c>
      <c r="M121">
        <v>0</v>
      </c>
      <c r="N121">
        <v>2400</v>
      </c>
    </row>
    <row r="122" spans="1:14" x14ac:dyDescent="0.25">
      <c r="A122">
        <v>2.9485109999999999</v>
      </c>
      <c r="B122" s="1">
        <f>DATE(2010,5,3) + TIME(22,45,51)</f>
        <v>40301.948506944442</v>
      </c>
      <c r="C122">
        <v>1342.2562256000001</v>
      </c>
      <c r="D122">
        <v>1339.4348144999999</v>
      </c>
      <c r="E122">
        <v>1321.5123291</v>
      </c>
      <c r="F122">
        <v>1317.5606689000001</v>
      </c>
      <c r="G122">
        <v>80</v>
      </c>
      <c r="H122">
        <v>79.801040649000001</v>
      </c>
      <c r="I122">
        <v>50</v>
      </c>
      <c r="J122">
        <v>14.999466895999999</v>
      </c>
      <c r="K122">
        <v>2400</v>
      </c>
      <c r="L122">
        <v>0</v>
      </c>
      <c r="M122">
        <v>0</v>
      </c>
      <c r="N122">
        <v>2400</v>
      </c>
    </row>
    <row r="123" spans="1:14" x14ac:dyDescent="0.25">
      <c r="A123">
        <v>3.0095510000000001</v>
      </c>
      <c r="B123" s="1">
        <f>DATE(2010,5,4) + TIME(0,13,45)</f>
        <v>40302.009548611109</v>
      </c>
      <c r="C123">
        <v>1342.2519531</v>
      </c>
      <c r="D123">
        <v>1339.4278564000001</v>
      </c>
      <c r="E123">
        <v>1321.5124512</v>
      </c>
      <c r="F123">
        <v>1317.5607910000001</v>
      </c>
      <c r="G123">
        <v>80</v>
      </c>
      <c r="H123">
        <v>79.820556640999996</v>
      </c>
      <c r="I123">
        <v>50</v>
      </c>
      <c r="J123">
        <v>14.999468802999999</v>
      </c>
      <c r="K123">
        <v>2400</v>
      </c>
      <c r="L123">
        <v>0</v>
      </c>
      <c r="M123">
        <v>0</v>
      </c>
      <c r="N123">
        <v>2400</v>
      </c>
    </row>
    <row r="124" spans="1:14" x14ac:dyDescent="0.25">
      <c r="A124">
        <v>3.0711599999999999</v>
      </c>
      <c r="B124" s="1">
        <f>DATE(2010,5,4) + TIME(1,42,28)</f>
        <v>40302.071157407408</v>
      </c>
      <c r="C124">
        <v>1342.2473144999999</v>
      </c>
      <c r="D124">
        <v>1339.4206543</v>
      </c>
      <c r="E124">
        <v>1321.5125731999999</v>
      </c>
      <c r="F124">
        <v>1317.5607910000001</v>
      </c>
      <c r="G124">
        <v>80</v>
      </c>
      <c r="H124">
        <v>79.837562560999999</v>
      </c>
      <c r="I124">
        <v>50</v>
      </c>
      <c r="J124">
        <v>14.999470711000001</v>
      </c>
      <c r="K124">
        <v>2400</v>
      </c>
      <c r="L124">
        <v>0</v>
      </c>
      <c r="M124">
        <v>0</v>
      </c>
      <c r="N124">
        <v>2400</v>
      </c>
    </row>
    <row r="125" spans="1:14" x14ac:dyDescent="0.25">
      <c r="A125">
        <v>3.133432</v>
      </c>
      <c r="B125" s="1">
        <f>DATE(2010,5,4) + TIME(3,12,8)</f>
        <v>40302.133425925924</v>
      </c>
      <c r="C125">
        <v>1342.2420654</v>
      </c>
      <c r="D125">
        <v>1339.4130858999999</v>
      </c>
      <c r="E125">
        <v>1321.5128173999999</v>
      </c>
      <c r="F125">
        <v>1317.5609131000001</v>
      </c>
      <c r="G125">
        <v>80</v>
      </c>
      <c r="H125">
        <v>79.852378845000004</v>
      </c>
      <c r="I125">
        <v>50</v>
      </c>
      <c r="J125">
        <v>14.999472618</v>
      </c>
      <c r="K125">
        <v>2400</v>
      </c>
      <c r="L125">
        <v>0</v>
      </c>
      <c r="M125">
        <v>0</v>
      </c>
      <c r="N125">
        <v>2400</v>
      </c>
    </row>
    <row r="126" spans="1:14" x14ac:dyDescent="0.25">
      <c r="A126">
        <v>3.1964640000000002</v>
      </c>
      <c r="B126" s="1">
        <f>DATE(2010,5,4) + TIME(4,42,54)</f>
        <v>40302.196458333332</v>
      </c>
      <c r="C126">
        <v>1342.2364502</v>
      </c>
      <c r="D126">
        <v>1339.4052733999999</v>
      </c>
      <c r="E126">
        <v>1321.5129394999999</v>
      </c>
      <c r="F126">
        <v>1317.5610352000001</v>
      </c>
      <c r="G126">
        <v>80</v>
      </c>
      <c r="H126">
        <v>79.865295410000002</v>
      </c>
      <c r="I126">
        <v>50</v>
      </c>
      <c r="J126">
        <v>14.999474525</v>
      </c>
      <c r="K126">
        <v>2400</v>
      </c>
      <c r="L126">
        <v>0</v>
      </c>
      <c r="M126">
        <v>0</v>
      </c>
      <c r="N126">
        <v>2400</v>
      </c>
    </row>
    <row r="127" spans="1:14" x14ac:dyDescent="0.25">
      <c r="A127">
        <v>3.2603520000000001</v>
      </c>
      <c r="B127" s="1">
        <f>DATE(2010,5,4) + TIME(6,14,54)</f>
        <v>40302.260347222225</v>
      </c>
      <c r="C127">
        <v>1342.2304687999999</v>
      </c>
      <c r="D127">
        <v>1339.3972168</v>
      </c>
      <c r="E127">
        <v>1321.5130615</v>
      </c>
      <c r="F127">
        <v>1317.5610352000001</v>
      </c>
      <c r="G127">
        <v>80</v>
      </c>
      <c r="H127">
        <v>79.876548767000003</v>
      </c>
      <c r="I127">
        <v>50</v>
      </c>
      <c r="J127">
        <v>14.999476433</v>
      </c>
      <c r="K127">
        <v>2400</v>
      </c>
      <c r="L127">
        <v>0</v>
      </c>
      <c r="M127">
        <v>0</v>
      </c>
      <c r="N127">
        <v>2400</v>
      </c>
    </row>
    <row r="128" spans="1:14" x14ac:dyDescent="0.25">
      <c r="A128">
        <v>3.325199</v>
      </c>
      <c r="B128" s="1">
        <f>DATE(2010,5,4) + TIME(7,48,17)</f>
        <v>40302.325196759259</v>
      </c>
      <c r="C128">
        <v>1342.223999</v>
      </c>
      <c r="D128">
        <v>1339.3889160000001</v>
      </c>
      <c r="E128">
        <v>1321.5131836</v>
      </c>
      <c r="F128">
        <v>1317.5611572</v>
      </c>
      <c r="G128">
        <v>80</v>
      </c>
      <c r="H128">
        <v>79.886360167999996</v>
      </c>
      <c r="I128">
        <v>50</v>
      </c>
      <c r="J128">
        <v>14.99947834</v>
      </c>
      <c r="K128">
        <v>2400</v>
      </c>
      <c r="L128">
        <v>0</v>
      </c>
      <c r="M128">
        <v>0</v>
      </c>
      <c r="N128">
        <v>2400</v>
      </c>
    </row>
    <row r="129" spans="1:14" x14ac:dyDescent="0.25">
      <c r="A129">
        <v>3.3911129999999998</v>
      </c>
      <c r="B129" s="1">
        <f>DATE(2010,5,4) + TIME(9,23,12)</f>
        <v>40302.391111111108</v>
      </c>
      <c r="C129">
        <v>1342.2171631000001</v>
      </c>
      <c r="D129">
        <v>1339.3803711</v>
      </c>
      <c r="E129">
        <v>1321.5133057</v>
      </c>
      <c r="F129">
        <v>1317.5612793</v>
      </c>
      <c r="G129">
        <v>80</v>
      </c>
      <c r="H129">
        <v>79.894905089999995</v>
      </c>
      <c r="I129">
        <v>50</v>
      </c>
      <c r="J129">
        <v>14.999480246999999</v>
      </c>
      <c r="K129">
        <v>2400</v>
      </c>
      <c r="L129">
        <v>0</v>
      </c>
      <c r="M129">
        <v>0</v>
      </c>
      <c r="N129">
        <v>2400</v>
      </c>
    </row>
    <row r="130" spans="1:14" x14ac:dyDescent="0.25">
      <c r="A130">
        <v>3.4582069999999998</v>
      </c>
      <c r="B130" s="1">
        <f>DATE(2010,5,4) + TIME(10,59,49)</f>
        <v>40302.45820601852</v>
      </c>
      <c r="C130">
        <v>1342.2099608999999</v>
      </c>
      <c r="D130">
        <v>1339.371582</v>
      </c>
      <c r="E130">
        <v>1321.5134277</v>
      </c>
      <c r="F130">
        <v>1317.5614014</v>
      </c>
      <c r="G130">
        <v>80</v>
      </c>
      <c r="H130">
        <v>79.902351378999995</v>
      </c>
      <c r="I130">
        <v>50</v>
      </c>
      <c r="J130">
        <v>14.999482155000001</v>
      </c>
      <c r="K130">
        <v>2400</v>
      </c>
      <c r="L130">
        <v>0</v>
      </c>
      <c r="M130">
        <v>0</v>
      </c>
      <c r="N130">
        <v>2400</v>
      </c>
    </row>
    <row r="131" spans="1:14" x14ac:dyDescent="0.25">
      <c r="A131">
        <v>3.5266280000000001</v>
      </c>
      <c r="B131" s="1">
        <f>DATE(2010,5,4) + TIME(12,38,20)</f>
        <v>40302.526620370372</v>
      </c>
      <c r="C131">
        <v>1342.2023925999999</v>
      </c>
      <c r="D131">
        <v>1339.3626709</v>
      </c>
      <c r="E131">
        <v>1321.5135498</v>
      </c>
      <c r="F131">
        <v>1317.5615233999999</v>
      </c>
      <c r="G131">
        <v>80</v>
      </c>
      <c r="H131">
        <v>79.908836364999999</v>
      </c>
      <c r="I131">
        <v>50</v>
      </c>
      <c r="J131">
        <v>14.999484062000001</v>
      </c>
      <c r="K131">
        <v>2400</v>
      </c>
      <c r="L131">
        <v>0</v>
      </c>
      <c r="M131">
        <v>0</v>
      </c>
      <c r="N131">
        <v>2400</v>
      </c>
    </row>
    <row r="132" spans="1:14" x14ac:dyDescent="0.25">
      <c r="A132">
        <v>3.5964860000000001</v>
      </c>
      <c r="B132" s="1">
        <f>DATE(2010,5,4) + TIME(14,18,56)</f>
        <v>40302.59648148148</v>
      </c>
      <c r="C132">
        <v>1342.1945800999999</v>
      </c>
      <c r="D132">
        <v>1339.3533935999999</v>
      </c>
      <c r="E132">
        <v>1321.5137939000001</v>
      </c>
      <c r="F132">
        <v>1317.5615233999999</v>
      </c>
      <c r="G132">
        <v>80</v>
      </c>
      <c r="H132">
        <v>79.914474487000007</v>
      </c>
      <c r="I132">
        <v>50</v>
      </c>
      <c r="J132">
        <v>14.99948597</v>
      </c>
      <c r="K132">
        <v>2400</v>
      </c>
      <c r="L132">
        <v>0</v>
      </c>
      <c r="M132">
        <v>0</v>
      </c>
      <c r="N132">
        <v>2400</v>
      </c>
    </row>
    <row r="133" spans="1:14" x14ac:dyDescent="0.25">
      <c r="A133">
        <v>3.667916</v>
      </c>
      <c r="B133" s="1">
        <f>DATE(2010,5,4) + TIME(16,1,47)</f>
        <v>40302.667905092596</v>
      </c>
      <c r="C133">
        <v>1342.1862793</v>
      </c>
      <c r="D133">
        <v>1339.3439940999999</v>
      </c>
      <c r="E133">
        <v>1321.5139160000001</v>
      </c>
      <c r="F133">
        <v>1317.5616454999999</v>
      </c>
      <c r="G133">
        <v>80</v>
      </c>
      <c r="H133">
        <v>79.919372558999996</v>
      </c>
      <c r="I133">
        <v>50</v>
      </c>
      <c r="J133">
        <v>14.999487877</v>
      </c>
      <c r="K133">
        <v>2400</v>
      </c>
      <c r="L133">
        <v>0</v>
      </c>
      <c r="M133">
        <v>0</v>
      </c>
      <c r="N133">
        <v>2400</v>
      </c>
    </row>
    <row r="134" spans="1:14" x14ac:dyDescent="0.25">
      <c r="A134">
        <v>3.7410700000000001</v>
      </c>
      <c r="B134" s="1">
        <f>DATE(2010,5,4) + TIME(17,47,8)</f>
        <v>40302.741064814814</v>
      </c>
      <c r="C134">
        <v>1342.1776123</v>
      </c>
      <c r="D134">
        <v>1339.3343506000001</v>
      </c>
      <c r="E134">
        <v>1321.5140381000001</v>
      </c>
      <c r="F134">
        <v>1317.5617675999999</v>
      </c>
      <c r="G134">
        <v>80</v>
      </c>
      <c r="H134">
        <v>79.923629761000001</v>
      </c>
      <c r="I134">
        <v>50</v>
      </c>
      <c r="J134">
        <v>14.999490738</v>
      </c>
      <c r="K134">
        <v>2400</v>
      </c>
      <c r="L134">
        <v>0</v>
      </c>
      <c r="M134">
        <v>0</v>
      </c>
      <c r="N134">
        <v>2400</v>
      </c>
    </row>
    <row r="135" spans="1:14" x14ac:dyDescent="0.25">
      <c r="A135">
        <v>3.8161130000000001</v>
      </c>
      <c r="B135" s="1">
        <f>DATE(2010,5,4) + TIME(19,35,12)</f>
        <v>40302.816111111111</v>
      </c>
      <c r="C135">
        <v>1342.1687012</v>
      </c>
      <c r="D135">
        <v>1339.3244629000001</v>
      </c>
      <c r="E135">
        <v>1321.5141602000001</v>
      </c>
      <c r="F135">
        <v>1317.5618896000001</v>
      </c>
      <c r="G135">
        <v>80</v>
      </c>
      <c r="H135">
        <v>79.927330017000003</v>
      </c>
      <c r="I135">
        <v>50</v>
      </c>
      <c r="J135">
        <v>14.999492645</v>
      </c>
      <c r="K135">
        <v>2400</v>
      </c>
      <c r="L135">
        <v>0</v>
      </c>
      <c r="M135">
        <v>0</v>
      </c>
      <c r="N135">
        <v>2400</v>
      </c>
    </row>
    <row r="136" spans="1:14" x14ac:dyDescent="0.25">
      <c r="A136">
        <v>3.893195</v>
      </c>
      <c r="B136" s="1">
        <f>DATE(2010,5,4) + TIME(21,26,12)</f>
        <v>40302.893194444441</v>
      </c>
      <c r="C136">
        <v>1342.1593018000001</v>
      </c>
      <c r="D136">
        <v>1339.3143310999999</v>
      </c>
      <c r="E136">
        <v>1321.5142822</v>
      </c>
      <c r="F136">
        <v>1317.5620117000001</v>
      </c>
      <c r="G136">
        <v>80</v>
      </c>
      <c r="H136">
        <v>79.930534363000007</v>
      </c>
      <c r="I136">
        <v>50</v>
      </c>
      <c r="J136">
        <v>14.999494553</v>
      </c>
      <c r="K136">
        <v>2400</v>
      </c>
      <c r="L136">
        <v>0</v>
      </c>
      <c r="M136">
        <v>0</v>
      </c>
      <c r="N136">
        <v>2400</v>
      </c>
    </row>
    <row r="137" spans="1:14" x14ac:dyDescent="0.25">
      <c r="A137">
        <v>3.9723359999999999</v>
      </c>
      <c r="B137" s="1">
        <f>DATE(2010,5,4) + TIME(23,20,9)</f>
        <v>40302.972326388888</v>
      </c>
      <c r="C137">
        <v>1342.1496582</v>
      </c>
      <c r="D137">
        <v>1339.3039550999999</v>
      </c>
      <c r="E137">
        <v>1321.5145264</v>
      </c>
      <c r="F137">
        <v>1317.5621338000001</v>
      </c>
      <c r="G137">
        <v>80</v>
      </c>
      <c r="H137">
        <v>79.933303832999997</v>
      </c>
      <c r="I137">
        <v>50</v>
      </c>
      <c r="J137">
        <v>14.99949646</v>
      </c>
      <c r="K137">
        <v>2400</v>
      </c>
      <c r="L137">
        <v>0</v>
      </c>
      <c r="M137">
        <v>0</v>
      </c>
      <c r="N137">
        <v>2400</v>
      </c>
    </row>
    <row r="138" spans="1:14" x14ac:dyDescent="0.25">
      <c r="A138">
        <v>4.0537409999999996</v>
      </c>
      <c r="B138" s="1">
        <f>DATE(2010,5,5) + TIME(1,17,23)</f>
        <v>40303.053738425922</v>
      </c>
      <c r="C138">
        <v>1342.1396483999999</v>
      </c>
      <c r="D138">
        <v>1339.293457</v>
      </c>
      <c r="E138">
        <v>1321.5146483999999</v>
      </c>
      <c r="F138">
        <v>1317.5621338000001</v>
      </c>
      <c r="G138">
        <v>80</v>
      </c>
      <c r="H138">
        <v>79.935699463000006</v>
      </c>
      <c r="I138">
        <v>50</v>
      </c>
      <c r="J138">
        <v>14.999498366999999</v>
      </c>
      <c r="K138">
        <v>2400</v>
      </c>
      <c r="L138">
        <v>0</v>
      </c>
      <c r="M138">
        <v>0</v>
      </c>
      <c r="N138">
        <v>2400</v>
      </c>
    </row>
    <row r="139" spans="1:14" x14ac:dyDescent="0.25">
      <c r="A139">
        <v>4.1376299999999997</v>
      </c>
      <c r="B139" s="1">
        <f>DATE(2010,5,5) + TIME(3,18,11)</f>
        <v>40303.137627314813</v>
      </c>
      <c r="C139">
        <v>1342.1292725000001</v>
      </c>
      <c r="D139">
        <v>1339.2825928</v>
      </c>
      <c r="E139">
        <v>1321.5147704999999</v>
      </c>
      <c r="F139">
        <v>1317.5622559000001</v>
      </c>
      <c r="G139">
        <v>80</v>
      </c>
      <c r="H139">
        <v>79.937767029</v>
      </c>
      <c r="I139">
        <v>50</v>
      </c>
      <c r="J139">
        <v>14.999500275000001</v>
      </c>
      <c r="K139">
        <v>2400</v>
      </c>
      <c r="L139">
        <v>0</v>
      </c>
      <c r="M139">
        <v>0</v>
      </c>
      <c r="N139">
        <v>2400</v>
      </c>
    </row>
    <row r="140" spans="1:14" x14ac:dyDescent="0.25">
      <c r="A140">
        <v>4.2232719999999997</v>
      </c>
      <c r="B140" s="1">
        <f>DATE(2010,5,5) + TIME(5,21,30)</f>
        <v>40303.223263888889</v>
      </c>
      <c r="C140">
        <v>1342.1185303</v>
      </c>
      <c r="D140">
        <v>1339.2714844</v>
      </c>
      <c r="E140">
        <v>1321.5150146000001</v>
      </c>
      <c r="F140">
        <v>1317.5623779</v>
      </c>
      <c r="G140">
        <v>80</v>
      </c>
      <c r="H140">
        <v>79.939529418999996</v>
      </c>
      <c r="I140">
        <v>50</v>
      </c>
      <c r="J140">
        <v>14.999502182000001</v>
      </c>
      <c r="K140">
        <v>2400</v>
      </c>
      <c r="L140">
        <v>0</v>
      </c>
      <c r="M140">
        <v>0</v>
      </c>
      <c r="N140">
        <v>2400</v>
      </c>
    </row>
    <row r="141" spans="1:14" x14ac:dyDescent="0.25">
      <c r="A141">
        <v>4.3108219999999999</v>
      </c>
      <c r="B141" s="1">
        <f>DATE(2010,5,5) + TIME(7,27,35)</f>
        <v>40303.31082175926</v>
      </c>
      <c r="C141">
        <v>1342.1075439000001</v>
      </c>
      <c r="D141">
        <v>1339.2602539</v>
      </c>
      <c r="E141">
        <v>1321.5151367000001</v>
      </c>
      <c r="F141">
        <v>1317.5625</v>
      </c>
      <c r="G141">
        <v>80</v>
      </c>
      <c r="H141">
        <v>79.941047667999996</v>
      </c>
      <c r="I141">
        <v>50</v>
      </c>
      <c r="J141">
        <v>14.999504089</v>
      </c>
      <c r="K141">
        <v>2400</v>
      </c>
      <c r="L141">
        <v>0</v>
      </c>
      <c r="M141">
        <v>0</v>
      </c>
      <c r="N141">
        <v>2400</v>
      </c>
    </row>
    <row r="142" spans="1:14" x14ac:dyDescent="0.25">
      <c r="A142">
        <v>4.3554139999999997</v>
      </c>
      <c r="B142" s="1">
        <f>DATE(2010,5,5) + TIME(8,31,47)</f>
        <v>40303.355405092596</v>
      </c>
      <c r="C142">
        <v>1342.0963135</v>
      </c>
      <c r="D142">
        <v>1339.2485352000001</v>
      </c>
      <c r="E142">
        <v>1321.5152588000001</v>
      </c>
      <c r="F142">
        <v>1317.5626221</v>
      </c>
      <c r="G142">
        <v>80</v>
      </c>
      <c r="H142">
        <v>79.941749572999996</v>
      </c>
      <c r="I142">
        <v>50</v>
      </c>
      <c r="J142">
        <v>14.999505042999999</v>
      </c>
      <c r="K142">
        <v>2400</v>
      </c>
      <c r="L142">
        <v>0</v>
      </c>
      <c r="M142">
        <v>0</v>
      </c>
      <c r="N142">
        <v>2400</v>
      </c>
    </row>
    <row r="143" spans="1:14" x14ac:dyDescent="0.25">
      <c r="A143">
        <v>4.4000060000000003</v>
      </c>
      <c r="B143" s="1">
        <f>DATE(2010,5,5) + TIME(9,36,0)</f>
        <v>40303.4</v>
      </c>
      <c r="C143">
        <v>1342.0905762</v>
      </c>
      <c r="D143">
        <v>1339.2426757999999</v>
      </c>
      <c r="E143">
        <v>1321.5153809000001</v>
      </c>
      <c r="F143">
        <v>1317.5626221</v>
      </c>
      <c r="G143">
        <v>80</v>
      </c>
      <c r="H143">
        <v>79.942382812000005</v>
      </c>
      <c r="I143">
        <v>50</v>
      </c>
      <c r="J143">
        <v>14.999505997</v>
      </c>
      <c r="K143">
        <v>2400</v>
      </c>
      <c r="L143">
        <v>0</v>
      </c>
      <c r="M143">
        <v>0</v>
      </c>
      <c r="N143">
        <v>2400</v>
      </c>
    </row>
    <row r="144" spans="1:14" x14ac:dyDescent="0.25">
      <c r="A144">
        <v>4.4445969999999999</v>
      </c>
      <c r="B144" s="1">
        <f>DATE(2010,5,5) + TIME(10,40,13)</f>
        <v>40303.444594907407</v>
      </c>
      <c r="C144">
        <v>1342.0848389</v>
      </c>
      <c r="D144">
        <v>1339.2369385</v>
      </c>
      <c r="E144">
        <v>1321.5153809000001</v>
      </c>
      <c r="F144">
        <v>1317.5627440999999</v>
      </c>
      <c r="G144">
        <v>80</v>
      </c>
      <c r="H144">
        <v>79.942970275999997</v>
      </c>
      <c r="I144">
        <v>50</v>
      </c>
      <c r="J144">
        <v>14.999506950000001</v>
      </c>
      <c r="K144">
        <v>2400</v>
      </c>
      <c r="L144">
        <v>0</v>
      </c>
      <c r="M144">
        <v>0</v>
      </c>
      <c r="N144">
        <v>2400</v>
      </c>
    </row>
    <row r="145" spans="1:14" x14ac:dyDescent="0.25">
      <c r="A145">
        <v>4.4891889999999997</v>
      </c>
      <c r="B145" s="1">
        <f>DATE(2010,5,5) + TIME(11,44,25)</f>
        <v>40303.489178240743</v>
      </c>
      <c r="C145">
        <v>1342.0791016000001</v>
      </c>
      <c r="D145">
        <v>1339.2313231999999</v>
      </c>
      <c r="E145">
        <v>1321.5155029</v>
      </c>
      <c r="F145">
        <v>1317.5627440999999</v>
      </c>
      <c r="G145">
        <v>80</v>
      </c>
      <c r="H145">
        <v>79.943496703999998</v>
      </c>
      <c r="I145">
        <v>50</v>
      </c>
      <c r="J145">
        <v>14.999508858</v>
      </c>
      <c r="K145">
        <v>2400</v>
      </c>
      <c r="L145">
        <v>0</v>
      </c>
      <c r="M145">
        <v>0</v>
      </c>
      <c r="N145">
        <v>2400</v>
      </c>
    </row>
    <row r="146" spans="1:14" x14ac:dyDescent="0.25">
      <c r="A146">
        <v>4.5337810000000003</v>
      </c>
      <c r="B146" s="1">
        <f>DATE(2010,5,5) + TIME(12,48,38)</f>
        <v>40303.533773148149</v>
      </c>
      <c r="C146">
        <v>1342.0733643000001</v>
      </c>
      <c r="D146">
        <v>1339.2255858999999</v>
      </c>
      <c r="E146">
        <v>1321.515625</v>
      </c>
      <c r="F146">
        <v>1317.5628661999999</v>
      </c>
      <c r="G146">
        <v>80</v>
      </c>
      <c r="H146">
        <v>79.943984985</v>
      </c>
      <c r="I146">
        <v>50</v>
      </c>
      <c r="J146">
        <v>14.999509810999999</v>
      </c>
      <c r="K146">
        <v>2400</v>
      </c>
      <c r="L146">
        <v>0</v>
      </c>
      <c r="M146">
        <v>0</v>
      </c>
      <c r="N146">
        <v>2400</v>
      </c>
    </row>
    <row r="147" spans="1:14" x14ac:dyDescent="0.25">
      <c r="A147">
        <v>4.578373</v>
      </c>
      <c r="B147" s="1">
        <f>DATE(2010,5,5) + TIME(13,52,51)</f>
        <v>40303.578368055554</v>
      </c>
      <c r="C147">
        <v>1342.0676269999999</v>
      </c>
      <c r="D147">
        <v>1339.2199707</v>
      </c>
      <c r="E147">
        <v>1321.515625</v>
      </c>
      <c r="F147">
        <v>1317.5628661999999</v>
      </c>
      <c r="G147">
        <v>80</v>
      </c>
      <c r="H147">
        <v>79.944427489999995</v>
      </c>
      <c r="I147">
        <v>50</v>
      </c>
      <c r="J147">
        <v>14.999510765</v>
      </c>
      <c r="K147">
        <v>2400</v>
      </c>
      <c r="L147">
        <v>0</v>
      </c>
      <c r="M147">
        <v>0</v>
      </c>
      <c r="N147">
        <v>2400</v>
      </c>
    </row>
    <row r="148" spans="1:14" x14ac:dyDescent="0.25">
      <c r="A148">
        <v>4.6229649999999998</v>
      </c>
      <c r="B148" s="1">
        <f>DATE(2010,5,5) + TIME(14,57,4)</f>
        <v>40303.62296296296</v>
      </c>
      <c r="C148">
        <v>1342.0618896000001</v>
      </c>
      <c r="D148">
        <v>1339.2142334</v>
      </c>
      <c r="E148">
        <v>1321.5157471</v>
      </c>
      <c r="F148">
        <v>1317.5629882999999</v>
      </c>
      <c r="G148">
        <v>80</v>
      </c>
      <c r="H148">
        <v>79.944831848000007</v>
      </c>
      <c r="I148">
        <v>50</v>
      </c>
      <c r="J148">
        <v>14.999511718999999</v>
      </c>
      <c r="K148">
        <v>2400</v>
      </c>
      <c r="L148">
        <v>0</v>
      </c>
      <c r="M148">
        <v>0</v>
      </c>
      <c r="N148">
        <v>2400</v>
      </c>
    </row>
    <row r="149" spans="1:14" x14ac:dyDescent="0.25">
      <c r="A149">
        <v>4.6675570000000004</v>
      </c>
      <c r="B149" s="1">
        <f>DATE(2010,5,5) + TIME(16,1,16)</f>
        <v>40303.667546296296</v>
      </c>
      <c r="C149">
        <v>1342.0561522999999</v>
      </c>
      <c r="D149">
        <v>1339.2087402</v>
      </c>
      <c r="E149">
        <v>1321.5158690999999</v>
      </c>
      <c r="F149">
        <v>1317.5629882999999</v>
      </c>
      <c r="G149">
        <v>80</v>
      </c>
      <c r="H149">
        <v>79.945205688000001</v>
      </c>
      <c r="I149">
        <v>50</v>
      </c>
      <c r="J149">
        <v>14.999512672</v>
      </c>
      <c r="K149">
        <v>2400</v>
      </c>
      <c r="L149">
        <v>0</v>
      </c>
      <c r="M149">
        <v>0</v>
      </c>
      <c r="N149">
        <v>2400</v>
      </c>
    </row>
    <row r="150" spans="1:14" x14ac:dyDescent="0.25">
      <c r="A150">
        <v>4.7121490000000001</v>
      </c>
      <c r="B150" s="1">
        <f>DATE(2010,5,5) + TIME(17,5,29)</f>
        <v>40303.712141203701</v>
      </c>
      <c r="C150">
        <v>1342.0505370999999</v>
      </c>
      <c r="D150">
        <v>1339.203125</v>
      </c>
      <c r="E150">
        <v>1321.5158690999999</v>
      </c>
      <c r="F150">
        <v>1317.5631103999999</v>
      </c>
      <c r="G150">
        <v>80</v>
      </c>
      <c r="H150">
        <v>79.945549010999997</v>
      </c>
      <c r="I150">
        <v>50</v>
      </c>
      <c r="J150">
        <v>14.999513626000001</v>
      </c>
      <c r="K150">
        <v>2400</v>
      </c>
      <c r="L150">
        <v>0</v>
      </c>
      <c r="M150">
        <v>0</v>
      </c>
      <c r="N150">
        <v>2400</v>
      </c>
    </row>
    <row r="151" spans="1:14" x14ac:dyDescent="0.25">
      <c r="A151">
        <v>4.8013320000000004</v>
      </c>
      <c r="B151" s="1">
        <f>DATE(2010,5,5) + TIME(19,13,55)</f>
        <v>40303.80133101852</v>
      </c>
      <c r="C151">
        <v>1342.0449219</v>
      </c>
      <c r="D151">
        <v>1339.1979980000001</v>
      </c>
      <c r="E151">
        <v>1321.5159911999999</v>
      </c>
      <c r="F151">
        <v>1317.5631103999999</v>
      </c>
      <c r="G151">
        <v>80</v>
      </c>
      <c r="H151">
        <v>79.946128845000004</v>
      </c>
      <c r="I151">
        <v>50</v>
      </c>
      <c r="J151">
        <v>14.999515533</v>
      </c>
      <c r="K151">
        <v>2400</v>
      </c>
      <c r="L151">
        <v>0</v>
      </c>
      <c r="M151">
        <v>0</v>
      </c>
      <c r="N151">
        <v>2400</v>
      </c>
    </row>
    <row r="152" spans="1:14" x14ac:dyDescent="0.25">
      <c r="A152">
        <v>4.8905469999999998</v>
      </c>
      <c r="B152" s="1">
        <f>DATE(2010,5,5) + TIME(21,22,23)</f>
        <v>40303.890543981484</v>
      </c>
      <c r="C152">
        <v>1342.0335693</v>
      </c>
      <c r="D152">
        <v>1339.1870117000001</v>
      </c>
      <c r="E152">
        <v>1321.5161132999999</v>
      </c>
      <c r="F152">
        <v>1317.5632324000001</v>
      </c>
      <c r="G152">
        <v>80</v>
      </c>
      <c r="H152">
        <v>79.946624756000006</v>
      </c>
      <c r="I152">
        <v>50</v>
      </c>
      <c r="J152">
        <v>14.999517441</v>
      </c>
      <c r="K152">
        <v>2400</v>
      </c>
      <c r="L152">
        <v>0</v>
      </c>
      <c r="M152">
        <v>0</v>
      </c>
      <c r="N152">
        <v>2400</v>
      </c>
    </row>
    <row r="153" spans="1:14" x14ac:dyDescent="0.25">
      <c r="A153">
        <v>4.9802790000000003</v>
      </c>
      <c r="B153" s="1">
        <f>DATE(2010,5,5) + TIME(23,31,36)</f>
        <v>40303.98027777778</v>
      </c>
      <c r="C153">
        <v>1342.0222168</v>
      </c>
      <c r="D153">
        <v>1339.1762695</v>
      </c>
      <c r="E153">
        <v>1321.5163574000001</v>
      </c>
      <c r="F153">
        <v>1317.5633545000001</v>
      </c>
      <c r="G153">
        <v>80</v>
      </c>
      <c r="H153">
        <v>79.947059631000002</v>
      </c>
      <c r="I153">
        <v>50</v>
      </c>
      <c r="J153">
        <v>14.999518394000001</v>
      </c>
      <c r="K153">
        <v>2400</v>
      </c>
      <c r="L153">
        <v>0</v>
      </c>
      <c r="M153">
        <v>0</v>
      </c>
      <c r="N153">
        <v>2400</v>
      </c>
    </row>
    <row r="154" spans="1:14" x14ac:dyDescent="0.25">
      <c r="A154">
        <v>5.0706660000000001</v>
      </c>
      <c r="B154" s="1">
        <f>DATE(2010,5,6) + TIME(1,41,45)</f>
        <v>40304.070659722223</v>
      </c>
      <c r="C154">
        <v>1342.0108643000001</v>
      </c>
      <c r="D154">
        <v>1339.1655272999999</v>
      </c>
      <c r="E154">
        <v>1321.5164795000001</v>
      </c>
      <c r="F154">
        <v>1317.5634766000001</v>
      </c>
      <c r="G154">
        <v>80</v>
      </c>
      <c r="H154">
        <v>79.947425842000001</v>
      </c>
      <c r="I154">
        <v>50</v>
      </c>
      <c r="J154">
        <v>14.999520302000001</v>
      </c>
      <c r="K154">
        <v>2400</v>
      </c>
      <c r="L154">
        <v>0</v>
      </c>
      <c r="M154">
        <v>0</v>
      </c>
      <c r="N154">
        <v>2400</v>
      </c>
    </row>
    <row r="155" spans="1:14" x14ac:dyDescent="0.25">
      <c r="A155">
        <v>5.1618490000000001</v>
      </c>
      <c r="B155" s="1">
        <f>DATE(2010,5,6) + TIME(3,53,3)</f>
        <v>40304.161840277775</v>
      </c>
      <c r="C155">
        <v>1341.9996338000001</v>
      </c>
      <c r="D155">
        <v>1339.1549072</v>
      </c>
      <c r="E155">
        <v>1321.5166016000001</v>
      </c>
      <c r="F155">
        <v>1317.5635986</v>
      </c>
      <c r="G155">
        <v>80</v>
      </c>
      <c r="H155">
        <v>79.947753906000003</v>
      </c>
      <c r="I155">
        <v>50</v>
      </c>
      <c r="J155">
        <v>14.999522209</v>
      </c>
      <c r="K155">
        <v>2400</v>
      </c>
      <c r="L155">
        <v>0</v>
      </c>
      <c r="M155">
        <v>0</v>
      </c>
      <c r="N155">
        <v>2400</v>
      </c>
    </row>
    <row r="156" spans="1:14" x14ac:dyDescent="0.25">
      <c r="A156">
        <v>5.2539709999999999</v>
      </c>
      <c r="B156" s="1">
        <f>DATE(2010,5,6) + TIME(6,5,43)</f>
        <v>40304.253969907404</v>
      </c>
      <c r="C156">
        <v>1341.9882812000001</v>
      </c>
      <c r="D156">
        <v>1339.1442870999999</v>
      </c>
      <c r="E156">
        <v>1321.5168457</v>
      </c>
      <c r="F156">
        <v>1317.5637207</v>
      </c>
      <c r="G156">
        <v>80</v>
      </c>
      <c r="H156">
        <v>79.948036193999997</v>
      </c>
      <c r="I156">
        <v>50</v>
      </c>
      <c r="J156">
        <v>14.999524117</v>
      </c>
      <c r="K156">
        <v>2400</v>
      </c>
      <c r="L156">
        <v>0</v>
      </c>
      <c r="M156">
        <v>0</v>
      </c>
      <c r="N156">
        <v>2400</v>
      </c>
    </row>
    <row r="157" spans="1:14" x14ac:dyDescent="0.25">
      <c r="A157">
        <v>5.3471789999999997</v>
      </c>
      <c r="B157" s="1">
        <f>DATE(2010,5,6) + TIME(8,19,56)</f>
        <v>40304.347175925926</v>
      </c>
      <c r="C157">
        <v>1341.9769286999999</v>
      </c>
      <c r="D157">
        <v>1339.1337891000001</v>
      </c>
      <c r="E157">
        <v>1321.5169678</v>
      </c>
      <c r="F157">
        <v>1317.5638428</v>
      </c>
      <c r="G157">
        <v>80</v>
      </c>
      <c r="H157">
        <v>79.948280334000003</v>
      </c>
      <c r="I157">
        <v>50</v>
      </c>
      <c r="J157">
        <v>14.999526024</v>
      </c>
      <c r="K157">
        <v>2400</v>
      </c>
      <c r="L157">
        <v>0</v>
      </c>
      <c r="M157">
        <v>0</v>
      </c>
      <c r="N157">
        <v>2400</v>
      </c>
    </row>
    <row r="158" spans="1:14" x14ac:dyDescent="0.25">
      <c r="A158">
        <v>5.4416250000000002</v>
      </c>
      <c r="B158" s="1">
        <f>DATE(2010,5,6) + TIME(10,35,56)</f>
        <v>40304.441620370373</v>
      </c>
      <c r="C158">
        <v>1341.9655762</v>
      </c>
      <c r="D158">
        <v>1339.1232910000001</v>
      </c>
      <c r="E158">
        <v>1321.5170897999999</v>
      </c>
      <c r="F158">
        <v>1317.5639647999999</v>
      </c>
      <c r="G158">
        <v>80</v>
      </c>
      <c r="H158">
        <v>79.948493958</v>
      </c>
      <c r="I158">
        <v>50</v>
      </c>
      <c r="J158">
        <v>14.999527930999999</v>
      </c>
      <c r="K158">
        <v>2400</v>
      </c>
      <c r="L158">
        <v>0</v>
      </c>
      <c r="M158">
        <v>0</v>
      </c>
      <c r="N158">
        <v>2400</v>
      </c>
    </row>
    <row r="159" spans="1:14" x14ac:dyDescent="0.25">
      <c r="A159">
        <v>5.5374660000000002</v>
      </c>
      <c r="B159" s="1">
        <f>DATE(2010,5,6) + TIME(12,53,57)</f>
        <v>40304.537465277775</v>
      </c>
      <c r="C159">
        <v>1341.9541016000001</v>
      </c>
      <c r="D159">
        <v>1339.112793</v>
      </c>
      <c r="E159">
        <v>1321.5173339999999</v>
      </c>
      <c r="F159">
        <v>1317.5640868999999</v>
      </c>
      <c r="G159">
        <v>80</v>
      </c>
      <c r="H159">
        <v>79.948684692</v>
      </c>
      <c r="I159">
        <v>50</v>
      </c>
      <c r="J159">
        <v>14.999529838999999</v>
      </c>
      <c r="K159">
        <v>2400</v>
      </c>
      <c r="L159">
        <v>0</v>
      </c>
      <c r="M159">
        <v>0</v>
      </c>
      <c r="N159">
        <v>2400</v>
      </c>
    </row>
    <row r="160" spans="1:14" x14ac:dyDescent="0.25">
      <c r="A160">
        <v>5.634868</v>
      </c>
      <c r="B160" s="1">
        <f>DATE(2010,5,6) + TIME(15,14,12)</f>
        <v>40304.63486111111</v>
      </c>
      <c r="C160">
        <v>1341.9426269999999</v>
      </c>
      <c r="D160">
        <v>1339.1022949000001</v>
      </c>
      <c r="E160">
        <v>1321.5174560999999</v>
      </c>
      <c r="F160">
        <v>1317.5642089999999</v>
      </c>
      <c r="G160">
        <v>80</v>
      </c>
      <c r="H160">
        <v>79.948852539000001</v>
      </c>
      <c r="I160">
        <v>50</v>
      </c>
      <c r="J160">
        <v>14.999530792</v>
      </c>
      <c r="K160">
        <v>2400</v>
      </c>
      <c r="L160">
        <v>0</v>
      </c>
      <c r="M160">
        <v>0</v>
      </c>
      <c r="N160">
        <v>2400</v>
      </c>
    </row>
    <row r="161" spans="1:14" x14ac:dyDescent="0.25">
      <c r="A161">
        <v>5.7340369999999998</v>
      </c>
      <c r="B161" s="1">
        <f>DATE(2010,5,6) + TIME(17,37,0)</f>
        <v>40304.734027777777</v>
      </c>
      <c r="C161">
        <v>1341.9310303</v>
      </c>
      <c r="D161">
        <v>1339.0917969</v>
      </c>
      <c r="E161">
        <v>1321.5175781</v>
      </c>
      <c r="F161">
        <v>1317.5643310999999</v>
      </c>
      <c r="G161">
        <v>80</v>
      </c>
      <c r="H161">
        <v>79.948997497999997</v>
      </c>
      <c r="I161">
        <v>50</v>
      </c>
      <c r="J161">
        <v>14.9995327</v>
      </c>
      <c r="K161">
        <v>2400</v>
      </c>
      <c r="L161">
        <v>0</v>
      </c>
      <c r="M161">
        <v>0</v>
      </c>
      <c r="N161">
        <v>2400</v>
      </c>
    </row>
    <row r="162" spans="1:14" x14ac:dyDescent="0.25">
      <c r="A162">
        <v>5.8351480000000002</v>
      </c>
      <c r="B162" s="1">
        <f>DATE(2010,5,6) + TIME(20,2,36)</f>
        <v>40304.835138888891</v>
      </c>
      <c r="C162">
        <v>1341.9191894999999</v>
      </c>
      <c r="D162">
        <v>1339.0811768000001</v>
      </c>
      <c r="E162">
        <v>1321.5178223</v>
      </c>
      <c r="F162">
        <v>1317.5644531</v>
      </c>
      <c r="G162">
        <v>80</v>
      </c>
      <c r="H162">
        <v>79.949127196999996</v>
      </c>
      <c r="I162">
        <v>50</v>
      </c>
      <c r="J162">
        <v>14.999534606999999</v>
      </c>
      <c r="K162">
        <v>2400</v>
      </c>
      <c r="L162">
        <v>0</v>
      </c>
      <c r="M162">
        <v>0</v>
      </c>
      <c r="N162">
        <v>2400</v>
      </c>
    </row>
    <row r="163" spans="1:14" x14ac:dyDescent="0.25">
      <c r="A163">
        <v>5.9383929999999996</v>
      </c>
      <c r="B163" s="1">
        <f>DATE(2010,5,6) + TIME(22,31,17)</f>
        <v>40304.938391203701</v>
      </c>
      <c r="C163">
        <v>1341.9066161999999</v>
      </c>
      <c r="D163">
        <v>1339.0700684000001</v>
      </c>
      <c r="E163">
        <v>1321.5179443</v>
      </c>
      <c r="F163">
        <v>1317.5645752</v>
      </c>
      <c r="G163">
        <v>80</v>
      </c>
      <c r="H163">
        <v>79.949241638000004</v>
      </c>
      <c r="I163">
        <v>50</v>
      </c>
      <c r="J163">
        <v>14.999536514000001</v>
      </c>
      <c r="K163">
        <v>2400</v>
      </c>
      <c r="L163">
        <v>0</v>
      </c>
      <c r="M163">
        <v>0</v>
      </c>
      <c r="N163">
        <v>2400</v>
      </c>
    </row>
    <row r="164" spans="1:14" x14ac:dyDescent="0.25">
      <c r="A164">
        <v>6.0439949999999998</v>
      </c>
      <c r="B164" s="1">
        <f>DATE(2010,5,7) + TIME(1,3,21)</f>
        <v>40305.043993055559</v>
      </c>
      <c r="C164">
        <v>1341.894043</v>
      </c>
      <c r="D164">
        <v>1339.0589600000001</v>
      </c>
      <c r="E164">
        <v>1321.5181885</v>
      </c>
      <c r="F164">
        <v>1317.5646973</v>
      </c>
      <c r="G164">
        <v>80</v>
      </c>
      <c r="H164">
        <v>79.949340820000003</v>
      </c>
      <c r="I164">
        <v>50</v>
      </c>
      <c r="J164">
        <v>14.999538422000001</v>
      </c>
      <c r="K164">
        <v>2400</v>
      </c>
      <c r="L164">
        <v>0</v>
      </c>
      <c r="M164">
        <v>0</v>
      </c>
      <c r="N164">
        <v>2400</v>
      </c>
    </row>
    <row r="165" spans="1:14" x14ac:dyDescent="0.25">
      <c r="A165">
        <v>6.1521929999999996</v>
      </c>
      <c r="B165" s="1">
        <f>DATE(2010,5,7) + TIME(3,39,9)</f>
        <v>40305.152187500003</v>
      </c>
      <c r="C165">
        <v>1341.8812256000001</v>
      </c>
      <c r="D165">
        <v>1339.0477295000001</v>
      </c>
      <c r="E165">
        <v>1321.5183105000001</v>
      </c>
      <c r="F165">
        <v>1317.5648193</v>
      </c>
      <c r="G165">
        <v>80</v>
      </c>
      <c r="H165">
        <v>79.949432372999993</v>
      </c>
      <c r="I165">
        <v>50</v>
      </c>
      <c r="J165">
        <v>14.999540329</v>
      </c>
      <c r="K165">
        <v>2400</v>
      </c>
      <c r="L165">
        <v>0</v>
      </c>
      <c r="M165">
        <v>0</v>
      </c>
      <c r="N165">
        <v>2400</v>
      </c>
    </row>
    <row r="166" spans="1:14" x14ac:dyDescent="0.25">
      <c r="A166">
        <v>6.2627579999999998</v>
      </c>
      <c r="B166" s="1">
        <f>DATE(2010,5,7) + TIME(6,18,22)</f>
        <v>40305.262754629628</v>
      </c>
      <c r="C166">
        <v>1341.8684082</v>
      </c>
      <c r="D166">
        <v>1339.036499</v>
      </c>
      <c r="E166">
        <v>1321.5185547000001</v>
      </c>
      <c r="F166">
        <v>1317.5649414</v>
      </c>
      <c r="G166">
        <v>80</v>
      </c>
      <c r="H166">
        <v>79.949508667000003</v>
      </c>
      <c r="I166">
        <v>50</v>
      </c>
      <c r="J166">
        <v>14.999542236</v>
      </c>
      <c r="K166">
        <v>2400</v>
      </c>
      <c r="L166">
        <v>0</v>
      </c>
      <c r="M166">
        <v>0</v>
      </c>
      <c r="N166">
        <v>2400</v>
      </c>
    </row>
    <row r="167" spans="1:14" x14ac:dyDescent="0.25">
      <c r="A167">
        <v>6.3759290000000002</v>
      </c>
      <c r="B167" s="1">
        <f>DATE(2010,5,7) + TIME(9,1,20)</f>
        <v>40305.375925925924</v>
      </c>
      <c r="C167">
        <v>1341.8553466999999</v>
      </c>
      <c r="D167">
        <v>1339.0252685999999</v>
      </c>
      <c r="E167">
        <v>1321.5186768000001</v>
      </c>
      <c r="F167">
        <v>1317.5651855000001</v>
      </c>
      <c r="G167">
        <v>80</v>
      </c>
      <c r="H167">
        <v>79.949569702000005</v>
      </c>
      <c r="I167">
        <v>50</v>
      </c>
      <c r="J167">
        <v>14.999544144</v>
      </c>
      <c r="K167">
        <v>2400</v>
      </c>
      <c r="L167">
        <v>0</v>
      </c>
      <c r="M167">
        <v>0</v>
      </c>
      <c r="N167">
        <v>2400</v>
      </c>
    </row>
    <row r="168" spans="1:14" x14ac:dyDescent="0.25">
      <c r="A168">
        <v>6.4919710000000004</v>
      </c>
      <c r="B168" s="1">
        <f>DATE(2010,5,7) + TIME(11,48,26)</f>
        <v>40305.491967592592</v>
      </c>
      <c r="C168">
        <v>1341.8422852000001</v>
      </c>
      <c r="D168">
        <v>1339.0140381000001</v>
      </c>
      <c r="E168">
        <v>1321.5189209</v>
      </c>
      <c r="F168">
        <v>1317.5653076000001</v>
      </c>
      <c r="G168">
        <v>80</v>
      </c>
      <c r="H168">
        <v>79.949623107999997</v>
      </c>
      <c r="I168">
        <v>50</v>
      </c>
      <c r="J168">
        <v>14.999546050999999</v>
      </c>
      <c r="K168">
        <v>2400</v>
      </c>
      <c r="L168">
        <v>0</v>
      </c>
      <c r="M168">
        <v>0</v>
      </c>
      <c r="N168">
        <v>2400</v>
      </c>
    </row>
    <row r="169" spans="1:14" x14ac:dyDescent="0.25">
      <c r="A169">
        <v>6.5504259999999999</v>
      </c>
      <c r="B169" s="1">
        <f>DATE(2010,5,7) + TIME(13,12,36)</f>
        <v>40305.550416666665</v>
      </c>
      <c r="C169">
        <v>1341.8289795000001</v>
      </c>
      <c r="D169">
        <v>1339.0023193</v>
      </c>
      <c r="E169">
        <v>1321.519043</v>
      </c>
      <c r="F169">
        <v>1317.5654297000001</v>
      </c>
      <c r="G169">
        <v>80</v>
      </c>
      <c r="H169">
        <v>79.949645996000001</v>
      </c>
      <c r="I169">
        <v>50</v>
      </c>
      <c r="J169">
        <v>14.999547005</v>
      </c>
      <c r="K169">
        <v>2400</v>
      </c>
      <c r="L169">
        <v>0</v>
      </c>
      <c r="M169">
        <v>0</v>
      </c>
      <c r="N169">
        <v>2400</v>
      </c>
    </row>
    <row r="170" spans="1:14" x14ac:dyDescent="0.25">
      <c r="A170">
        <v>6.6088810000000002</v>
      </c>
      <c r="B170" s="1">
        <f>DATE(2010,5,7) + TIME(14,36,47)</f>
        <v>40305.608877314815</v>
      </c>
      <c r="C170">
        <v>1341.8222656</v>
      </c>
      <c r="D170">
        <v>1338.996582</v>
      </c>
      <c r="E170">
        <v>1321.5191649999999</v>
      </c>
      <c r="F170">
        <v>1317.5654297000001</v>
      </c>
      <c r="G170">
        <v>80</v>
      </c>
      <c r="H170">
        <v>79.949668884000005</v>
      </c>
      <c r="I170">
        <v>50</v>
      </c>
      <c r="J170">
        <v>14.999547958000001</v>
      </c>
      <c r="K170">
        <v>2400</v>
      </c>
      <c r="L170">
        <v>0</v>
      </c>
      <c r="M170">
        <v>0</v>
      </c>
      <c r="N170">
        <v>2400</v>
      </c>
    </row>
    <row r="171" spans="1:14" x14ac:dyDescent="0.25">
      <c r="A171">
        <v>6.6673369999999998</v>
      </c>
      <c r="B171" s="1">
        <f>DATE(2010,5,7) + TIME(16,0,57)</f>
        <v>40305.667326388888</v>
      </c>
      <c r="C171">
        <v>1341.8157959</v>
      </c>
      <c r="D171">
        <v>1338.9909668</v>
      </c>
      <c r="E171">
        <v>1321.5192870999999</v>
      </c>
      <c r="F171">
        <v>1317.5655518000001</v>
      </c>
      <c r="G171">
        <v>80</v>
      </c>
      <c r="H171">
        <v>79.949684142999999</v>
      </c>
      <c r="I171">
        <v>50</v>
      </c>
      <c r="J171">
        <v>14.999548912</v>
      </c>
      <c r="K171">
        <v>2400</v>
      </c>
      <c r="L171">
        <v>0</v>
      </c>
      <c r="M171">
        <v>0</v>
      </c>
      <c r="N171">
        <v>2400</v>
      </c>
    </row>
    <row r="172" spans="1:14" x14ac:dyDescent="0.25">
      <c r="A172">
        <v>6.7257920000000002</v>
      </c>
      <c r="B172" s="1">
        <f>DATE(2010,5,7) + TIME(17,25,8)</f>
        <v>40305.725787037038</v>
      </c>
      <c r="C172">
        <v>1341.8093262</v>
      </c>
      <c r="D172">
        <v>1338.9854736</v>
      </c>
      <c r="E172">
        <v>1321.5194091999999</v>
      </c>
      <c r="F172">
        <v>1317.5656738</v>
      </c>
      <c r="G172">
        <v>80</v>
      </c>
      <c r="H172">
        <v>79.949707031000003</v>
      </c>
      <c r="I172">
        <v>50</v>
      </c>
      <c r="J172">
        <v>14.999549866000001</v>
      </c>
      <c r="K172">
        <v>2400</v>
      </c>
      <c r="L172">
        <v>0</v>
      </c>
      <c r="M172">
        <v>0</v>
      </c>
      <c r="N172">
        <v>2400</v>
      </c>
    </row>
    <row r="173" spans="1:14" x14ac:dyDescent="0.25">
      <c r="A173">
        <v>6.7842469999999997</v>
      </c>
      <c r="B173" s="1">
        <f>DATE(2010,5,7) + TIME(18,49,18)</f>
        <v>40305.784236111111</v>
      </c>
      <c r="C173">
        <v>1341.8028564000001</v>
      </c>
      <c r="D173">
        <v>1338.9799805</v>
      </c>
      <c r="E173">
        <v>1321.5194091999999</v>
      </c>
      <c r="F173">
        <v>1317.5656738</v>
      </c>
      <c r="G173">
        <v>80</v>
      </c>
      <c r="H173">
        <v>79.949722289999997</v>
      </c>
      <c r="I173">
        <v>50</v>
      </c>
      <c r="J173">
        <v>14.999550819</v>
      </c>
      <c r="K173">
        <v>2400</v>
      </c>
      <c r="L173">
        <v>0</v>
      </c>
      <c r="M173">
        <v>0</v>
      </c>
      <c r="N173">
        <v>2400</v>
      </c>
    </row>
    <row r="174" spans="1:14" x14ac:dyDescent="0.25">
      <c r="A174">
        <v>6.8427020000000001</v>
      </c>
      <c r="B174" s="1">
        <f>DATE(2010,5,7) + TIME(20,13,29)</f>
        <v>40305.84269675926</v>
      </c>
      <c r="C174">
        <v>1341.7965088000001</v>
      </c>
      <c r="D174">
        <v>1338.9744873</v>
      </c>
      <c r="E174">
        <v>1321.5195312000001</v>
      </c>
      <c r="F174">
        <v>1317.5657959</v>
      </c>
      <c r="G174">
        <v>80</v>
      </c>
      <c r="H174">
        <v>79.949729919000006</v>
      </c>
      <c r="I174">
        <v>50</v>
      </c>
      <c r="J174">
        <v>14.999551773</v>
      </c>
      <c r="K174">
        <v>2400</v>
      </c>
      <c r="L174">
        <v>0</v>
      </c>
      <c r="M174">
        <v>0</v>
      </c>
      <c r="N174">
        <v>2400</v>
      </c>
    </row>
    <row r="175" spans="1:14" x14ac:dyDescent="0.25">
      <c r="A175">
        <v>6.9011570000000004</v>
      </c>
      <c r="B175" s="1">
        <f>DATE(2010,5,7) + TIME(21,37,39)</f>
        <v>40305.901145833333</v>
      </c>
      <c r="C175">
        <v>1341.7901611</v>
      </c>
      <c r="D175">
        <v>1338.9691161999999</v>
      </c>
      <c r="E175">
        <v>1321.5196533000001</v>
      </c>
      <c r="F175">
        <v>1317.5657959</v>
      </c>
      <c r="G175">
        <v>80</v>
      </c>
      <c r="H175">
        <v>79.949745178000001</v>
      </c>
      <c r="I175">
        <v>50</v>
      </c>
      <c r="J175">
        <v>14.999552726999999</v>
      </c>
      <c r="K175">
        <v>2400</v>
      </c>
      <c r="L175">
        <v>0</v>
      </c>
      <c r="M175">
        <v>0</v>
      </c>
      <c r="N175">
        <v>2400</v>
      </c>
    </row>
    <row r="176" spans="1:14" x14ac:dyDescent="0.25">
      <c r="A176">
        <v>6.9596119999999999</v>
      </c>
      <c r="B176" s="1">
        <f>DATE(2010,5,7) + TIME(23,1,50)</f>
        <v>40305.959606481483</v>
      </c>
      <c r="C176">
        <v>1341.7839355000001</v>
      </c>
      <c r="D176">
        <v>1338.9637451000001</v>
      </c>
      <c r="E176">
        <v>1321.5197754000001</v>
      </c>
      <c r="F176">
        <v>1317.565918</v>
      </c>
      <c r="G176">
        <v>80</v>
      </c>
      <c r="H176">
        <v>79.949752808</v>
      </c>
      <c r="I176">
        <v>50</v>
      </c>
      <c r="J176">
        <v>14.999552726999999</v>
      </c>
      <c r="K176">
        <v>2400</v>
      </c>
      <c r="L176">
        <v>0</v>
      </c>
      <c r="M176">
        <v>0</v>
      </c>
      <c r="N176">
        <v>2400</v>
      </c>
    </row>
    <row r="177" spans="1:14" x14ac:dyDescent="0.25">
      <c r="A177">
        <v>7.0180680000000004</v>
      </c>
      <c r="B177" s="1">
        <f>DATE(2010,5,8) + TIME(0,26,1)</f>
        <v>40306.018067129633</v>
      </c>
      <c r="C177">
        <v>1341.7777100000001</v>
      </c>
      <c r="D177">
        <v>1338.958374</v>
      </c>
      <c r="E177">
        <v>1321.5198975000001</v>
      </c>
      <c r="F177">
        <v>1317.5660399999999</v>
      </c>
      <c r="G177">
        <v>80</v>
      </c>
      <c r="H177">
        <v>79.949768066000004</v>
      </c>
      <c r="I177">
        <v>50</v>
      </c>
      <c r="J177">
        <v>14.99955368</v>
      </c>
      <c r="K177">
        <v>2400</v>
      </c>
      <c r="L177">
        <v>0</v>
      </c>
      <c r="M177">
        <v>0</v>
      </c>
      <c r="N177">
        <v>2400</v>
      </c>
    </row>
    <row r="178" spans="1:14" x14ac:dyDescent="0.25">
      <c r="A178">
        <v>7.0765229999999999</v>
      </c>
      <c r="B178" s="1">
        <f>DATE(2010,5,8) + TIME(1,50,11)</f>
        <v>40306.076516203706</v>
      </c>
      <c r="C178">
        <v>1341.7714844</v>
      </c>
      <c r="D178">
        <v>1338.953125</v>
      </c>
      <c r="E178">
        <v>1321.5198975000001</v>
      </c>
      <c r="F178">
        <v>1317.5660399999999</v>
      </c>
      <c r="G178">
        <v>80</v>
      </c>
      <c r="H178">
        <v>79.949775696000003</v>
      </c>
      <c r="I178">
        <v>50</v>
      </c>
      <c r="J178">
        <v>14.999554634000001</v>
      </c>
      <c r="K178">
        <v>2400</v>
      </c>
      <c r="L178">
        <v>0</v>
      </c>
      <c r="M178">
        <v>0</v>
      </c>
      <c r="N178">
        <v>2400</v>
      </c>
    </row>
    <row r="179" spans="1:14" x14ac:dyDescent="0.25">
      <c r="A179">
        <v>7.1934329999999997</v>
      </c>
      <c r="B179" s="1">
        <f>DATE(2010,5,8) + TIME(4,38,32)</f>
        <v>40306.193425925929</v>
      </c>
      <c r="C179">
        <v>1341.7655029</v>
      </c>
      <c r="D179">
        <v>1338.9482422000001</v>
      </c>
      <c r="E179">
        <v>1321.5200195</v>
      </c>
      <c r="F179">
        <v>1317.5661620999999</v>
      </c>
      <c r="G179">
        <v>80</v>
      </c>
      <c r="H179">
        <v>79.949790954999997</v>
      </c>
      <c r="I179">
        <v>50</v>
      </c>
      <c r="J179">
        <v>14.999556541</v>
      </c>
      <c r="K179">
        <v>2400</v>
      </c>
      <c r="L179">
        <v>0</v>
      </c>
      <c r="M179">
        <v>0</v>
      </c>
      <c r="N179">
        <v>2400</v>
      </c>
    </row>
    <row r="180" spans="1:14" x14ac:dyDescent="0.25">
      <c r="A180">
        <v>7.3103530000000001</v>
      </c>
      <c r="B180" s="1">
        <f>DATE(2010,5,8) + TIME(7,26,54)</f>
        <v>40306.310347222221</v>
      </c>
      <c r="C180">
        <v>1341.7532959</v>
      </c>
      <c r="D180">
        <v>1338.9379882999999</v>
      </c>
      <c r="E180">
        <v>1321.5202637</v>
      </c>
      <c r="F180">
        <v>1317.5662841999999</v>
      </c>
      <c r="G180">
        <v>80</v>
      </c>
      <c r="H180">
        <v>79.949798584000007</v>
      </c>
      <c r="I180">
        <v>50</v>
      </c>
      <c r="J180">
        <v>14.999558449</v>
      </c>
      <c r="K180">
        <v>2400</v>
      </c>
      <c r="L180">
        <v>0</v>
      </c>
      <c r="M180">
        <v>0</v>
      </c>
      <c r="N180">
        <v>2400</v>
      </c>
    </row>
    <row r="181" spans="1:14" x14ac:dyDescent="0.25">
      <c r="A181">
        <v>7.4280470000000003</v>
      </c>
      <c r="B181" s="1">
        <f>DATE(2010,5,8) + TIME(10,16,23)</f>
        <v>40306.428043981483</v>
      </c>
      <c r="C181">
        <v>1341.7413329999999</v>
      </c>
      <c r="D181">
        <v>1338.9279785000001</v>
      </c>
      <c r="E181">
        <v>1321.5205077999999</v>
      </c>
      <c r="F181">
        <v>1317.5665283000001</v>
      </c>
      <c r="G181">
        <v>80</v>
      </c>
      <c r="H181">
        <v>79.949806213000002</v>
      </c>
      <c r="I181">
        <v>50</v>
      </c>
      <c r="J181">
        <v>14.999560356</v>
      </c>
      <c r="K181">
        <v>2400</v>
      </c>
      <c r="L181">
        <v>0</v>
      </c>
      <c r="M181">
        <v>0</v>
      </c>
      <c r="N181">
        <v>2400</v>
      </c>
    </row>
    <row r="182" spans="1:14" x14ac:dyDescent="0.25">
      <c r="A182">
        <v>7.5467050000000002</v>
      </c>
      <c r="B182" s="1">
        <f>DATE(2010,5,8) + TIME(13,7,15)</f>
        <v>40306.546701388892</v>
      </c>
      <c r="C182">
        <v>1341.7294922000001</v>
      </c>
      <c r="D182">
        <v>1338.9179687999999</v>
      </c>
      <c r="E182">
        <v>1321.5206298999999</v>
      </c>
      <c r="F182">
        <v>1317.5666504000001</v>
      </c>
      <c r="G182">
        <v>80</v>
      </c>
      <c r="H182">
        <v>79.949813843000001</v>
      </c>
      <c r="I182">
        <v>50</v>
      </c>
      <c r="J182">
        <v>14.999561310000001</v>
      </c>
      <c r="K182">
        <v>2400</v>
      </c>
      <c r="L182">
        <v>0</v>
      </c>
      <c r="M182">
        <v>0</v>
      </c>
      <c r="N182">
        <v>2400</v>
      </c>
    </row>
    <row r="183" spans="1:14" x14ac:dyDescent="0.25">
      <c r="A183">
        <v>7.666525</v>
      </c>
      <c r="B183" s="1">
        <f>DATE(2010,5,8) + TIME(15,59,47)</f>
        <v>40306.666516203702</v>
      </c>
      <c r="C183">
        <v>1341.7176514</v>
      </c>
      <c r="D183">
        <v>1338.9082031</v>
      </c>
      <c r="E183">
        <v>1321.520874</v>
      </c>
      <c r="F183">
        <v>1317.5667725000001</v>
      </c>
      <c r="G183">
        <v>80</v>
      </c>
      <c r="H183">
        <v>79.949813843000001</v>
      </c>
      <c r="I183">
        <v>50</v>
      </c>
      <c r="J183">
        <v>14.999563217</v>
      </c>
      <c r="K183">
        <v>2400</v>
      </c>
      <c r="L183">
        <v>0</v>
      </c>
      <c r="M183">
        <v>0</v>
      </c>
      <c r="N183">
        <v>2400</v>
      </c>
    </row>
    <row r="184" spans="1:14" x14ac:dyDescent="0.25">
      <c r="A184">
        <v>7.7877090000000004</v>
      </c>
      <c r="B184" s="1">
        <f>DATE(2010,5,8) + TIME(18,54,18)</f>
        <v>40306.787708333337</v>
      </c>
      <c r="C184">
        <v>1341.7058105000001</v>
      </c>
      <c r="D184">
        <v>1338.8983154</v>
      </c>
      <c r="E184">
        <v>1321.5211182</v>
      </c>
      <c r="F184">
        <v>1317.5668945</v>
      </c>
      <c r="G184">
        <v>80</v>
      </c>
      <c r="H184">
        <v>79.949806213000002</v>
      </c>
      <c r="I184">
        <v>50</v>
      </c>
      <c r="J184">
        <v>14.999565125</v>
      </c>
      <c r="K184">
        <v>2400</v>
      </c>
      <c r="L184">
        <v>0</v>
      </c>
      <c r="M184">
        <v>0</v>
      </c>
      <c r="N184">
        <v>2400</v>
      </c>
    </row>
    <row r="185" spans="1:14" x14ac:dyDescent="0.25">
      <c r="A185">
        <v>7.9104669999999997</v>
      </c>
      <c r="B185" s="1">
        <f>DATE(2010,5,8) + TIME(21,51,4)</f>
        <v>40306.910462962966</v>
      </c>
      <c r="C185">
        <v>1341.6940918</v>
      </c>
      <c r="D185">
        <v>1338.8886719</v>
      </c>
      <c r="E185">
        <v>1321.5212402</v>
      </c>
      <c r="F185">
        <v>1317.5670166</v>
      </c>
      <c r="G185">
        <v>80</v>
      </c>
      <c r="H185">
        <v>79.949798584000007</v>
      </c>
      <c r="I185">
        <v>50</v>
      </c>
      <c r="J185">
        <v>14.999566078000001</v>
      </c>
      <c r="K185">
        <v>2400</v>
      </c>
      <c r="L185">
        <v>0</v>
      </c>
      <c r="M185">
        <v>0</v>
      </c>
      <c r="N185">
        <v>2400</v>
      </c>
    </row>
    <row r="186" spans="1:14" x14ac:dyDescent="0.25">
      <c r="A186">
        <v>8.0350160000000006</v>
      </c>
      <c r="B186" s="1">
        <f>DATE(2010,5,9) + TIME(0,50,25)</f>
        <v>40307.035011574073</v>
      </c>
      <c r="C186">
        <v>1341.6823730000001</v>
      </c>
      <c r="D186">
        <v>1338.8790283000001</v>
      </c>
      <c r="E186">
        <v>1321.5214844</v>
      </c>
      <c r="F186">
        <v>1317.5672606999999</v>
      </c>
      <c r="G186">
        <v>80</v>
      </c>
      <c r="H186">
        <v>79.949790954999997</v>
      </c>
      <c r="I186">
        <v>50</v>
      </c>
      <c r="J186">
        <v>14.999567986000001</v>
      </c>
      <c r="K186">
        <v>2400</v>
      </c>
      <c r="L186">
        <v>0</v>
      </c>
      <c r="M186">
        <v>0</v>
      </c>
      <c r="N186">
        <v>2400</v>
      </c>
    </row>
    <row r="187" spans="1:14" x14ac:dyDescent="0.25">
      <c r="A187">
        <v>8.1615939999999991</v>
      </c>
      <c r="B187" s="1">
        <f>DATE(2010,5,9) + TIME(3,52,41)</f>
        <v>40307.161585648151</v>
      </c>
      <c r="C187">
        <v>1341.6706543</v>
      </c>
      <c r="D187">
        <v>1338.8693848</v>
      </c>
      <c r="E187">
        <v>1321.5217285000001</v>
      </c>
      <c r="F187">
        <v>1317.5673827999999</v>
      </c>
      <c r="G187">
        <v>80</v>
      </c>
      <c r="H187">
        <v>79.949783324999999</v>
      </c>
      <c r="I187">
        <v>50</v>
      </c>
      <c r="J187">
        <v>14.999569893</v>
      </c>
      <c r="K187">
        <v>2400</v>
      </c>
      <c r="L187">
        <v>0</v>
      </c>
      <c r="M187">
        <v>0</v>
      </c>
      <c r="N187">
        <v>2400</v>
      </c>
    </row>
    <row r="188" spans="1:14" x14ac:dyDescent="0.25">
      <c r="A188">
        <v>8.2904870000000006</v>
      </c>
      <c r="B188" s="1">
        <f>DATE(2010,5,9) + TIME(6,58,18)</f>
        <v>40307.290486111109</v>
      </c>
      <c r="C188">
        <v>1341.6589355000001</v>
      </c>
      <c r="D188">
        <v>1338.8597411999999</v>
      </c>
      <c r="E188">
        <v>1321.5218506000001</v>
      </c>
      <c r="F188">
        <v>1317.5675048999999</v>
      </c>
      <c r="G188">
        <v>80</v>
      </c>
      <c r="H188">
        <v>79.949768066000004</v>
      </c>
      <c r="I188">
        <v>50</v>
      </c>
      <c r="J188">
        <v>14.9995718</v>
      </c>
      <c r="K188">
        <v>2400</v>
      </c>
      <c r="L188">
        <v>0</v>
      </c>
      <c r="M188">
        <v>0</v>
      </c>
      <c r="N188">
        <v>2400</v>
      </c>
    </row>
    <row r="189" spans="1:14" x14ac:dyDescent="0.25">
      <c r="A189">
        <v>8.4219089999999994</v>
      </c>
      <c r="B189" s="1">
        <f>DATE(2010,5,9) + TIME(10,7,32)</f>
        <v>40307.421898148146</v>
      </c>
      <c r="C189">
        <v>1341.6470947</v>
      </c>
      <c r="D189">
        <v>1338.8502197</v>
      </c>
      <c r="E189">
        <v>1321.5220947</v>
      </c>
      <c r="F189">
        <v>1317.567749</v>
      </c>
      <c r="G189">
        <v>80</v>
      </c>
      <c r="H189">
        <v>79.949752808</v>
      </c>
      <c r="I189">
        <v>50</v>
      </c>
      <c r="J189">
        <v>14.999572754000001</v>
      </c>
      <c r="K189">
        <v>2400</v>
      </c>
      <c r="L189">
        <v>0</v>
      </c>
      <c r="M189">
        <v>0</v>
      </c>
      <c r="N189">
        <v>2400</v>
      </c>
    </row>
    <row r="190" spans="1:14" x14ac:dyDescent="0.25">
      <c r="A190">
        <v>8.5561419999999995</v>
      </c>
      <c r="B190" s="1">
        <f>DATE(2010,5,9) + TIME(13,20,50)</f>
        <v>40307.556134259263</v>
      </c>
      <c r="C190">
        <v>1341.6352539</v>
      </c>
      <c r="D190">
        <v>1338.8405762</v>
      </c>
      <c r="E190">
        <v>1321.5223389</v>
      </c>
      <c r="F190">
        <v>1317.5678711</v>
      </c>
      <c r="G190">
        <v>80</v>
      </c>
      <c r="H190">
        <v>79.949737549000005</v>
      </c>
      <c r="I190">
        <v>50</v>
      </c>
      <c r="J190">
        <v>14.999574661</v>
      </c>
      <c r="K190">
        <v>2400</v>
      </c>
      <c r="L190">
        <v>0</v>
      </c>
      <c r="M190">
        <v>0</v>
      </c>
      <c r="N190">
        <v>2400</v>
      </c>
    </row>
    <row r="191" spans="1:14" x14ac:dyDescent="0.25">
      <c r="A191">
        <v>8.6930189999999996</v>
      </c>
      <c r="B191" s="1">
        <f>DATE(2010,5,9) + TIME(16,37,56)</f>
        <v>40307.693009259259</v>
      </c>
      <c r="C191">
        <v>1341.6232910000001</v>
      </c>
      <c r="D191">
        <v>1338.8309326000001</v>
      </c>
      <c r="E191">
        <v>1321.5225829999999</v>
      </c>
      <c r="F191">
        <v>1317.5679932</v>
      </c>
      <c r="G191">
        <v>80</v>
      </c>
      <c r="H191">
        <v>79.949714661000002</v>
      </c>
      <c r="I191">
        <v>50</v>
      </c>
      <c r="J191">
        <v>14.999576569</v>
      </c>
      <c r="K191">
        <v>2400</v>
      </c>
      <c r="L191">
        <v>0</v>
      </c>
      <c r="M191">
        <v>0</v>
      </c>
      <c r="N191">
        <v>2400</v>
      </c>
    </row>
    <row r="192" spans="1:14" x14ac:dyDescent="0.25">
      <c r="A192">
        <v>8.8325479999999992</v>
      </c>
      <c r="B192" s="1">
        <f>DATE(2010,5,9) + TIME(19,58,52)</f>
        <v>40307.832546296297</v>
      </c>
      <c r="C192">
        <v>1341.6113281</v>
      </c>
      <c r="D192">
        <v>1338.8212891000001</v>
      </c>
      <c r="E192">
        <v>1321.5228271000001</v>
      </c>
      <c r="F192">
        <v>1317.5682373</v>
      </c>
      <c r="G192">
        <v>80</v>
      </c>
      <c r="H192">
        <v>79.949699401999993</v>
      </c>
      <c r="I192">
        <v>50</v>
      </c>
      <c r="J192">
        <v>14.999578476</v>
      </c>
      <c r="K192">
        <v>2400</v>
      </c>
      <c r="L192">
        <v>0</v>
      </c>
      <c r="M192">
        <v>0</v>
      </c>
      <c r="N192">
        <v>2400</v>
      </c>
    </row>
    <row r="193" spans="1:14" x14ac:dyDescent="0.25">
      <c r="A193">
        <v>8.9750329999999998</v>
      </c>
      <c r="B193" s="1">
        <f>DATE(2010,5,9) + TIME(23,24,2)</f>
        <v>40307.975023148145</v>
      </c>
      <c r="C193">
        <v>1341.5992432</v>
      </c>
      <c r="D193">
        <v>1338.8116454999999</v>
      </c>
      <c r="E193">
        <v>1321.5229492000001</v>
      </c>
      <c r="F193">
        <v>1317.5683594</v>
      </c>
      <c r="G193">
        <v>80</v>
      </c>
      <c r="H193">
        <v>79.949668884000005</v>
      </c>
      <c r="I193">
        <v>50</v>
      </c>
      <c r="J193">
        <v>14.999579430000001</v>
      </c>
      <c r="K193">
        <v>2400</v>
      </c>
      <c r="L193">
        <v>0</v>
      </c>
      <c r="M193">
        <v>0</v>
      </c>
      <c r="N193">
        <v>2400</v>
      </c>
    </row>
    <row r="194" spans="1:14" x14ac:dyDescent="0.25">
      <c r="A194">
        <v>9.0479140000000005</v>
      </c>
      <c r="B194" s="1">
        <f>DATE(2010,5,10) + TIME(1,8,59)</f>
        <v>40308.047905092593</v>
      </c>
      <c r="C194">
        <v>1341.5870361</v>
      </c>
      <c r="D194">
        <v>1338.8017577999999</v>
      </c>
      <c r="E194">
        <v>1321.5231934000001</v>
      </c>
      <c r="F194">
        <v>1317.5684814000001</v>
      </c>
      <c r="G194">
        <v>80</v>
      </c>
      <c r="H194">
        <v>79.949653624999996</v>
      </c>
      <c r="I194">
        <v>50</v>
      </c>
      <c r="J194">
        <v>14.999580383</v>
      </c>
      <c r="K194">
        <v>2400</v>
      </c>
      <c r="L194">
        <v>0</v>
      </c>
      <c r="M194">
        <v>0</v>
      </c>
      <c r="N194">
        <v>2400</v>
      </c>
    </row>
    <row r="195" spans="1:14" x14ac:dyDescent="0.25">
      <c r="A195">
        <v>9.1207960000000003</v>
      </c>
      <c r="B195" s="1">
        <f>DATE(2010,5,10) + TIME(2,53,56)</f>
        <v>40308.120787037034</v>
      </c>
      <c r="C195">
        <v>1341.5808105000001</v>
      </c>
      <c r="D195">
        <v>1338.796875</v>
      </c>
      <c r="E195">
        <v>1321.5233154</v>
      </c>
      <c r="F195">
        <v>1317.5686035000001</v>
      </c>
      <c r="G195">
        <v>80</v>
      </c>
      <c r="H195">
        <v>79.949638367000006</v>
      </c>
      <c r="I195">
        <v>50</v>
      </c>
      <c r="J195">
        <v>14.999581337</v>
      </c>
      <c r="K195">
        <v>2400</v>
      </c>
      <c r="L195">
        <v>0</v>
      </c>
      <c r="M195">
        <v>0</v>
      </c>
      <c r="N195">
        <v>2400</v>
      </c>
    </row>
    <row r="196" spans="1:14" x14ac:dyDescent="0.25">
      <c r="A196">
        <v>9.1936780000000002</v>
      </c>
      <c r="B196" s="1">
        <f>DATE(2010,5,10) + TIME(4,38,53)</f>
        <v>40308.193668981483</v>
      </c>
      <c r="C196">
        <v>1341.5748291</v>
      </c>
      <c r="D196">
        <v>1338.7919922000001</v>
      </c>
      <c r="E196">
        <v>1321.5234375</v>
      </c>
      <c r="F196">
        <v>1317.5687256000001</v>
      </c>
      <c r="G196">
        <v>80</v>
      </c>
      <c r="H196">
        <v>79.949623107999997</v>
      </c>
      <c r="I196">
        <v>50</v>
      </c>
      <c r="J196">
        <v>14.999582290999999</v>
      </c>
      <c r="K196">
        <v>2400</v>
      </c>
      <c r="L196">
        <v>0</v>
      </c>
      <c r="M196">
        <v>0</v>
      </c>
      <c r="N196">
        <v>2400</v>
      </c>
    </row>
    <row r="197" spans="1:14" x14ac:dyDescent="0.25">
      <c r="A197">
        <v>9.2665600000000001</v>
      </c>
      <c r="B197" s="1">
        <f>DATE(2010,5,10) + TIME(6,23,50)</f>
        <v>40308.266550925924</v>
      </c>
      <c r="C197">
        <v>1341.5687256000001</v>
      </c>
      <c r="D197">
        <v>1338.7871094</v>
      </c>
      <c r="E197">
        <v>1321.5235596</v>
      </c>
      <c r="F197">
        <v>1317.5688477000001</v>
      </c>
      <c r="G197">
        <v>80</v>
      </c>
      <c r="H197">
        <v>79.949607849000003</v>
      </c>
      <c r="I197">
        <v>50</v>
      </c>
      <c r="J197">
        <v>14.999583244</v>
      </c>
      <c r="K197">
        <v>2400</v>
      </c>
      <c r="L197">
        <v>0</v>
      </c>
      <c r="M197">
        <v>0</v>
      </c>
      <c r="N197">
        <v>2400</v>
      </c>
    </row>
    <row r="198" spans="1:14" x14ac:dyDescent="0.25">
      <c r="A198">
        <v>9.3394410000000008</v>
      </c>
      <c r="B198" s="1">
        <f>DATE(2010,5,10) + TIME(8,8,47)</f>
        <v>40308.339432870373</v>
      </c>
      <c r="C198">
        <v>1341.5627440999999</v>
      </c>
      <c r="D198">
        <v>1338.7824707</v>
      </c>
      <c r="E198">
        <v>1321.5236815999999</v>
      </c>
      <c r="F198">
        <v>1317.5688477000001</v>
      </c>
      <c r="G198">
        <v>80</v>
      </c>
      <c r="H198">
        <v>79.949592589999995</v>
      </c>
      <c r="I198">
        <v>50</v>
      </c>
      <c r="J198">
        <v>14.999584198000001</v>
      </c>
      <c r="K198">
        <v>2400</v>
      </c>
      <c r="L198">
        <v>0</v>
      </c>
      <c r="M198">
        <v>0</v>
      </c>
      <c r="N198">
        <v>2400</v>
      </c>
    </row>
    <row r="199" spans="1:14" x14ac:dyDescent="0.25">
      <c r="A199">
        <v>9.4123230000000007</v>
      </c>
      <c r="B199" s="1">
        <f>DATE(2010,5,10) + TIME(9,53,44)</f>
        <v>40308.412314814814</v>
      </c>
      <c r="C199">
        <v>1341.5567627</v>
      </c>
      <c r="D199">
        <v>1338.7777100000001</v>
      </c>
      <c r="E199">
        <v>1321.5238036999999</v>
      </c>
      <c r="F199">
        <v>1317.5689697</v>
      </c>
      <c r="G199">
        <v>80</v>
      </c>
      <c r="H199">
        <v>79.949577332000004</v>
      </c>
      <c r="I199">
        <v>50</v>
      </c>
      <c r="J199">
        <v>14.999585152</v>
      </c>
      <c r="K199">
        <v>2400</v>
      </c>
      <c r="L199">
        <v>0</v>
      </c>
      <c r="M199">
        <v>0</v>
      </c>
      <c r="N199">
        <v>2400</v>
      </c>
    </row>
    <row r="200" spans="1:14" x14ac:dyDescent="0.25">
      <c r="A200">
        <v>9.4852050000000006</v>
      </c>
      <c r="B200" s="1">
        <f>DATE(2010,5,10) + TIME(11,38,41)</f>
        <v>40308.485196759262</v>
      </c>
      <c r="C200">
        <v>1341.5509033000001</v>
      </c>
      <c r="D200">
        <v>1338.7730713000001</v>
      </c>
      <c r="E200">
        <v>1321.5239257999999</v>
      </c>
      <c r="F200">
        <v>1317.5690918</v>
      </c>
      <c r="G200">
        <v>80</v>
      </c>
      <c r="H200">
        <v>79.949562072999996</v>
      </c>
      <c r="I200">
        <v>50</v>
      </c>
      <c r="J200">
        <v>14.999586105000001</v>
      </c>
      <c r="K200">
        <v>2400</v>
      </c>
      <c r="L200">
        <v>0</v>
      </c>
      <c r="M200">
        <v>0</v>
      </c>
      <c r="N200">
        <v>2400</v>
      </c>
    </row>
    <row r="201" spans="1:14" x14ac:dyDescent="0.25">
      <c r="A201">
        <v>9.5580870000000004</v>
      </c>
      <c r="B201" s="1">
        <f>DATE(2010,5,10) + TIME(13,23,38)</f>
        <v>40308.558078703703</v>
      </c>
      <c r="C201">
        <v>1341.5450439000001</v>
      </c>
      <c r="D201">
        <v>1338.7684326000001</v>
      </c>
      <c r="E201">
        <v>1321.5240478999999</v>
      </c>
      <c r="F201">
        <v>1317.5692139</v>
      </c>
      <c r="G201">
        <v>80</v>
      </c>
      <c r="H201">
        <v>79.949546814000001</v>
      </c>
      <c r="I201">
        <v>50</v>
      </c>
      <c r="J201">
        <v>14.999587059</v>
      </c>
      <c r="K201">
        <v>2400</v>
      </c>
      <c r="L201">
        <v>0</v>
      </c>
      <c r="M201">
        <v>0</v>
      </c>
      <c r="N201">
        <v>2400</v>
      </c>
    </row>
    <row r="202" spans="1:14" x14ac:dyDescent="0.25">
      <c r="A202">
        <v>9.6309679999999993</v>
      </c>
      <c r="B202" s="1">
        <f>DATE(2010,5,10) + TIME(15,8,35)</f>
        <v>40308.630960648145</v>
      </c>
      <c r="C202">
        <v>1341.5391846</v>
      </c>
      <c r="D202">
        <v>1338.7637939000001</v>
      </c>
      <c r="E202">
        <v>1321.5241699000001</v>
      </c>
      <c r="F202">
        <v>1317.5692139</v>
      </c>
      <c r="G202">
        <v>80</v>
      </c>
      <c r="H202">
        <v>79.949531554999993</v>
      </c>
      <c r="I202">
        <v>50</v>
      </c>
      <c r="J202">
        <v>14.999588013</v>
      </c>
      <c r="K202">
        <v>2400</v>
      </c>
      <c r="L202">
        <v>0</v>
      </c>
      <c r="M202">
        <v>0</v>
      </c>
      <c r="N202">
        <v>2400</v>
      </c>
    </row>
    <row r="203" spans="1:14" x14ac:dyDescent="0.25">
      <c r="A203">
        <v>9.7038499999999992</v>
      </c>
      <c r="B203" s="1">
        <f>DATE(2010,5,10) + TIME(16,53,32)</f>
        <v>40308.703842592593</v>
      </c>
      <c r="C203">
        <v>1341.5334473</v>
      </c>
      <c r="D203">
        <v>1338.7592772999999</v>
      </c>
      <c r="E203">
        <v>1321.5242920000001</v>
      </c>
      <c r="F203">
        <v>1317.5693358999999</v>
      </c>
      <c r="G203">
        <v>80</v>
      </c>
      <c r="H203">
        <v>79.949516295999999</v>
      </c>
      <c r="I203">
        <v>50</v>
      </c>
      <c r="J203">
        <v>14.999588965999999</v>
      </c>
      <c r="K203">
        <v>2400</v>
      </c>
      <c r="L203">
        <v>0</v>
      </c>
      <c r="M203">
        <v>0</v>
      </c>
      <c r="N203">
        <v>2400</v>
      </c>
    </row>
    <row r="204" spans="1:14" x14ac:dyDescent="0.25">
      <c r="A204">
        <v>9.7767320000000009</v>
      </c>
      <c r="B204" s="1">
        <f>DATE(2010,5,10) + TIME(18,38,29)</f>
        <v>40308.776724537034</v>
      </c>
      <c r="C204">
        <v>1341.5277100000001</v>
      </c>
      <c r="D204">
        <v>1338.7546387</v>
      </c>
      <c r="E204">
        <v>1321.5244141000001</v>
      </c>
      <c r="F204">
        <v>1317.5694579999999</v>
      </c>
      <c r="G204">
        <v>80</v>
      </c>
      <c r="H204">
        <v>79.949501037999994</v>
      </c>
      <c r="I204">
        <v>50</v>
      </c>
      <c r="J204">
        <v>14.99958992</v>
      </c>
      <c r="K204">
        <v>2400</v>
      </c>
      <c r="L204">
        <v>0</v>
      </c>
      <c r="M204">
        <v>0</v>
      </c>
      <c r="N204">
        <v>2400</v>
      </c>
    </row>
    <row r="205" spans="1:14" x14ac:dyDescent="0.25">
      <c r="A205">
        <v>9.8496129999999997</v>
      </c>
      <c r="B205" s="1">
        <f>DATE(2010,5,10) + TIME(20,23,26)</f>
        <v>40308.849606481483</v>
      </c>
      <c r="C205">
        <v>1341.5219727000001</v>
      </c>
      <c r="D205">
        <v>1338.7502440999999</v>
      </c>
      <c r="E205">
        <v>1321.5245361</v>
      </c>
      <c r="F205">
        <v>1317.5695800999999</v>
      </c>
      <c r="G205">
        <v>80</v>
      </c>
      <c r="H205">
        <v>79.949485779</v>
      </c>
      <c r="I205">
        <v>50</v>
      </c>
      <c r="J205">
        <v>14.99958992</v>
      </c>
      <c r="K205">
        <v>2400</v>
      </c>
      <c r="L205">
        <v>0</v>
      </c>
      <c r="M205">
        <v>0</v>
      </c>
      <c r="N205">
        <v>2400</v>
      </c>
    </row>
    <row r="206" spans="1:14" x14ac:dyDescent="0.25">
      <c r="A206">
        <v>9.9224949999999996</v>
      </c>
      <c r="B206" s="1">
        <f>DATE(2010,5,10) + TIME(22,8,23)</f>
        <v>40308.922488425924</v>
      </c>
      <c r="C206">
        <v>1341.5163574000001</v>
      </c>
      <c r="D206">
        <v>1338.7457274999999</v>
      </c>
      <c r="E206">
        <v>1321.5246582</v>
      </c>
      <c r="F206">
        <v>1317.5695800999999</v>
      </c>
      <c r="G206">
        <v>80</v>
      </c>
      <c r="H206">
        <v>79.949470520000006</v>
      </c>
      <c r="I206">
        <v>50</v>
      </c>
      <c r="J206">
        <v>14.999590874000001</v>
      </c>
      <c r="K206">
        <v>2400</v>
      </c>
      <c r="L206">
        <v>0</v>
      </c>
      <c r="M206">
        <v>0</v>
      </c>
      <c r="N206">
        <v>2400</v>
      </c>
    </row>
    <row r="207" spans="1:14" x14ac:dyDescent="0.25">
      <c r="A207">
        <v>9.9953769999999995</v>
      </c>
      <c r="B207" s="1">
        <f>DATE(2010,5,10) + TIME(23,53,20)</f>
        <v>40308.995370370372</v>
      </c>
      <c r="C207">
        <v>1341.5107422000001</v>
      </c>
      <c r="D207">
        <v>1338.7413329999999</v>
      </c>
      <c r="E207">
        <v>1321.5247803</v>
      </c>
      <c r="F207">
        <v>1317.5697021000001</v>
      </c>
      <c r="G207">
        <v>80</v>
      </c>
      <c r="H207">
        <v>79.949455260999997</v>
      </c>
      <c r="I207">
        <v>50</v>
      </c>
      <c r="J207">
        <v>14.999591827</v>
      </c>
      <c r="K207">
        <v>2400</v>
      </c>
      <c r="L207">
        <v>0</v>
      </c>
      <c r="M207">
        <v>0</v>
      </c>
      <c r="N207">
        <v>2400</v>
      </c>
    </row>
    <row r="208" spans="1:14" x14ac:dyDescent="0.25">
      <c r="A208">
        <v>10.14114</v>
      </c>
      <c r="B208" s="1">
        <f>DATE(2010,5,11) + TIME(3,23,14)</f>
        <v>40309.141134259262</v>
      </c>
      <c r="C208">
        <v>1341.505249</v>
      </c>
      <c r="D208">
        <v>1338.7371826000001</v>
      </c>
      <c r="E208">
        <v>1321.5249022999999</v>
      </c>
      <c r="F208">
        <v>1317.5698242000001</v>
      </c>
      <c r="G208">
        <v>80</v>
      </c>
      <c r="H208">
        <v>79.949432372999993</v>
      </c>
      <c r="I208">
        <v>50</v>
      </c>
      <c r="J208">
        <v>14.999593734999999</v>
      </c>
      <c r="K208">
        <v>2400</v>
      </c>
      <c r="L208">
        <v>0</v>
      </c>
      <c r="M208">
        <v>0</v>
      </c>
      <c r="N208">
        <v>2400</v>
      </c>
    </row>
    <row r="209" spans="1:14" x14ac:dyDescent="0.25">
      <c r="A209">
        <v>10.286953</v>
      </c>
      <c r="B209" s="1">
        <f>DATE(2010,5,11) + TIME(6,53,12)</f>
        <v>40309.286944444444</v>
      </c>
      <c r="C209">
        <v>1341.4941406</v>
      </c>
      <c r="D209">
        <v>1338.7285156</v>
      </c>
      <c r="E209">
        <v>1321.5251464999999</v>
      </c>
      <c r="F209">
        <v>1317.5700684000001</v>
      </c>
      <c r="G209">
        <v>80</v>
      </c>
      <c r="H209">
        <v>79.949401855000005</v>
      </c>
      <c r="I209">
        <v>50</v>
      </c>
      <c r="J209">
        <v>14.999594688</v>
      </c>
      <c r="K209">
        <v>2400</v>
      </c>
      <c r="L209">
        <v>0</v>
      </c>
      <c r="M209">
        <v>0</v>
      </c>
      <c r="N209">
        <v>2400</v>
      </c>
    </row>
    <row r="210" spans="1:14" x14ac:dyDescent="0.25">
      <c r="A210">
        <v>10.434043000000001</v>
      </c>
      <c r="B210" s="1">
        <f>DATE(2010,5,11) + TIME(10,25,1)</f>
        <v>40309.434039351851</v>
      </c>
      <c r="C210">
        <v>1341.4832764</v>
      </c>
      <c r="D210">
        <v>1338.7200928</v>
      </c>
      <c r="E210">
        <v>1321.5253906</v>
      </c>
      <c r="F210">
        <v>1317.5701904</v>
      </c>
      <c r="G210">
        <v>80</v>
      </c>
      <c r="H210">
        <v>79.949378967000001</v>
      </c>
      <c r="I210">
        <v>50</v>
      </c>
      <c r="J210">
        <v>14.999596596</v>
      </c>
      <c r="K210">
        <v>2400</v>
      </c>
      <c r="L210">
        <v>0</v>
      </c>
      <c r="M210">
        <v>0</v>
      </c>
      <c r="N210">
        <v>2400</v>
      </c>
    </row>
    <row r="211" spans="1:14" x14ac:dyDescent="0.25">
      <c r="A211">
        <v>10.582665</v>
      </c>
      <c r="B211" s="1">
        <f>DATE(2010,5,11) + TIME(13,59,2)</f>
        <v>40309.582662037035</v>
      </c>
      <c r="C211">
        <v>1341.4724120999999</v>
      </c>
      <c r="D211">
        <v>1338.7115478999999</v>
      </c>
      <c r="E211">
        <v>1321.5256348</v>
      </c>
      <c r="F211">
        <v>1317.5704346</v>
      </c>
      <c r="G211">
        <v>80</v>
      </c>
      <c r="H211">
        <v>79.949348450000002</v>
      </c>
      <c r="I211">
        <v>50</v>
      </c>
      <c r="J211">
        <v>14.999597549000001</v>
      </c>
      <c r="K211">
        <v>2400</v>
      </c>
      <c r="L211">
        <v>0</v>
      </c>
      <c r="M211">
        <v>0</v>
      </c>
      <c r="N211">
        <v>2400</v>
      </c>
    </row>
    <row r="212" spans="1:14" x14ac:dyDescent="0.25">
      <c r="A212">
        <v>10.733088</v>
      </c>
      <c r="B212" s="1">
        <f>DATE(2010,5,11) + TIME(17,35,38)</f>
        <v>40309.733078703706</v>
      </c>
      <c r="C212">
        <v>1341.4615478999999</v>
      </c>
      <c r="D212">
        <v>1338.7032471</v>
      </c>
      <c r="E212">
        <v>1321.5258789</v>
      </c>
      <c r="F212">
        <v>1317.5705565999999</v>
      </c>
      <c r="G212">
        <v>80</v>
      </c>
      <c r="H212">
        <v>79.949317932</v>
      </c>
      <c r="I212">
        <v>50</v>
      </c>
      <c r="J212">
        <v>14.999599457</v>
      </c>
      <c r="K212">
        <v>2400</v>
      </c>
      <c r="L212">
        <v>0</v>
      </c>
      <c r="M212">
        <v>0</v>
      </c>
      <c r="N212">
        <v>2400</v>
      </c>
    </row>
    <row r="213" spans="1:14" x14ac:dyDescent="0.25">
      <c r="A213">
        <v>10.885595</v>
      </c>
      <c r="B213" s="1">
        <f>DATE(2010,5,11) + TIME(21,15,15)</f>
        <v>40309.88559027778</v>
      </c>
      <c r="C213">
        <v>1341.4506836</v>
      </c>
      <c r="D213">
        <v>1338.6948242000001</v>
      </c>
      <c r="E213">
        <v>1321.5261230000001</v>
      </c>
      <c r="F213">
        <v>1317.5708007999999</v>
      </c>
      <c r="G213">
        <v>80</v>
      </c>
      <c r="H213">
        <v>79.949287415000001</v>
      </c>
      <c r="I213">
        <v>50</v>
      </c>
      <c r="J213">
        <v>14.999601364</v>
      </c>
      <c r="K213">
        <v>2400</v>
      </c>
      <c r="L213">
        <v>0</v>
      </c>
      <c r="M213">
        <v>0</v>
      </c>
      <c r="N213">
        <v>2400</v>
      </c>
    </row>
    <row r="214" spans="1:14" x14ac:dyDescent="0.25">
      <c r="A214">
        <v>11.040476</v>
      </c>
      <c r="B214" s="1">
        <f>DATE(2010,5,12) + TIME(0,58,17)</f>
        <v>40310.04047453704</v>
      </c>
      <c r="C214">
        <v>1341.4398193</v>
      </c>
      <c r="D214">
        <v>1338.6865233999999</v>
      </c>
      <c r="E214">
        <v>1321.5263672000001</v>
      </c>
      <c r="F214">
        <v>1317.5709228999999</v>
      </c>
      <c r="G214">
        <v>80</v>
      </c>
      <c r="H214">
        <v>79.949249268000003</v>
      </c>
      <c r="I214">
        <v>50</v>
      </c>
      <c r="J214">
        <v>14.999602318000001</v>
      </c>
      <c r="K214">
        <v>2400</v>
      </c>
      <c r="L214">
        <v>0</v>
      </c>
      <c r="M214">
        <v>0</v>
      </c>
      <c r="N214">
        <v>2400</v>
      </c>
    </row>
    <row r="215" spans="1:14" x14ac:dyDescent="0.25">
      <c r="A215">
        <v>11.198104000000001</v>
      </c>
      <c r="B215" s="1">
        <f>DATE(2010,5,12) + TIME(4,45,16)</f>
        <v>40310.198101851849</v>
      </c>
      <c r="C215">
        <v>1341.4289550999999</v>
      </c>
      <c r="D215">
        <v>1338.6782227000001</v>
      </c>
      <c r="E215">
        <v>1321.5266113</v>
      </c>
      <c r="F215">
        <v>1317.5711670000001</v>
      </c>
      <c r="G215">
        <v>80</v>
      </c>
      <c r="H215">
        <v>79.94921875</v>
      </c>
      <c r="I215">
        <v>50</v>
      </c>
      <c r="J215">
        <v>14.999604225000001</v>
      </c>
      <c r="K215">
        <v>2400</v>
      </c>
      <c r="L215">
        <v>0</v>
      </c>
      <c r="M215">
        <v>0</v>
      </c>
      <c r="N215">
        <v>2400</v>
      </c>
    </row>
    <row r="216" spans="1:14" x14ac:dyDescent="0.25">
      <c r="A216">
        <v>11.358765</v>
      </c>
      <c r="B216" s="1">
        <f>DATE(2010,5,12) + TIME(8,36,37)</f>
        <v>40310.358761574076</v>
      </c>
      <c r="C216">
        <v>1341.4180908000001</v>
      </c>
      <c r="D216">
        <v>1338.6699219</v>
      </c>
      <c r="E216">
        <v>1321.5269774999999</v>
      </c>
      <c r="F216">
        <v>1317.5714111</v>
      </c>
      <c r="G216">
        <v>80</v>
      </c>
      <c r="H216">
        <v>79.949188231999997</v>
      </c>
      <c r="I216">
        <v>50</v>
      </c>
      <c r="J216">
        <v>14.999605179</v>
      </c>
      <c r="K216">
        <v>2400</v>
      </c>
      <c r="L216">
        <v>0</v>
      </c>
      <c r="M216">
        <v>0</v>
      </c>
      <c r="N216">
        <v>2400</v>
      </c>
    </row>
    <row r="217" spans="1:14" x14ac:dyDescent="0.25">
      <c r="A217">
        <v>11.522805</v>
      </c>
      <c r="B217" s="1">
        <f>DATE(2010,5,12) + TIME(12,32,50)</f>
        <v>40310.522800925923</v>
      </c>
      <c r="C217">
        <v>1341.4071045000001</v>
      </c>
      <c r="D217">
        <v>1338.661499</v>
      </c>
      <c r="E217">
        <v>1321.5272216999999</v>
      </c>
      <c r="F217">
        <v>1317.5715332</v>
      </c>
      <c r="G217">
        <v>80</v>
      </c>
      <c r="H217">
        <v>79.949150084999999</v>
      </c>
      <c r="I217">
        <v>50</v>
      </c>
      <c r="J217">
        <v>14.999607085999999</v>
      </c>
      <c r="K217">
        <v>2400</v>
      </c>
      <c r="L217">
        <v>0</v>
      </c>
      <c r="M217">
        <v>0</v>
      </c>
      <c r="N217">
        <v>2400</v>
      </c>
    </row>
    <row r="218" spans="1:14" x14ac:dyDescent="0.25">
      <c r="A218">
        <v>11.689422</v>
      </c>
      <c r="B218" s="1">
        <f>DATE(2010,5,12) + TIME(16,32,46)</f>
        <v>40310.689421296294</v>
      </c>
      <c r="C218">
        <v>1341.3961182</v>
      </c>
      <c r="D218">
        <v>1338.6530762</v>
      </c>
      <c r="E218">
        <v>1321.5274658000001</v>
      </c>
      <c r="F218">
        <v>1317.5717772999999</v>
      </c>
      <c r="G218">
        <v>80</v>
      </c>
      <c r="H218">
        <v>79.949111938000001</v>
      </c>
      <c r="I218">
        <v>50</v>
      </c>
      <c r="J218">
        <v>14.999608994000001</v>
      </c>
      <c r="K218">
        <v>2400</v>
      </c>
      <c r="L218">
        <v>0</v>
      </c>
      <c r="M218">
        <v>0</v>
      </c>
      <c r="N218">
        <v>2400</v>
      </c>
    </row>
    <row r="219" spans="1:14" x14ac:dyDescent="0.25">
      <c r="A219">
        <v>11.858840000000001</v>
      </c>
      <c r="B219" s="1">
        <f>DATE(2010,5,12) + TIME(20,36,43)</f>
        <v>40310.858831018515</v>
      </c>
      <c r="C219">
        <v>1341.3850098</v>
      </c>
      <c r="D219">
        <v>1338.6447754000001</v>
      </c>
      <c r="E219">
        <v>1321.5277100000001</v>
      </c>
      <c r="F219">
        <v>1317.5720214999999</v>
      </c>
      <c r="G219">
        <v>80</v>
      </c>
      <c r="H219">
        <v>79.949081421000002</v>
      </c>
      <c r="I219">
        <v>50</v>
      </c>
      <c r="J219">
        <v>14.999609947</v>
      </c>
      <c r="K219">
        <v>2400</v>
      </c>
      <c r="L219">
        <v>0</v>
      </c>
      <c r="M219">
        <v>0</v>
      </c>
      <c r="N219">
        <v>2400</v>
      </c>
    </row>
    <row r="220" spans="1:14" x14ac:dyDescent="0.25">
      <c r="A220">
        <v>11.945137000000001</v>
      </c>
      <c r="B220" s="1">
        <f>DATE(2010,5,12) + TIME(22,40,59)</f>
        <v>40310.945127314815</v>
      </c>
      <c r="C220">
        <v>1341.3737793</v>
      </c>
      <c r="D220">
        <v>1338.6361084</v>
      </c>
      <c r="E220">
        <v>1321.5279541</v>
      </c>
      <c r="F220">
        <v>1317.5721435999999</v>
      </c>
      <c r="G220">
        <v>80</v>
      </c>
      <c r="H220">
        <v>79.949050903</v>
      </c>
      <c r="I220">
        <v>50</v>
      </c>
      <c r="J220">
        <v>14.999610901</v>
      </c>
      <c r="K220">
        <v>2400</v>
      </c>
      <c r="L220">
        <v>0</v>
      </c>
      <c r="M220">
        <v>0</v>
      </c>
      <c r="N220">
        <v>2400</v>
      </c>
    </row>
    <row r="221" spans="1:14" x14ac:dyDescent="0.25">
      <c r="A221">
        <v>12.031434000000001</v>
      </c>
      <c r="B221" s="1">
        <f>DATE(2010,5,13) + TIME(0,45,15)</f>
        <v>40311.031423611108</v>
      </c>
      <c r="C221">
        <v>1341.3681641000001</v>
      </c>
      <c r="D221">
        <v>1338.6319579999999</v>
      </c>
      <c r="E221">
        <v>1321.5281981999999</v>
      </c>
      <c r="F221">
        <v>1317.5722656</v>
      </c>
      <c r="G221">
        <v>80</v>
      </c>
      <c r="H221">
        <v>79.949028014999996</v>
      </c>
      <c r="I221">
        <v>50</v>
      </c>
      <c r="J221">
        <v>14.999611854999999</v>
      </c>
      <c r="K221">
        <v>2400</v>
      </c>
      <c r="L221">
        <v>0</v>
      </c>
      <c r="M221">
        <v>0</v>
      </c>
      <c r="N221">
        <v>2400</v>
      </c>
    </row>
    <row r="222" spans="1:14" x14ac:dyDescent="0.25">
      <c r="A222">
        <v>12.117732</v>
      </c>
      <c r="B222" s="1">
        <f>DATE(2010,5,13) + TIME(2,49,32)</f>
        <v>40311.117731481485</v>
      </c>
      <c r="C222">
        <v>1341.3626709</v>
      </c>
      <c r="D222">
        <v>1338.6276855000001</v>
      </c>
      <c r="E222">
        <v>1321.5283202999999</v>
      </c>
      <c r="F222">
        <v>1317.5723877</v>
      </c>
      <c r="G222">
        <v>80</v>
      </c>
      <c r="H222">
        <v>79.949012756000002</v>
      </c>
      <c r="I222">
        <v>50</v>
      </c>
      <c r="J222">
        <v>14.999612808</v>
      </c>
      <c r="K222">
        <v>2400</v>
      </c>
      <c r="L222">
        <v>0</v>
      </c>
      <c r="M222">
        <v>0</v>
      </c>
      <c r="N222">
        <v>2400</v>
      </c>
    </row>
    <row r="223" spans="1:14" x14ac:dyDescent="0.25">
      <c r="A223">
        <v>12.204029</v>
      </c>
      <c r="B223" s="1">
        <f>DATE(2010,5,13) + TIME(4,53,48)</f>
        <v>40311.204027777778</v>
      </c>
      <c r="C223">
        <v>1341.3570557</v>
      </c>
      <c r="D223">
        <v>1338.6235352000001</v>
      </c>
      <c r="E223">
        <v>1321.5284423999999</v>
      </c>
      <c r="F223">
        <v>1317.5725098</v>
      </c>
      <c r="G223">
        <v>80</v>
      </c>
      <c r="H223">
        <v>79.948989867999998</v>
      </c>
      <c r="I223">
        <v>50</v>
      </c>
      <c r="J223">
        <v>14.999613761999999</v>
      </c>
      <c r="K223">
        <v>2400</v>
      </c>
      <c r="L223">
        <v>0</v>
      </c>
      <c r="M223">
        <v>0</v>
      </c>
      <c r="N223">
        <v>2400</v>
      </c>
    </row>
    <row r="224" spans="1:14" x14ac:dyDescent="0.25">
      <c r="A224">
        <v>12.290327</v>
      </c>
      <c r="B224" s="1">
        <f>DATE(2010,5,13) + TIME(6,58,4)</f>
        <v>40311.290324074071</v>
      </c>
      <c r="C224">
        <v>1341.3516846</v>
      </c>
      <c r="D224">
        <v>1338.6193848</v>
      </c>
      <c r="E224">
        <v>1321.5285644999999</v>
      </c>
      <c r="F224">
        <v>1317.5726318</v>
      </c>
      <c r="G224">
        <v>80</v>
      </c>
      <c r="H224">
        <v>79.948966979999994</v>
      </c>
      <c r="I224">
        <v>50</v>
      </c>
      <c r="J224">
        <v>14.999614716</v>
      </c>
      <c r="K224">
        <v>2400</v>
      </c>
      <c r="L224">
        <v>0</v>
      </c>
      <c r="M224">
        <v>0</v>
      </c>
      <c r="N224">
        <v>2400</v>
      </c>
    </row>
    <row r="225" spans="1:14" x14ac:dyDescent="0.25">
      <c r="A225">
        <v>12.376624</v>
      </c>
      <c r="B225" s="1">
        <f>DATE(2010,5,13) + TIME(9,2,20)</f>
        <v>40311.376620370371</v>
      </c>
      <c r="C225">
        <v>1341.3461914</v>
      </c>
      <c r="D225">
        <v>1338.6153564000001</v>
      </c>
      <c r="E225">
        <v>1321.5286865</v>
      </c>
      <c r="F225">
        <v>1317.5727539</v>
      </c>
      <c r="G225">
        <v>80</v>
      </c>
      <c r="H225">
        <v>79.948951721</v>
      </c>
      <c r="I225">
        <v>50</v>
      </c>
      <c r="J225">
        <v>14.999615669000001</v>
      </c>
      <c r="K225">
        <v>2400</v>
      </c>
      <c r="L225">
        <v>0</v>
      </c>
      <c r="M225">
        <v>0</v>
      </c>
      <c r="N225">
        <v>2400</v>
      </c>
    </row>
    <row r="226" spans="1:14" x14ac:dyDescent="0.25">
      <c r="A226">
        <v>12.462922000000001</v>
      </c>
      <c r="B226" s="1">
        <f>DATE(2010,5,13) + TIME(11,6,36)</f>
        <v>40311.462916666664</v>
      </c>
      <c r="C226">
        <v>1341.3408202999999</v>
      </c>
      <c r="D226">
        <v>1338.6112060999999</v>
      </c>
      <c r="E226">
        <v>1321.5289307</v>
      </c>
      <c r="F226">
        <v>1317.5727539</v>
      </c>
      <c r="G226">
        <v>80</v>
      </c>
      <c r="H226">
        <v>79.948928832999997</v>
      </c>
      <c r="I226">
        <v>50</v>
      </c>
      <c r="J226">
        <v>14.999615669000001</v>
      </c>
      <c r="K226">
        <v>2400</v>
      </c>
      <c r="L226">
        <v>0</v>
      </c>
      <c r="M226">
        <v>0</v>
      </c>
      <c r="N226">
        <v>2400</v>
      </c>
    </row>
    <row r="227" spans="1:14" x14ac:dyDescent="0.25">
      <c r="A227">
        <v>12.549219000000001</v>
      </c>
      <c r="B227" s="1">
        <f>DATE(2010,5,13) + TIME(13,10,52)</f>
        <v>40311.549212962964</v>
      </c>
      <c r="C227">
        <v>1341.3354492000001</v>
      </c>
      <c r="D227">
        <v>1338.6071777</v>
      </c>
      <c r="E227">
        <v>1321.5290527</v>
      </c>
      <c r="F227">
        <v>1317.572876</v>
      </c>
      <c r="G227">
        <v>80</v>
      </c>
      <c r="H227">
        <v>79.948905945000007</v>
      </c>
      <c r="I227">
        <v>50</v>
      </c>
      <c r="J227">
        <v>14.999616623</v>
      </c>
      <c r="K227">
        <v>2400</v>
      </c>
      <c r="L227">
        <v>0</v>
      </c>
      <c r="M227">
        <v>0</v>
      </c>
      <c r="N227">
        <v>2400</v>
      </c>
    </row>
    <row r="228" spans="1:14" x14ac:dyDescent="0.25">
      <c r="A228">
        <v>12.635516000000001</v>
      </c>
      <c r="B228" s="1">
        <f>DATE(2010,5,13) + TIME(15,15,8)</f>
        <v>40311.635509259257</v>
      </c>
      <c r="C228">
        <v>1341.3300781</v>
      </c>
      <c r="D228">
        <v>1338.6031493999999</v>
      </c>
      <c r="E228">
        <v>1321.5291748</v>
      </c>
      <c r="F228">
        <v>1317.5729980000001</v>
      </c>
      <c r="G228">
        <v>80</v>
      </c>
      <c r="H228">
        <v>79.948890685999999</v>
      </c>
      <c r="I228">
        <v>50</v>
      </c>
      <c r="J228">
        <v>14.999617577</v>
      </c>
      <c r="K228">
        <v>2400</v>
      </c>
      <c r="L228">
        <v>0</v>
      </c>
      <c r="M228">
        <v>0</v>
      </c>
      <c r="N228">
        <v>2400</v>
      </c>
    </row>
    <row r="229" spans="1:14" x14ac:dyDescent="0.25">
      <c r="A229">
        <v>12.721814</v>
      </c>
      <c r="B229" s="1">
        <f>DATE(2010,5,13) + TIME(17,19,24)</f>
        <v>40311.721805555557</v>
      </c>
      <c r="C229">
        <v>1341.324707</v>
      </c>
      <c r="D229">
        <v>1338.5992432</v>
      </c>
      <c r="E229">
        <v>1321.5292969</v>
      </c>
      <c r="F229">
        <v>1317.5731201000001</v>
      </c>
      <c r="G229">
        <v>80</v>
      </c>
      <c r="H229">
        <v>79.948867797999995</v>
      </c>
      <c r="I229">
        <v>50</v>
      </c>
      <c r="J229">
        <v>14.999618529999999</v>
      </c>
      <c r="K229">
        <v>2400</v>
      </c>
      <c r="L229">
        <v>0</v>
      </c>
      <c r="M229">
        <v>0</v>
      </c>
      <c r="N229">
        <v>2400</v>
      </c>
    </row>
    <row r="230" spans="1:14" x14ac:dyDescent="0.25">
      <c r="A230">
        <v>12.808111</v>
      </c>
      <c r="B230" s="1">
        <f>DATE(2010,5,13) + TIME(19,23,40)</f>
        <v>40311.80810185185</v>
      </c>
      <c r="C230">
        <v>1341.3194579999999</v>
      </c>
      <c r="D230">
        <v>1338.5952147999999</v>
      </c>
      <c r="E230">
        <v>1321.5294189000001</v>
      </c>
      <c r="F230">
        <v>1317.5732422000001</v>
      </c>
      <c r="G230">
        <v>80</v>
      </c>
      <c r="H230">
        <v>79.948852539000001</v>
      </c>
      <c r="I230">
        <v>50</v>
      </c>
      <c r="J230">
        <v>14.999619484</v>
      </c>
      <c r="K230">
        <v>2400</v>
      </c>
      <c r="L230">
        <v>0</v>
      </c>
      <c r="M230">
        <v>0</v>
      </c>
      <c r="N230">
        <v>2400</v>
      </c>
    </row>
    <row r="231" spans="1:14" x14ac:dyDescent="0.25">
      <c r="A231">
        <v>12.894409</v>
      </c>
      <c r="B231" s="1">
        <f>DATE(2010,5,13) + TIME(21,27,56)</f>
        <v>40311.89439814815</v>
      </c>
      <c r="C231">
        <v>1341.3143310999999</v>
      </c>
      <c r="D231">
        <v>1338.5913086</v>
      </c>
      <c r="E231">
        <v>1321.5296631000001</v>
      </c>
      <c r="F231">
        <v>1317.5733643000001</v>
      </c>
      <c r="G231">
        <v>80</v>
      </c>
      <c r="H231">
        <v>79.948829650999997</v>
      </c>
      <c r="I231">
        <v>50</v>
      </c>
      <c r="J231">
        <v>14.999620438000001</v>
      </c>
      <c r="K231">
        <v>2400</v>
      </c>
      <c r="L231">
        <v>0</v>
      </c>
      <c r="M231">
        <v>0</v>
      </c>
      <c r="N231">
        <v>2400</v>
      </c>
    </row>
    <row r="232" spans="1:14" x14ac:dyDescent="0.25">
      <c r="A232">
        <v>12.980706</v>
      </c>
      <c r="B232" s="1">
        <f>DATE(2010,5,13) + TIME(23,32,13)</f>
        <v>40311.980706018519</v>
      </c>
      <c r="C232">
        <v>1341.309082</v>
      </c>
      <c r="D232">
        <v>1338.5875243999999</v>
      </c>
      <c r="E232">
        <v>1321.5297852000001</v>
      </c>
      <c r="F232">
        <v>1317.5734863</v>
      </c>
      <c r="G232">
        <v>80</v>
      </c>
      <c r="H232">
        <v>79.948814392000003</v>
      </c>
      <c r="I232">
        <v>50</v>
      </c>
      <c r="J232">
        <v>14.999620438000001</v>
      </c>
      <c r="K232">
        <v>2400</v>
      </c>
      <c r="L232">
        <v>0</v>
      </c>
      <c r="M232">
        <v>0</v>
      </c>
      <c r="N232">
        <v>2400</v>
      </c>
    </row>
    <row r="233" spans="1:14" x14ac:dyDescent="0.25">
      <c r="A233">
        <v>13.067003</v>
      </c>
      <c r="B233" s="1">
        <f>DATE(2010,5,14) + TIME(1,36,29)</f>
        <v>40312.067002314812</v>
      </c>
      <c r="C233">
        <v>1341.3039550999999</v>
      </c>
      <c r="D233">
        <v>1338.5836182</v>
      </c>
      <c r="E233">
        <v>1321.5299072</v>
      </c>
      <c r="F233">
        <v>1317.5736084</v>
      </c>
      <c r="G233">
        <v>80</v>
      </c>
      <c r="H233">
        <v>79.948799132999994</v>
      </c>
      <c r="I233">
        <v>50</v>
      </c>
      <c r="J233">
        <v>14.999621391</v>
      </c>
      <c r="K233">
        <v>2400</v>
      </c>
      <c r="L233">
        <v>0</v>
      </c>
      <c r="M233">
        <v>0</v>
      </c>
      <c r="N233">
        <v>2400</v>
      </c>
    </row>
    <row r="234" spans="1:14" x14ac:dyDescent="0.25">
      <c r="A234">
        <v>13.239598000000001</v>
      </c>
      <c r="B234" s="1">
        <f>DATE(2010,5,14) + TIME(5,45,1)</f>
        <v>40312.239594907405</v>
      </c>
      <c r="C234">
        <v>1341.2989502</v>
      </c>
      <c r="D234">
        <v>1338.5799560999999</v>
      </c>
      <c r="E234">
        <v>1321.5300293</v>
      </c>
      <c r="F234">
        <v>1317.5737305</v>
      </c>
      <c r="G234">
        <v>80</v>
      </c>
      <c r="H234">
        <v>79.948768615999995</v>
      </c>
      <c r="I234">
        <v>50</v>
      </c>
      <c r="J234">
        <v>14.999623299</v>
      </c>
      <c r="K234">
        <v>2400</v>
      </c>
      <c r="L234">
        <v>0</v>
      </c>
      <c r="M234">
        <v>0</v>
      </c>
      <c r="N234">
        <v>2400</v>
      </c>
    </row>
    <row r="235" spans="1:14" x14ac:dyDescent="0.25">
      <c r="A235">
        <v>13.412239</v>
      </c>
      <c r="B235" s="1">
        <f>DATE(2010,5,14) + TIME(9,53,37)</f>
        <v>40312.412233796298</v>
      </c>
      <c r="C235">
        <v>1341.2888184000001</v>
      </c>
      <c r="D235">
        <v>1338.5725098</v>
      </c>
      <c r="E235">
        <v>1321.5303954999999</v>
      </c>
      <c r="F235">
        <v>1317.5739745999999</v>
      </c>
      <c r="G235">
        <v>80</v>
      </c>
      <c r="H235">
        <v>79.948738098000007</v>
      </c>
      <c r="I235">
        <v>50</v>
      </c>
      <c r="J235">
        <v>14.999624252</v>
      </c>
      <c r="K235">
        <v>2400</v>
      </c>
      <c r="L235">
        <v>0</v>
      </c>
      <c r="M235">
        <v>0</v>
      </c>
      <c r="N235">
        <v>2400</v>
      </c>
    </row>
    <row r="236" spans="1:14" x14ac:dyDescent="0.25">
      <c r="A236">
        <v>13.586456999999999</v>
      </c>
      <c r="B236" s="1">
        <f>DATE(2010,5,14) + TIME(14,4,29)</f>
        <v>40312.586446759262</v>
      </c>
      <c r="C236">
        <v>1341.2786865</v>
      </c>
      <c r="D236">
        <v>1338.5650635</v>
      </c>
      <c r="E236">
        <v>1321.5306396000001</v>
      </c>
      <c r="F236">
        <v>1317.5740966999999</v>
      </c>
      <c r="G236">
        <v>80</v>
      </c>
      <c r="H236">
        <v>79.948707580999994</v>
      </c>
      <c r="I236">
        <v>50</v>
      </c>
      <c r="J236">
        <v>14.999625205999999</v>
      </c>
      <c r="K236">
        <v>2400</v>
      </c>
      <c r="L236">
        <v>0</v>
      </c>
      <c r="M236">
        <v>0</v>
      </c>
      <c r="N236">
        <v>2400</v>
      </c>
    </row>
    <row r="237" spans="1:14" x14ac:dyDescent="0.25">
      <c r="A237">
        <v>13.762581000000001</v>
      </c>
      <c r="B237" s="1">
        <f>DATE(2010,5,14) + TIME(18,18,7)</f>
        <v>40312.76258101852</v>
      </c>
      <c r="C237">
        <v>1341.2686768000001</v>
      </c>
      <c r="D237">
        <v>1338.5576172000001</v>
      </c>
      <c r="E237">
        <v>1321.5310059000001</v>
      </c>
      <c r="F237">
        <v>1317.5743408000001</v>
      </c>
      <c r="G237">
        <v>80</v>
      </c>
      <c r="H237">
        <v>79.948669433999996</v>
      </c>
      <c r="I237">
        <v>50</v>
      </c>
      <c r="J237">
        <v>14.999627113000001</v>
      </c>
      <c r="K237">
        <v>2400</v>
      </c>
      <c r="L237">
        <v>0</v>
      </c>
      <c r="M237">
        <v>0</v>
      </c>
      <c r="N237">
        <v>2400</v>
      </c>
    </row>
    <row r="238" spans="1:14" x14ac:dyDescent="0.25">
      <c r="A238">
        <v>13.940958999999999</v>
      </c>
      <c r="B238" s="1">
        <f>DATE(2010,5,14) + TIME(22,34,58)</f>
        <v>40312.940949074073</v>
      </c>
      <c r="C238">
        <v>1341.2586670000001</v>
      </c>
      <c r="D238">
        <v>1338.550293</v>
      </c>
      <c r="E238">
        <v>1321.53125</v>
      </c>
      <c r="F238">
        <v>1317.5745850000001</v>
      </c>
      <c r="G238">
        <v>80</v>
      </c>
      <c r="H238">
        <v>79.948638915999993</v>
      </c>
      <c r="I238">
        <v>50</v>
      </c>
      <c r="J238">
        <v>14.999628067</v>
      </c>
      <c r="K238">
        <v>2400</v>
      </c>
      <c r="L238">
        <v>0</v>
      </c>
      <c r="M238">
        <v>0</v>
      </c>
      <c r="N238">
        <v>2400</v>
      </c>
    </row>
    <row r="239" spans="1:14" x14ac:dyDescent="0.25">
      <c r="A239">
        <v>14.121952</v>
      </c>
      <c r="B239" s="1">
        <f>DATE(2010,5,15) + TIME(2,55,36)</f>
        <v>40313.121944444443</v>
      </c>
      <c r="C239">
        <v>1341.2486572</v>
      </c>
      <c r="D239">
        <v>1338.5429687999999</v>
      </c>
      <c r="E239">
        <v>1321.5314940999999</v>
      </c>
      <c r="F239">
        <v>1317.5748291</v>
      </c>
      <c r="G239">
        <v>80</v>
      </c>
      <c r="H239">
        <v>79.948600768999995</v>
      </c>
      <c r="I239">
        <v>50</v>
      </c>
      <c r="J239">
        <v>14.999629973999999</v>
      </c>
      <c r="K239">
        <v>2400</v>
      </c>
      <c r="L239">
        <v>0</v>
      </c>
      <c r="M239">
        <v>0</v>
      </c>
      <c r="N239">
        <v>2400</v>
      </c>
    </row>
    <row r="240" spans="1:14" x14ac:dyDescent="0.25">
      <c r="A240">
        <v>14.305974000000001</v>
      </c>
      <c r="B240" s="1">
        <f>DATE(2010,5,15) + TIME(7,20,36)</f>
        <v>40313.305972222224</v>
      </c>
      <c r="C240">
        <v>1341.2386475000001</v>
      </c>
      <c r="D240">
        <v>1338.5355225000001</v>
      </c>
      <c r="E240">
        <v>1321.5318603999999</v>
      </c>
      <c r="F240">
        <v>1317.5750731999999</v>
      </c>
      <c r="G240">
        <v>80</v>
      </c>
      <c r="H240">
        <v>79.948562621999997</v>
      </c>
      <c r="I240">
        <v>50</v>
      </c>
      <c r="J240">
        <v>14.999630928</v>
      </c>
      <c r="K240">
        <v>2400</v>
      </c>
      <c r="L240">
        <v>0</v>
      </c>
      <c r="M240">
        <v>0</v>
      </c>
      <c r="N240">
        <v>2400</v>
      </c>
    </row>
    <row r="241" spans="1:14" x14ac:dyDescent="0.25">
      <c r="A241">
        <v>14.493453000000001</v>
      </c>
      <c r="B241" s="1">
        <f>DATE(2010,5,15) + TIME(11,50,34)</f>
        <v>40313.493449074071</v>
      </c>
      <c r="C241">
        <v>1341.2285156</v>
      </c>
      <c r="D241">
        <v>1338.5281981999999</v>
      </c>
      <c r="E241">
        <v>1321.5322266000001</v>
      </c>
      <c r="F241">
        <v>1317.5753173999999</v>
      </c>
      <c r="G241">
        <v>80</v>
      </c>
      <c r="H241">
        <v>79.948524474999999</v>
      </c>
      <c r="I241">
        <v>50</v>
      </c>
      <c r="J241">
        <v>14.999632835</v>
      </c>
      <c r="K241">
        <v>2400</v>
      </c>
      <c r="L241">
        <v>0</v>
      </c>
      <c r="M241">
        <v>0</v>
      </c>
      <c r="N241">
        <v>2400</v>
      </c>
    </row>
    <row r="242" spans="1:14" x14ac:dyDescent="0.25">
      <c r="A242">
        <v>14.684253</v>
      </c>
      <c r="B242" s="1">
        <f>DATE(2010,5,15) + TIME(16,25,19)</f>
        <v>40313.684247685182</v>
      </c>
      <c r="C242">
        <v>1341.2183838000001</v>
      </c>
      <c r="D242">
        <v>1338.5207519999999</v>
      </c>
      <c r="E242">
        <v>1321.5324707</v>
      </c>
      <c r="F242">
        <v>1317.5755615</v>
      </c>
      <c r="G242">
        <v>80</v>
      </c>
      <c r="H242">
        <v>79.948493958</v>
      </c>
      <c r="I242">
        <v>50</v>
      </c>
      <c r="J242">
        <v>14.999633789000001</v>
      </c>
      <c r="K242">
        <v>2400</v>
      </c>
      <c r="L242">
        <v>0</v>
      </c>
      <c r="M242">
        <v>0</v>
      </c>
      <c r="N242">
        <v>2400</v>
      </c>
    </row>
    <row r="243" spans="1:14" x14ac:dyDescent="0.25">
      <c r="A243">
        <v>14.877461</v>
      </c>
      <c r="B243" s="1">
        <f>DATE(2010,5,15) + TIME(21,3,32)</f>
        <v>40313.877453703702</v>
      </c>
      <c r="C243">
        <v>1341.2081298999999</v>
      </c>
      <c r="D243">
        <v>1338.5133057</v>
      </c>
      <c r="E243">
        <v>1321.5328368999999</v>
      </c>
      <c r="F243">
        <v>1317.5758057</v>
      </c>
      <c r="G243">
        <v>80</v>
      </c>
      <c r="H243">
        <v>79.948455811000002</v>
      </c>
      <c r="I243">
        <v>50</v>
      </c>
      <c r="J243">
        <v>14.999635696</v>
      </c>
      <c r="K243">
        <v>2400</v>
      </c>
      <c r="L243">
        <v>0</v>
      </c>
      <c r="M243">
        <v>0</v>
      </c>
      <c r="N243">
        <v>2400</v>
      </c>
    </row>
    <row r="244" spans="1:14" x14ac:dyDescent="0.25">
      <c r="A244">
        <v>15.073496</v>
      </c>
      <c r="B244" s="1">
        <f>DATE(2010,5,16) + TIME(1,45,50)</f>
        <v>40314.073495370372</v>
      </c>
      <c r="C244">
        <v>1341.1979980000001</v>
      </c>
      <c r="D244">
        <v>1338.5058594</v>
      </c>
      <c r="E244">
        <v>1321.5332031</v>
      </c>
      <c r="F244">
        <v>1317.5760498</v>
      </c>
      <c r="G244">
        <v>80</v>
      </c>
      <c r="H244">
        <v>79.948417664000004</v>
      </c>
      <c r="I244">
        <v>50</v>
      </c>
      <c r="J244">
        <v>14.999637604</v>
      </c>
      <c r="K244">
        <v>2400</v>
      </c>
      <c r="L244">
        <v>0</v>
      </c>
      <c r="M244">
        <v>0</v>
      </c>
      <c r="N244">
        <v>2400</v>
      </c>
    </row>
    <row r="245" spans="1:14" x14ac:dyDescent="0.25">
      <c r="A245">
        <v>15.172647</v>
      </c>
      <c r="B245" s="1">
        <f>DATE(2010,5,16) + TIME(4,8,36)</f>
        <v>40314.172638888886</v>
      </c>
      <c r="C245">
        <v>1341.1876221</v>
      </c>
      <c r="D245">
        <v>1338.4981689000001</v>
      </c>
      <c r="E245">
        <v>1321.5334473</v>
      </c>
      <c r="F245">
        <v>1317.5761719</v>
      </c>
      <c r="G245">
        <v>80</v>
      </c>
      <c r="H245">
        <v>79.948387146000002</v>
      </c>
      <c r="I245">
        <v>50</v>
      </c>
      <c r="J245">
        <v>14.999637604</v>
      </c>
      <c r="K245">
        <v>2400</v>
      </c>
      <c r="L245">
        <v>0</v>
      </c>
      <c r="M245">
        <v>0</v>
      </c>
      <c r="N245">
        <v>2400</v>
      </c>
    </row>
    <row r="246" spans="1:14" x14ac:dyDescent="0.25">
      <c r="A246">
        <v>15.271798</v>
      </c>
      <c r="B246" s="1">
        <f>DATE(2010,5,16) + TIME(6,31,23)</f>
        <v>40314.271793981483</v>
      </c>
      <c r="C246">
        <v>1341.1824951000001</v>
      </c>
      <c r="D246">
        <v>1338.4945068</v>
      </c>
      <c r="E246">
        <v>1321.5335693</v>
      </c>
      <c r="F246">
        <v>1317.5762939000001</v>
      </c>
      <c r="G246">
        <v>80</v>
      </c>
      <c r="H246">
        <v>79.948364257999998</v>
      </c>
      <c r="I246">
        <v>50</v>
      </c>
      <c r="J246">
        <v>14.999638557000001</v>
      </c>
      <c r="K246">
        <v>2400</v>
      </c>
      <c r="L246">
        <v>0</v>
      </c>
      <c r="M246">
        <v>0</v>
      </c>
      <c r="N246">
        <v>2400</v>
      </c>
    </row>
    <row r="247" spans="1:14" x14ac:dyDescent="0.25">
      <c r="A247">
        <v>15.370949</v>
      </c>
      <c r="B247" s="1">
        <f>DATE(2010,5,16) + TIME(8,54,10)</f>
        <v>40314.370949074073</v>
      </c>
      <c r="C247">
        <v>1341.1773682</v>
      </c>
      <c r="D247">
        <v>1338.4907227000001</v>
      </c>
      <c r="E247">
        <v>1321.5338135</v>
      </c>
      <c r="F247">
        <v>1317.5765381000001</v>
      </c>
      <c r="G247">
        <v>80</v>
      </c>
      <c r="H247">
        <v>79.948341369999994</v>
      </c>
      <c r="I247">
        <v>50</v>
      </c>
      <c r="J247">
        <v>14.999639511</v>
      </c>
      <c r="K247">
        <v>2400</v>
      </c>
      <c r="L247">
        <v>0</v>
      </c>
      <c r="M247">
        <v>0</v>
      </c>
      <c r="N247">
        <v>2400</v>
      </c>
    </row>
    <row r="248" spans="1:14" x14ac:dyDescent="0.25">
      <c r="A248">
        <v>15.470101</v>
      </c>
      <c r="B248" s="1">
        <f>DATE(2010,5,16) + TIME(11,16,56)</f>
        <v>40314.470092592594</v>
      </c>
      <c r="C248">
        <v>1341.1723632999999</v>
      </c>
      <c r="D248">
        <v>1338.4870605000001</v>
      </c>
      <c r="E248">
        <v>1321.5339355000001</v>
      </c>
      <c r="F248">
        <v>1317.5766602000001</v>
      </c>
      <c r="G248">
        <v>80</v>
      </c>
      <c r="H248">
        <v>79.948326111</v>
      </c>
      <c r="I248">
        <v>50</v>
      </c>
      <c r="J248">
        <v>14.999640465000001</v>
      </c>
      <c r="K248">
        <v>2400</v>
      </c>
      <c r="L248">
        <v>0</v>
      </c>
      <c r="M248">
        <v>0</v>
      </c>
      <c r="N248">
        <v>2400</v>
      </c>
    </row>
    <row r="249" spans="1:14" x14ac:dyDescent="0.25">
      <c r="A249">
        <v>15.569252000000001</v>
      </c>
      <c r="B249" s="1">
        <f>DATE(2010,5,16) + TIME(13,39,43)</f>
        <v>40314.569247685184</v>
      </c>
      <c r="C249">
        <v>1341.1672363</v>
      </c>
      <c r="D249">
        <v>1338.4833983999999</v>
      </c>
      <c r="E249">
        <v>1321.5341797000001</v>
      </c>
      <c r="F249">
        <v>1317.5767822</v>
      </c>
      <c r="G249">
        <v>80</v>
      </c>
      <c r="H249">
        <v>79.948303222999996</v>
      </c>
      <c r="I249">
        <v>50</v>
      </c>
      <c r="J249">
        <v>14.999641418</v>
      </c>
      <c r="K249">
        <v>2400</v>
      </c>
      <c r="L249">
        <v>0</v>
      </c>
      <c r="M249">
        <v>0</v>
      </c>
      <c r="N249">
        <v>2400</v>
      </c>
    </row>
    <row r="250" spans="1:14" x14ac:dyDescent="0.25">
      <c r="A250">
        <v>15.668403</v>
      </c>
      <c r="B250" s="1">
        <f>DATE(2010,5,16) + TIME(16,2,30)</f>
        <v>40314.668402777781</v>
      </c>
      <c r="C250">
        <v>1341.1622314000001</v>
      </c>
      <c r="D250">
        <v>1338.4797363</v>
      </c>
      <c r="E250">
        <v>1321.5343018000001</v>
      </c>
      <c r="F250">
        <v>1317.5769043</v>
      </c>
      <c r="G250">
        <v>80</v>
      </c>
      <c r="H250">
        <v>79.948280334000003</v>
      </c>
      <c r="I250">
        <v>50</v>
      </c>
      <c r="J250">
        <v>14.999641418</v>
      </c>
      <c r="K250">
        <v>2400</v>
      </c>
      <c r="L250">
        <v>0</v>
      </c>
      <c r="M250">
        <v>0</v>
      </c>
      <c r="N250">
        <v>2400</v>
      </c>
    </row>
    <row r="251" spans="1:14" x14ac:dyDescent="0.25">
      <c r="A251">
        <v>15.767554000000001</v>
      </c>
      <c r="B251" s="1">
        <f>DATE(2010,5,16) + TIME(18,25,16)</f>
        <v>40314.767546296294</v>
      </c>
      <c r="C251">
        <v>1341.1573486</v>
      </c>
      <c r="D251">
        <v>1338.4761963000001</v>
      </c>
      <c r="E251">
        <v>1321.5344238</v>
      </c>
      <c r="F251">
        <v>1317.5770264</v>
      </c>
      <c r="G251">
        <v>80</v>
      </c>
      <c r="H251">
        <v>79.948265075999998</v>
      </c>
      <c r="I251">
        <v>50</v>
      </c>
      <c r="J251">
        <v>14.999642372</v>
      </c>
      <c r="K251">
        <v>2400</v>
      </c>
      <c r="L251">
        <v>0</v>
      </c>
      <c r="M251">
        <v>0</v>
      </c>
      <c r="N251">
        <v>2400</v>
      </c>
    </row>
    <row r="252" spans="1:14" x14ac:dyDescent="0.25">
      <c r="A252">
        <v>15.866705</v>
      </c>
      <c r="B252" s="1">
        <f>DATE(2010,5,16) + TIME(20,48,3)</f>
        <v>40314.866701388892</v>
      </c>
      <c r="C252">
        <v>1341.1523437999999</v>
      </c>
      <c r="D252">
        <v>1338.4725341999999</v>
      </c>
      <c r="E252">
        <v>1321.534668</v>
      </c>
      <c r="F252">
        <v>1317.5771483999999</v>
      </c>
      <c r="G252">
        <v>80</v>
      </c>
      <c r="H252">
        <v>79.948242187999995</v>
      </c>
      <c r="I252">
        <v>50</v>
      </c>
      <c r="J252">
        <v>14.999643325999999</v>
      </c>
      <c r="K252">
        <v>2400</v>
      </c>
      <c r="L252">
        <v>0</v>
      </c>
      <c r="M252">
        <v>0</v>
      </c>
      <c r="N252">
        <v>2400</v>
      </c>
    </row>
    <row r="253" spans="1:14" x14ac:dyDescent="0.25">
      <c r="A253">
        <v>15.965856</v>
      </c>
      <c r="B253" s="1">
        <f>DATE(2010,5,16) + TIME(23,10,49)</f>
        <v>40314.965844907405</v>
      </c>
      <c r="C253">
        <v>1341.1474608999999</v>
      </c>
      <c r="D253">
        <v>1338.4689940999999</v>
      </c>
      <c r="E253">
        <v>1321.5347899999999</v>
      </c>
      <c r="F253">
        <v>1317.5772704999999</v>
      </c>
      <c r="G253">
        <v>80</v>
      </c>
      <c r="H253">
        <v>79.948226929</v>
      </c>
      <c r="I253">
        <v>50</v>
      </c>
      <c r="J253">
        <v>14.999644279</v>
      </c>
      <c r="K253">
        <v>2400</v>
      </c>
      <c r="L253">
        <v>0</v>
      </c>
      <c r="M253">
        <v>0</v>
      </c>
      <c r="N253">
        <v>2400</v>
      </c>
    </row>
    <row r="254" spans="1:14" x14ac:dyDescent="0.25">
      <c r="A254">
        <v>16.065007999999999</v>
      </c>
      <c r="B254" s="1">
        <f>DATE(2010,5,17) + TIME(1,33,36)</f>
        <v>40315.065000000002</v>
      </c>
      <c r="C254">
        <v>1341.1425781</v>
      </c>
      <c r="D254">
        <v>1338.4654541</v>
      </c>
      <c r="E254">
        <v>1321.5350341999999</v>
      </c>
      <c r="F254">
        <v>1317.5773925999999</v>
      </c>
      <c r="G254">
        <v>80</v>
      </c>
      <c r="H254">
        <v>79.948204040999997</v>
      </c>
      <c r="I254">
        <v>50</v>
      </c>
      <c r="J254">
        <v>14.999645233000001</v>
      </c>
      <c r="K254">
        <v>2400</v>
      </c>
      <c r="L254">
        <v>0</v>
      </c>
      <c r="M254">
        <v>0</v>
      </c>
      <c r="N254">
        <v>2400</v>
      </c>
    </row>
    <row r="255" spans="1:14" x14ac:dyDescent="0.25">
      <c r="A255">
        <v>16.164159000000001</v>
      </c>
      <c r="B255" s="1">
        <f>DATE(2010,5,17) + TIME(3,56,23)</f>
        <v>40315.164155092592</v>
      </c>
      <c r="C255">
        <v>1341.1376952999999</v>
      </c>
      <c r="D255">
        <v>1338.4619141000001</v>
      </c>
      <c r="E255">
        <v>1321.5351562000001</v>
      </c>
      <c r="F255">
        <v>1317.5775146000001</v>
      </c>
      <c r="G255">
        <v>80</v>
      </c>
      <c r="H255">
        <v>79.948188782000003</v>
      </c>
      <c r="I255">
        <v>50</v>
      </c>
      <c r="J255">
        <v>14.999645233000001</v>
      </c>
      <c r="K255">
        <v>2400</v>
      </c>
      <c r="L255">
        <v>0</v>
      </c>
      <c r="M255">
        <v>0</v>
      </c>
      <c r="N255">
        <v>2400</v>
      </c>
    </row>
    <row r="256" spans="1:14" x14ac:dyDescent="0.25">
      <c r="A256">
        <v>16.263310000000001</v>
      </c>
      <c r="B256" s="1">
        <f>DATE(2010,5,17) + TIME(6,19,9)</f>
        <v>40315.263298611113</v>
      </c>
      <c r="C256">
        <v>1341.1328125</v>
      </c>
      <c r="D256">
        <v>1338.4584961</v>
      </c>
      <c r="E256">
        <v>1321.5352783000001</v>
      </c>
      <c r="F256">
        <v>1317.5776367000001</v>
      </c>
      <c r="G256">
        <v>80</v>
      </c>
      <c r="H256">
        <v>79.948165893999999</v>
      </c>
      <c r="I256">
        <v>50</v>
      </c>
      <c r="J256">
        <v>14.999646187</v>
      </c>
      <c r="K256">
        <v>2400</v>
      </c>
      <c r="L256">
        <v>0</v>
      </c>
      <c r="M256">
        <v>0</v>
      </c>
      <c r="N256">
        <v>2400</v>
      </c>
    </row>
    <row r="257" spans="1:14" x14ac:dyDescent="0.25">
      <c r="A257">
        <v>16.362461</v>
      </c>
      <c r="B257" s="1">
        <f>DATE(2010,5,17) + TIME(8,41,56)</f>
        <v>40315.362453703703</v>
      </c>
      <c r="C257">
        <v>1341.1280518000001</v>
      </c>
      <c r="D257">
        <v>1338.4549560999999</v>
      </c>
      <c r="E257">
        <v>1321.5355225000001</v>
      </c>
      <c r="F257">
        <v>1317.5777588000001</v>
      </c>
      <c r="G257">
        <v>80</v>
      </c>
      <c r="H257">
        <v>79.948150635000005</v>
      </c>
      <c r="I257">
        <v>50</v>
      </c>
      <c r="J257">
        <v>14.999647141000001</v>
      </c>
      <c r="K257">
        <v>2400</v>
      </c>
      <c r="L257">
        <v>0</v>
      </c>
      <c r="M257">
        <v>0</v>
      </c>
      <c r="N257">
        <v>2400</v>
      </c>
    </row>
    <row r="258" spans="1:14" x14ac:dyDescent="0.25">
      <c r="A258">
        <v>16.461611999999999</v>
      </c>
      <c r="B258" s="1">
        <f>DATE(2010,5,17) + TIME(11,4,43)</f>
        <v>40315.461608796293</v>
      </c>
      <c r="C258">
        <v>1341.1232910000001</v>
      </c>
      <c r="D258">
        <v>1338.4515381000001</v>
      </c>
      <c r="E258">
        <v>1321.5356445</v>
      </c>
      <c r="F258">
        <v>1317.5778809000001</v>
      </c>
      <c r="G258">
        <v>80</v>
      </c>
      <c r="H258">
        <v>79.948127747000001</v>
      </c>
      <c r="I258">
        <v>50</v>
      </c>
      <c r="J258">
        <v>14.999648093999999</v>
      </c>
      <c r="K258">
        <v>2400</v>
      </c>
      <c r="L258">
        <v>0</v>
      </c>
      <c r="M258">
        <v>0</v>
      </c>
      <c r="N258">
        <v>2400</v>
      </c>
    </row>
    <row r="259" spans="1:14" x14ac:dyDescent="0.25">
      <c r="A259">
        <v>16.659915000000002</v>
      </c>
      <c r="B259" s="1">
        <f>DATE(2010,5,17) + TIME(15,50,16)</f>
        <v>40315.659907407404</v>
      </c>
      <c r="C259">
        <v>1341.1186522999999</v>
      </c>
      <c r="D259">
        <v>1338.4482422000001</v>
      </c>
      <c r="E259">
        <v>1321.5358887</v>
      </c>
      <c r="F259">
        <v>1317.5780029</v>
      </c>
      <c r="G259">
        <v>80</v>
      </c>
      <c r="H259">
        <v>79.948104857999994</v>
      </c>
      <c r="I259">
        <v>50</v>
      </c>
      <c r="J259">
        <v>14.999649048</v>
      </c>
      <c r="K259">
        <v>2400</v>
      </c>
      <c r="L259">
        <v>0</v>
      </c>
      <c r="M259">
        <v>0</v>
      </c>
      <c r="N259">
        <v>2400</v>
      </c>
    </row>
    <row r="260" spans="1:14" x14ac:dyDescent="0.25">
      <c r="A260">
        <v>16.858561999999999</v>
      </c>
      <c r="B260" s="1">
        <f>DATE(2010,5,17) + TIME(20,36,19)</f>
        <v>40315.858553240738</v>
      </c>
      <c r="C260">
        <v>1341.1092529</v>
      </c>
      <c r="D260">
        <v>1338.4415283000001</v>
      </c>
      <c r="E260">
        <v>1321.5362548999999</v>
      </c>
      <c r="F260">
        <v>1317.5782471</v>
      </c>
      <c r="G260">
        <v>80</v>
      </c>
      <c r="H260">
        <v>79.948074340999995</v>
      </c>
      <c r="I260">
        <v>50</v>
      </c>
      <c r="J260">
        <v>14.999650001999999</v>
      </c>
      <c r="K260">
        <v>2400</v>
      </c>
      <c r="L260">
        <v>0</v>
      </c>
      <c r="M260">
        <v>0</v>
      </c>
      <c r="N260">
        <v>2400</v>
      </c>
    </row>
    <row r="261" spans="1:14" x14ac:dyDescent="0.25">
      <c r="A261">
        <v>17.059183999999998</v>
      </c>
      <c r="B261" s="1">
        <f>DATE(2010,5,18) + TIME(1,25,13)</f>
        <v>40316.059178240743</v>
      </c>
      <c r="C261">
        <v>1341.0999756000001</v>
      </c>
      <c r="D261">
        <v>1338.4349365</v>
      </c>
      <c r="E261">
        <v>1321.536499</v>
      </c>
      <c r="F261">
        <v>1317.5784911999999</v>
      </c>
      <c r="G261">
        <v>80</v>
      </c>
      <c r="H261">
        <v>79.948043823000006</v>
      </c>
      <c r="I261">
        <v>50</v>
      </c>
      <c r="J261">
        <v>14.999651909000001</v>
      </c>
      <c r="K261">
        <v>2400</v>
      </c>
      <c r="L261">
        <v>0</v>
      </c>
      <c r="M261">
        <v>0</v>
      </c>
      <c r="N261">
        <v>2400</v>
      </c>
    </row>
    <row r="262" spans="1:14" x14ac:dyDescent="0.25">
      <c r="A262">
        <v>17.262142000000001</v>
      </c>
      <c r="B262" s="1">
        <f>DATE(2010,5,18) + TIME(6,17,29)</f>
        <v>40316.262141203704</v>
      </c>
      <c r="C262">
        <v>1341.0906981999999</v>
      </c>
      <c r="D262">
        <v>1338.4282227000001</v>
      </c>
      <c r="E262">
        <v>1321.5368652</v>
      </c>
      <c r="F262">
        <v>1317.5788574000001</v>
      </c>
      <c r="G262">
        <v>80</v>
      </c>
      <c r="H262">
        <v>79.948013306000007</v>
      </c>
      <c r="I262">
        <v>50</v>
      </c>
      <c r="J262">
        <v>14.999652863</v>
      </c>
      <c r="K262">
        <v>2400</v>
      </c>
      <c r="L262">
        <v>0</v>
      </c>
      <c r="M262">
        <v>0</v>
      </c>
      <c r="N262">
        <v>2400</v>
      </c>
    </row>
    <row r="263" spans="1:14" x14ac:dyDescent="0.25">
      <c r="A263">
        <v>17.467860999999999</v>
      </c>
      <c r="B263" s="1">
        <f>DATE(2010,5,18) + TIME(11,13,43)</f>
        <v>40316.467858796299</v>
      </c>
      <c r="C263">
        <v>1341.0812988</v>
      </c>
      <c r="D263">
        <v>1338.4216309000001</v>
      </c>
      <c r="E263">
        <v>1321.5372314000001</v>
      </c>
      <c r="F263">
        <v>1317.5791016000001</v>
      </c>
      <c r="G263">
        <v>80</v>
      </c>
      <c r="H263">
        <v>79.947975158999995</v>
      </c>
      <c r="I263">
        <v>50</v>
      </c>
      <c r="J263">
        <v>14.999653816</v>
      </c>
      <c r="K263">
        <v>2400</v>
      </c>
      <c r="L263">
        <v>0</v>
      </c>
      <c r="M263">
        <v>0</v>
      </c>
      <c r="N263">
        <v>2400</v>
      </c>
    </row>
    <row r="264" spans="1:14" x14ac:dyDescent="0.25">
      <c r="A264">
        <v>17.676803</v>
      </c>
      <c r="B264" s="1">
        <f>DATE(2010,5,18) + TIME(16,14,35)</f>
        <v>40316.676793981482</v>
      </c>
      <c r="C264">
        <v>1341.0720214999999</v>
      </c>
      <c r="D264">
        <v>1338.4149170000001</v>
      </c>
      <c r="E264">
        <v>1321.5375977000001</v>
      </c>
      <c r="F264">
        <v>1317.5793457</v>
      </c>
      <c r="G264">
        <v>80</v>
      </c>
      <c r="H264">
        <v>79.947944641000007</v>
      </c>
      <c r="I264">
        <v>50</v>
      </c>
      <c r="J264">
        <v>14.999655724</v>
      </c>
      <c r="K264">
        <v>2400</v>
      </c>
      <c r="L264">
        <v>0</v>
      </c>
      <c r="M264">
        <v>0</v>
      </c>
      <c r="N264">
        <v>2400</v>
      </c>
    </row>
    <row r="265" spans="1:14" x14ac:dyDescent="0.25">
      <c r="A265">
        <v>17.889544999999998</v>
      </c>
      <c r="B265" s="1">
        <f>DATE(2010,5,18) + TIME(21,20,56)</f>
        <v>40316.889537037037</v>
      </c>
      <c r="C265">
        <v>1341.0626221</v>
      </c>
      <c r="D265">
        <v>1338.4082031</v>
      </c>
      <c r="E265">
        <v>1321.5379639</v>
      </c>
      <c r="F265">
        <v>1317.5795897999999</v>
      </c>
      <c r="G265">
        <v>80</v>
      </c>
      <c r="H265">
        <v>79.947906493999994</v>
      </c>
      <c r="I265">
        <v>50</v>
      </c>
      <c r="J265">
        <v>14.999656677000001</v>
      </c>
      <c r="K265">
        <v>2400</v>
      </c>
      <c r="L265">
        <v>0</v>
      </c>
      <c r="M265">
        <v>0</v>
      </c>
      <c r="N265">
        <v>2400</v>
      </c>
    </row>
    <row r="266" spans="1:14" x14ac:dyDescent="0.25">
      <c r="A266">
        <v>18.106534</v>
      </c>
      <c r="B266" s="1">
        <f>DATE(2010,5,19) + TIME(2,33,24)</f>
        <v>40317.106527777774</v>
      </c>
      <c r="C266">
        <v>1341.0532227000001</v>
      </c>
      <c r="D266">
        <v>1338.4014893000001</v>
      </c>
      <c r="E266">
        <v>1321.5383300999999</v>
      </c>
      <c r="F266">
        <v>1317.5798339999999</v>
      </c>
      <c r="G266">
        <v>80</v>
      </c>
      <c r="H266">
        <v>79.947868346999996</v>
      </c>
      <c r="I266">
        <v>50</v>
      </c>
      <c r="J266">
        <v>14.999658585000001</v>
      </c>
      <c r="K266">
        <v>2400</v>
      </c>
      <c r="L266">
        <v>0</v>
      </c>
      <c r="M266">
        <v>0</v>
      </c>
      <c r="N266">
        <v>2400</v>
      </c>
    </row>
    <row r="267" spans="1:14" x14ac:dyDescent="0.25">
      <c r="A267">
        <v>18.326314</v>
      </c>
      <c r="B267" s="1">
        <f>DATE(2010,5,19) + TIME(7,49,53)</f>
        <v>40317.326307870368</v>
      </c>
      <c r="C267">
        <v>1341.0437012</v>
      </c>
      <c r="D267">
        <v>1338.3947754000001</v>
      </c>
      <c r="E267">
        <v>1321.5386963000001</v>
      </c>
      <c r="F267">
        <v>1317.5802002</v>
      </c>
      <c r="G267">
        <v>80</v>
      </c>
      <c r="H267">
        <v>79.947837829999997</v>
      </c>
      <c r="I267">
        <v>50</v>
      </c>
      <c r="J267">
        <v>14.999659538</v>
      </c>
      <c r="K267">
        <v>2400</v>
      </c>
      <c r="L267">
        <v>0</v>
      </c>
      <c r="M267">
        <v>0</v>
      </c>
      <c r="N267">
        <v>2400</v>
      </c>
    </row>
    <row r="268" spans="1:14" x14ac:dyDescent="0.25">
      <c r="A268">
        <v>18.548477999999999</v>
      </c>
      <c r="B268" s="1">
        <f>DATE(2010,5,19) + TIME(13,9,48)</f>
        <v>40317.548472222225</v>
      </c>
      <c r="C268">
        <v>1341.0341797000001</v>
      </c>
      <c r="D268">
        <v>1338.3879394999999</v>
      </c>
      <c r="E268">
        <v>1321.5391846</v>
      </c>
      <c r="F268">
        <v>1317.5804443</v>
      </c>
      <c r="G268">
        <v>80</v>
      </c>
      <c r="H268">
        <v>79.947799683</v>
      </c>
      <c r="I268">
        <v>50</v>
      </c>
      <c r="J268">
        <v>14.999661445999999</v>
      </c>
      <c r="K268">
        <v>2400</v>
      </c>
      <c r="L268">
        <v>0</v>
      </c>
      <c r="M268">
        <v>0</v>
      </c>
      <c r="N268">
        <v>2400</v>
      </c>
    </row>
    <row r="269" spans="1:14" x14ac:dyDescent="0.25">
      <c r="A269">
        <v>18.660346000000001</v>
      </c>
      <c r="B269" s="1">
        <f>DATE(2010,5,19) + TIME(15,50,53)</f>
        <v>40317.66033564815</v>
      </c>
      <c r="C269">
        <v>1341.0245361</v>
      </c>
      <c r="D269">
        <v>1338.3811035000001</v>
      </c>
      <c r="E269">
        <v>1321.5395507999999</v>
      </c>
      <c r="F269">
        <v>1317.5806885</v>
      </c>
      <c r="G269">
        <v>80</v>
      </c>
      <c r="H269">
        <v>79.947776794000006</v>
      </c>
      <c r="I269">
        <v>50</v>
      </c>
      <c r="J269">
        <v>14.999661445999999</v>
      </c>
      <c r="K269">
        <v>2400</v>
      </c>
      <c r="L269">
        <v>0</v>
      </c>
      <c r="M269">
        <v>0</v>
      </c>
      <c r="N269">
        <v>2400</v>
      </c>
    </row>
    <row r="270" spans="1:14" x14ac:dyDescent="0.25">
      <c r="A270">
        <v>18.772214000000002</v>
      </c>
      <c r="B270" s="1">
        <f>DATE(2010,5,19) + TIME(18,31,59)</f>
        <v>40317.772210648145</v>
      </c>
      <c r="C270">
        <v>1341.0197754000001</v>
      </c>
      <c r="D270">
        <v>1338.3776855000001</v>
      </c>
      <c r="E270">
        <v>1321.5396728999999</v>
      </c>
      <c r="F270">
        <v>1317.5808105000001</v>
      </c>
      <c r="G270">
        <v>80</v>
      </c>
      <c r="H270">
        <v>79.947753906000003</v>
      </c>
      <c r="I270">
        <v>50</v>
      </c>
      <c r="J270">
        <v>14.999662399</v>
      </c>
      <c r="K270">
        <v>2400</v>
      </c>
      <c r="L270">
        <v>0</v>
      </c>
      <c r="M270">
        <v>0</v>
      </c>
      <c r="N270">
        <v>2400</v>
      </c>
    </row>
    <row r="271" spans="1:14" x14ac:dyDescent="0.25">
      <c r="A271">
        <v>18.884032999999999</v>
      </c>
      <c r="B271" s="1">
        <f>DATE(2010,5,19) + TIME(21,13,0)</f>
        <v>40317.884027777778</v>
      </c>
      <c r="C271">
        <v>1341.0150146000001</v>
      </c>
      <c r="D271">
        <v>1338.3742675999999</v>
      </c>
      <c r="E271">
        <v>1321.5399170000001</v>
      </c>
      <c r="F271">
        <v>1317.5810547000001</v>
      </c>
      <c r="G271">
        <v>80</v>
      </c>
      <c r="H271">
        <v>79.947731017999999</v>
      </c>
      <c r="I271">
        <v>50</v>
      </c>
      <c r="J271">
        <v>14.999663353000001</v>
      </c>
      <c r="K271">
        <v>2400</v>
      </c>
      <c r="L271">
        <v>0</v>
      </c>
      <c r="M271">
        <v>0</v>
      </c>
      <c r="N271">
        <v>2400</v>
      </c>
    </row>
    <row r="272" spans="1:14" x14ac:dyDescent="0.25">
      <c r="A272">
        <v>18.995671000000002</v>
      </c>
      <c r="B272" s="1">
        <f>DATE(2010,5,19) + TIME(23,53,45)</f>
        <v>40317.995659722219</v>
      </c>
      <c r="C272">
        <v>1341.0102539</v>
      </c>
      <c r="D272">
        <v>1338.3709716999999</v>
      </c>
      <c r="E272">
        <v>1321.5400391000001</v>
      </c>
      <c r="F272">
        <v>1317.5811768000001</v>
      </c>
      <c r="G272">
        <v>80</v>
      </c>
      <c r="H272">
        <v>79.947708129999995</v>
      </c>
      <c r="I272">
        <v>50</v>
      </c>
      <c r="J272">
        <v>14.999664307</v>
      </c>
      <c r="K272">
        <v>2400</v>
      </c>
      <c r="L272">
        <v>0</v>
      </c>
      <c r="M272">
        <v>0</v>
      </c>
      <c r="N272">
        <v>2400</v>
      </c>
    </row>
    <row r="273" spans="1:14" x14ac:dyDescent="0.25">
      <c r="A273">
        <v>19.107185999999999</v>
      </c>
      <c r="B273" s="1">
        <f>DATE(2010,5,20) + TIME(2,34,20)</f>
        <v>40318.107175925928</v>
      </c>
      <c r="C273">
        <v>1341.0056152</v>
      </c>
      <c r="D273">
        <v>1338.3675536999999</v>
      </c>
      <c r="E273">
        <v>1321.5402832</v>
      </c>
      <c r="F273">
        <v>1317.5812988</v>
      </c>
      <c r="G273">
        <v>80</v>
      </c>
      <c r="H273">
        <v>79.947692871000001</v>
      </c>
      <c r="I273">
        <v>50</v>
      </c>
      <c r="J273">
        <v>14.999664307</v>
      </c>
      <c r="K273">
        <v>2400</v>
      </c>
      <c r="L273">
        <v>0</v>
      </c>
      <c r="M273">
        <v>0</v>
      </c>
      <c r="N273">
        <v>2400</v>
      </c>
    </row>
    <row r="274" spans="1:14" x14ac:dyDescent="0.25">
      <c r="A274">
        <v>19.218613000000001</v>
      </c>
      <c r="B274" s="1">
        <f>DATE(2010,5,20) + TIME(5,14,48)</f>
        <v>40318.218611111108</v>
      </c>
      <c r="C274">
        <v>1341.0009766000001</v>
      </c>
      <c r="D274">
        <v>1338.3642577999999</v>
      </c>
      <c r="E274">
        <v>1321.5405272999999</v>
      </c>
      <c r="F274">
        <v>1317.5814209</v>
      </c>
      <c r="G274">
        <v>80</v>
      </c>
      <c r="H274">
        <v>79.947669982999997</v>
      </c>
      <c r="I274">
        <v>50</v>
      </c>
      <c r="J274">
        <v>14.99966526</v>
      </c>
      <c r="K274">
        <v>2400</v>
      </c>
      <c r="L274">
        <v>0</v>
      </c>
      <c r="M274">
        <v>0</v>
      </c>
      <c r="N274">
        <v>2400</v>
      </c>
    </row>
    <row r="275" spans="1:14" x14ac:dyDescent="0.25">
      <c r="A275">
        <v>19.330031999999999</v>
      </c>
      <c r="B275" s="1">
        <f>DATE(2010,5,20) + TIME(7,55,14)</f>
        <v>40318.330023148148</v>
      </c>
      <c r="C275">
        <v>1340.9963379000001</v>
      </c>
      <c r="D275">
        <v>1338.3609618999999</v>
      </c>
      <c r="E275">
        <v>1321.5406493999999</v>
      </c>
      <c r="F275">
        <v>1317.581543</v>
      </c>
      <c r="G275">
        <v>80</v>
      </c>
      <c r="H275">
        <v>79.947654724000003</v>
      </c>
      <c r="I275">
        <v>50</v>
      </c>
      <c r="J275">
        <v>14.999666213999999</v>
      </c>
      <c r="K275">
        <v>2400</v>
      </c>
      <c r="L275">
        <v>0</v>
      </c>
      <c r="M275">
        <v>0</v>
      </c>
      <c r="N275">
        <v>2400</v>
      </c>
    </row>
    <row r="276" spans="1:14" x14ac:dyDescent="0.25">
      <c r="A276">
        <v>19.44145</v>
      </c>
      <c r="B276" s="1">
        <f>DATE(2010,5,20) + TIME(10,35,41)</f>
        <v>40318.441446759258</v>
      </c>
      <c r="C276">
        <v>1340.9918213000001</v>
      </c>
      <c r="D276">
        <v>1338.3577881000001</v>
      </c>
      <c r="E276">
        <v>1321.5408935999999</v>
      </c>
      <c r="F276">
        <v>1317.5817870999999</v>
      </c>
      <c r="G276">
        <v>80</v>
      </c>
      <c r="H276">
        <v>79.947631835999999</v>
      </c>
      <c r="I276">
        <v>50</v>
      </c>
      <c r="J276">
        <v>14.999667168</v>
      </c>
      <c r="K276">
        <v>2400</v>
      </c>
      <c r="L276">
        <v>0</v>
      </c>
      <c r="M276">
        <v>0</v>
      </c>
      <c r="N276">
        <v>2400</v>
      </c>
    </row>
    <row r="277" spans="1:14" x14ac:dyDescent="0.25">
      <c r="A277">
        <v>19.552869000000001</v>
      </c>
      <c r="B277" s="1">
        <f>DATE(2010,5,20) + TIME(13,16,7)</f>
        <v>40318.552858796298</v>
      </c>
      <c r="C277">
        <v>1340.9871826000001</v>
      </c>
      <c r="D277">
        <v>1338.3544922000001</v>
      </c>
      <c r="E277">
        <v>1321.5411377</v>
      </c>
      <c r="F277">
        <v>1317.5819091999999</v>
      </c>
      <c r="G277">
        <v>80</v>
      </c>
      <c r="H277">
        <v>79.947616577000005</v>
      </c>
      <c r="I277">
        <v>50</v>
      </c>
      <c r="J277">
        <v>14.999667168</v>
      </c>
      <c r="K277">
        <v>2400</v>
      </c>
      <c r="L277">
        <v>0</v>
      </c>
      <c r="M277">
        <v>0</v>
      </c>
      <c r="N277">
        <v>2400</v>
      </c>
    </row>
    <row r="278" spans="1:14" x14ac:dyDescent="0.25">
      <c r="A278">
        <v>19.664287999999999</v>
      </c>
      <c r="B278" s="1">
        <f>DATE(2010,5,20) + TIME(15,56,34)</f>
        <v>40318.664282407408</v>
      </c>
      <c r="C278">
        <v>1340.9826660000001</v>
      </c>
      <c r="D278">
        <v>1338.3513184000001</v>
      </c>
      <c r="E278">
        <v>1321.5412598</v>
      </c>
      <c r="F278">
        <v>1317.5820312000001</v>
      </c>
      <c r="G278">
        <v>80</v>
      </c>
      <c r="H278">
        <v>79.947601317999997</v>
      </c>
      <c r="I278">
        <v>50</v>
      </c>
      <c r="J278">
        <v>14.999668120999999</v>
      </c>
      <c r="K278">
        <v>2400</v>
      </c>
      <c r="L278">
        <v>0</v>
      </c>
      <c r="M278">
        <v>0</v>
      </c>
      <c r="N278">
        <v>2400</v>
      </c>
    </row>
    <row r="279" spans="1:14" x14ac:dyDescent="0.25">
      <c r="A279">
        <v>19.775707000000001</v>
      </c>
      <c r="B279" s="1">
        <f>DATE(2010,5,20) + TIME(18,37,1)</f>
        <v>40318.775706018518</v>
      </c>
      <c r="C279">
        <v>1340.9781493999999</v>
      </c>
      <c r="D279">
        <v>1338.3481445</v>
      </c>
      <c r="E279">
        <v>1321.5415039</v>
      </c>
      <c r="F279">
        <v>1317.5821533000001</v>
      </c>
      <c r="G279">
        <v>80</v>
      </c>
      <c r="H279">
        <v>79.947578429999993</v>
      </c>
      <c r="I279">
        <v>50</v>
      </c>
      <c r="J279">
        <v>14.999669075</v>
      </c>
      <c r="K279">
        <v>2400</v>
      </c>
      <c r="L279">
        <v>0</v>
      </c>
      <c r="M279">
        <v>0</v>
      </c>
      <c r="N279">
        <v>2400</v>
      </c>
    </row>
    <row r="280" spans="1:14" x14ac:dyDescent="0.25">
      <c r="A280">
        <v>19.887125999999999</v>
      </c>
      <c r="B280" s="1">
        <f>DATE(2010,5,20) + TIME(21,17,27)</f>
        <v>40318.887118055558</v>
      </c>
      <c r="C280">
        <v>1340.9737548999999</v>
      </c>
      <c r="D280">
        <v>1338.3449707</v>
      </c>
      <c r="E280">
        <v>1321.541626</v>
      </c>
      <c r="F280">
        <v>1317.5822754000001</v>
      </c>
      <c r="G280">
        <v>80</v>
      </c>
      <c r="H280">
        <v>79.947563170999999</v>
      </c>
      <c r="I280">
        <v>50</v>
      </c>
      <c r="J280">
        <v>14.999670029000001</v>
      </c>
      <c r="K280">
        <v>2400</v>
      </c>
      <c r="L280">
        <v>0</v>
      </c>
      <c r="M280">
        <v>0</v>
      </c>
      <c r="N280">
        <v>2400</v>
      </c>
    </row>
    <row r="281" spans="1:14" x14ac:dyDescent="0.25">
      <c r="A281">
        <v>20.109964000000002</v>
      </c>
      <c r="B281" s="1">
        <f>DATE(2010,5,21) + TIME(2,38,20)</f>
        <v>40319.109953703701</v>
      </c>
      <c r="C281">
        <v>1340.9693603999999</v>
      </c>
      <c r="D281">
        <v>1338.3419189000001</v>
      </c>
      <c r="E281">
        <v>1321.5418701000001</v>
      </c>
      <c r="F281">
        <v>1317.5825195</v>
      </c>
      <c r="G281">
        <v>80</v>
      </c>
      <c r="H281">
        <v>79.947540282999995</v>
      </c>
      <c r="I281">
        <v>50</v>
      </c>
      <c r="J281">
        <v>14.999670982</v>
      </c>
      <c r="K281">
        <v>2400</v>
      </c>
      <c r="L281">
        <v>0</v>
      </c>
      <c r="M281">
        <v>0</v>
      </c>
      <c r="N281">
        <v>2400</v>
      </c>
    </row>
    <row r="282" spans="1:14" x14ac:dyDescent="0.25">
      <c r="A282">
        <v>20.332947000000001</v>
      </c>
      <c r="B282" s="1">
        <f>DATE(2010,5,21) + TIME(7,59,26)</f>
        <v>40319.332939814813</v>
      </c>
      <c r="C282">
        <v>1340.9605713000001</v>
      </c>
      <c r="D282">
        <v>1338.3356934000001</v>
      </c>
      <c r="E282">
        <v>1321.5423584</v>
      </c>
      <c r="F282">
        <v>1317.5827637</v>
      </c>
      <c r="G282">
        <v>80</v>
      </c>
      <c r="H282">
        <v>79.947517395000006</v>
      </c>
      <c r="I282">
        <v>50</v>
      </c>
      <c r="J282">
        <v>14.999671936</v>
      </c>
      <c r="K282">
        <v>2400</v>
      </c>
      <c r="L282">
        <v>0</v>
      </c>
      <c r="M282">
        <v>0</v>
      </c>
      <c r="N282">
        <v>2400</v>
      </c>
    </row>
    <row r="283" spans="1:14" x14ac:dyDescent="0.25">
      <c r="A283">
        <v>20.557896</v>
      </c>
      <c r="B283" s="1">
        <f>DATE(2010,5,21) + TIME(13,23,22)</f>
        <v>40319.557893518519</v>
      </c>
      <c r="C283">
        <v>1340.9517822</v>
      </c>
      <c r="D283">
        <v>1338.3295897999999</v>
      </c>
      <c r="E283">
        <v>1321.5427245999999</v>
      </c>
      <c r="F283">
        <v>1317.5831298999999</v>
      </c>
      <c r="G283">
        <v>80</v>
      </c>
      <c r="H283">
        <v>79.947486877000003</v>
      </c>
      <c r="I283">
        <v>50</v>
      </c>
      <c r="J283">
        <v>14.999672889999999</v>
      </c>
      <c r="K283">
        <v>2400</v>
      </c>
      <c r="L283">
        <v>0</v>
      </c>
      <c r="M283">
        <v>0</v>
      </c>
      <c r="N283">
        <v>2400</v>
      </c>
    </row>
    <row r="284" spans="1:14" x14ac:dyDescent="0.25">
      <c r="A284">
        <v>20.785232000000001</v>
      </c>
      <c r="B284" s="1">
        <f>DATE(2010,5,21) + TIME(18,50,44)</f>
        <v>40319.785231481481</v>
      </c>
      <c r="C284">
        <v>1340.9429932</v>
      </c>
      <c r="D284">
        <v>1338.3233643000001</v>
      </c>
      <c r="E284">
        <v>1321.5430908000001</v>
      </c>
      <c r="F284">
        <v>1317.583374</v>
      </c>
      <c r="G284">
        <v>80</v>
      </c>
      <c r="H284">
        <v>79.947456360000004</v>
      </c>
      <c r="I284">
        <v>50</v>
      </c>
      <c r="J284">
        <v>14.999674797000001</v>
      </c>
      <c r="K284">
        <v>2400</v>
      </c>
      <c r="L284">
        <v>0</v>
      </c>
      <c r="M284">
        <v>0</v>
      </c>
      <c r="N284">
        <v>2400</v>
      </c>
    </row>
    <row r="285" spans="1:14" x14ac:dyDescent="0.25">
      <c r="A285">
        <v>21.015402000000002</v>
      </c>
      <c r="B285" s="1">
        <f>DATE(2010,5,22) + TIME(0,22,10)</f>
        <v>40320.015393518515</v>
      </c>
      <c r="C285">
        <v>1340.9342041</v>
      </c>
      <c r="D285">
        <v>1338.3172606999999</v>
      </c>
      <c r="E285">
        <v>1321.5435791</v>
      </c>
      <c r="F285">
        <v>1317.5837402</v>
      </c>
      <c r="G285">
        <v>80</v>
      </c>
      <c r="H285">
        <v>79.947425842000001</v>
      </c>
      <c r="I285">
        <v>50</v>
      </c>
      <c r="J285">
        <v>14.999675751</v>
      </c>
      <c r="K285">
        <v>2400</v>
      </c>
      <c r="L285">
        <v>0</v>
      </c>
      <c r="M285">
        <v>0</v>
      </c>
      <c r="N285">
        <v>2400</v>
      </c>
    </row>
    <row r="286" spans="1:14" x14ac:dyDescent="0.25">
      <c r="A286">
        <v>21.248875999999999</v>
      </c>
      <c r="B286" s="1">
        <f>DATE(2010,5,22) + TIME(5,58,22)</f>
        <v>40320.248865740738</v>
      </c>
      <c r="C286">
        <v>1340.9254149999999</v>
      </c>
      <c r="D286">
        <v>1338.3110352000001</v>
      </c>
      <c r="E286">
        <v>1321.5439452999999</v>
      </c>
      <c r="F286">
        <v>1317.5839844</v>
      </c>
      <c r="G286">
        <v>80</v>
      </c>
      <c r="H286">
        <v>79.947387695000003</v>
      </c>
      <c r="I286">
        <v>50</v>
      </c>
      <c r="J286">
        <v>14.999676704000001</v>
      </c>
      <c r="K286">
        <v>2400</v>
      </c>
      <c r="L286">
        <v>0</v>
      </c>
      <c r="M286">
        <v>0</v>
      </c>
      <c r="N286">
        <v>2400</v>
      </c>
    </row>
    <row r="287" spans="1:14" x14ac:dyDescent="0.25">
      <c r="A287">
        <v>21.486166000000001</v>
      </c>
      <c r="B287" s="1">
        <f>DATE(2010,5,22) + TIME(11,40,4)</f>
        <v>40320.486157407409</v>
      </c>
      <c r="C287">
        <v>1340.916626</v>
      </c>
      <c r="D287">
        <v>1338.3048096</v>
      </c>
      <c r="E287">
        <v>1321.5444336</v>
      </c>
      <c r="F287">
        <v>1317.5843506000001</v>
      </c>
      <c r="G287">
        <v>80</v>
      </c>
      <c r="H287">
        <v>79.947357178000004</v>
      </c>
      <c r="I287">
        <v>50</v>
      </c>
      <c r="J287">
        <v>14.999678612</v>
      </c>
      <c r="K287">
        <v>2400</v>
      </c>
      <c r="L287">
        <v>0</v>
      </c>
      <c r="M287">
        <v>0</v>
      </c>
      <c r="N287">
        <v>2400</v>
      </c>
    </row>
    <row r="288" spans="1:14" x14ac:dyDescent="0.25">
      <c r="A288">
        <v>21.727886000000002</v>
      </c>
      <c r="B288" s="1">
        <f>DATE(2010,5,22) + TIME(17,28,9)</f>
        <v>40320.727881944447</v>
      </c>
      <c r="C288">
        <v>1340.9078368999999</v>
      </c>
      <c r="D288">
        <v>1338.2987060999999</v>
      </c>
      <c r="E288">
        <v>1321.5447998</v>
      </c>
      <c r="F288">
        <v>1317.5845947</v>
      </c>
      <c r="G288">
        <v>80</v>
      </c>
      <c r="H288">
        <v>79.947326660000002</v>
      </c>
      <c r="I288">
        <v>50</v>
      </c>
      <c r="J288">
        <v>14.999679564999999</v>
      </c>
      <c r="K288">
        <v>2400</v>
      </c>
      <c r="L288">
        <v>0</v>
      </c>
      <c r="M288">
        <v>0</v>
      </c>
      <c r="N288">
        <v>2400</v>
      </c>
    </row>
    <row r="289" spans="1:14" x14ac:dyDescent="0.25">
      <c r="A289">
        <v>21.972528000000001</v>
      </c>
      <c r="B289" s="1">
        <f>DATE(2010,5,22) + TIME(23,20,26)</f>
        <v>40320.97252314815</v>
      </c>
      <c r="C289">
        <v>1340.8989257999999</v>
      </c>
      <c r="D289">
        <v>1338.2923584</v>
      </c>
      <c r="E289">
        <v>1321.5452881000001</v>
      </c>
      <c r="F289">
        <v>1317.5849608999999</v>
      </c>
      <c r="G289">
        <v>80</v>
      </c>
      <c r="H289">
        <v>79.947296143000003</v>
      </c>
      <c r="I289">
        <v>50</v>
      </c>
      <c r="J289">
        <v>14.999680519</v>
      </c>
      <c r="K289">
        <v>2400</v>
      </c>
      <c r="L289">
        <v>0</v>
      </c>
      <c r="M289">
        <v>0</v>
      </c>
      <c r="N289">
        <v>2400</v>
      </c>
    </row>
    <row r="290" spans="1:14" x14ac:dyDescent="0.25">
      <c r="A290">
        <v>22.095931</v>
      </c>
      <c r="B290" s="1">
        <f>DATE(2010,5,23) + TIME(2,18,8)</f>
        <v>40321.095925925925</v>
      </c>
      <c r="C290">
        <v>1340.8897704999999</v>
      </c>
      <c r="D290">
        <v>1338.2860106999999</v>
      </c>
      <c r="E290">
        <v>1321.5456543</v>
      </c>
      <c r="F290">
        <v>1317.5853271000001</v>
      </c>
      <c r="G290">
        <v>80</v>
      </c>
      <c r="H290">
        <v>79.947273253999995</v>
      </c>
      <c r="I290">
        <v>50</v>
      </c>
      <c r="J290">
        <v>14.999681473000001</v>
      </c>
      <c r="K290">
        <v>2400</v>
      </c>
      <c r="L290">
        <v>0</v>
      </c>
      <c r="M290">
        <v>0</v>
      </c>
      <c r="N290">
        <v>2400</v>
      </c>
    </row>
    <row r="291" spans="1:14" x14ac:dyDescent="0.25">
      <c r="A291">
        <v>22.219334</v>
      </c>
      <c r="B291" s="1">
        <f>DATE(2010,5,23) + TIME(5,15,50)</f>
        <v>40321.219328703701</v>
      </c>
      <c r="C291">
        <v>1340.885376</v>
      </c>
      <c r="D291">
        <v>1338.2828368999999</v>
      </c>
      <c r="E291">
        <v>1321.5458983999999</v>
      </c>
      <c r="F291">
        <v>1317.5854492000001</v>
      </c>
      <c r="G291">
        <v>80</v>
      </c>
      <c r="H291">
        <v>79.947250366000006</v>
      </c>
      <c r="I291">
        <v>50</v>
      </c>
      <c r="J291">
        <v>14.999682426</v>
      </c>
      <c r="K291">
        <v>2400</v>
      </c>
      <c r="L291">
        <v>0</v>
      </c>
      <c r="M291">
        <v>0</v>
      </c>
      <c r="N291">
        <v>2400</v>
      </c>
    </row>
    <row r="292" spans="1:14" x14ac:dyDescent="0.25">
      <c r="A292">
        <v>22.342737</v>
      </c>
      <c r="B292" s="1">
        <f>DATE(2010,5,23) + TIME(8,13,32)</f>
        <v>40321.342731481483</v>
      </c>
      <c r="C292">
        <v>1340.8808594</v>
      </c>
      <c r="D292">
        <v>1338.2796631000001</v>
      </c>
      <c r="E292">
        <v>1321.5461425999999</v>
      </c>
      <c r="F292">
        <v>1317.5855713000001</v>
      </c>
      <c r="G292">
        <v>80</v>
      </c>
      <c r="H292">
        <v>79.947227478000002</v>
      </c>
      <c r="I292">
        <v>50</v>
      </c>
      <c r="J292">
        <v>14.99968338</v>
      </c>
      <c r="K292">
        <v>2400</v>
      </c>
      <c r="L292">
        <v>0</v>
      </c>
      <c r="M292">
        <v>0</v>
      </c>
      <c r="N292">
        <v>2400</v>
      </c>
    </row>
    <row r="293" spans="1:14" x14ac:dyDescent="0.25">
      <c r="A293">
        <v>22.466139999999999</v>
      </c>
      <c r="B293" s="1">
        <f>DATE(2010,5,23) + TIME(11,11,14)</f>
        <v>40321.466134259259</v>
      </c>
      <c r="C293">
        <v>1340.8764647999999</v>
      </c>
      <c r="D293">
        <v>1338.2764893000001</v>
      </c>
      <c r="E293">
        <v>1321.5463867000001</v>
      </c>
      <c r="F293">
        <v>1317.5858154</v>
      </c>
      <c r="G293">
        <v>80</v>
      </c>
      <c r="H293">
        <v>79.947212218999994</v>
      </c>
      <c r="I293">
        <v>50</v>
      </c>
      <c r="J293">
        <v>14.99968338</v>
      </c>
      <c r="K293">
        <v>2400</v>
      </c>
      <c r="L293">
        <v>0</v>
      </c>
      <c r="M293">
        <v>0</v>
      </c>
      <c r="N293">
        <v>2400</v>
      </c>
    </row>
    <row r="294" spans="1:14" x14ac:dyDescent="0.25">
      <c r="A294">
        <v>22.589542999999999</v>
      </c>
      <c r="B294" s="1">
        <f>DATE(2010,5,23) + TIME(14,8,56)</f>
        <v>40321.589537037034</v>
      </c>
      <c r="C294">
        <v>1340.8720702999999</v>
      </c>
      <c r="D294">
        <v>1338.2734375</v>
      </c>
      <c r="E294">
        <v>1321.5466309000001</v>
      </c>
      <c r="F294">
        <v>1317.5859375</v>
      </c>
      <c r="G294">
        <v>80</v>
      </c>
      <c r="H294">
        <v>79.947189331000004</v>
      </c>
      <c r="I294">
        <v>50</v>
      </c>
      <c r="J294">
        <v>14.999684333999999</v>
      </c>
      <c r="K294">
        <v>2400</v>
      </c>
      <c r="L294">
        <v>0</v>
      </c>
      <c r="M294">
        <v>0</v>
      </c>
      <c r="N294">
        <v>2400</v>
      </c>
    </row>
    <row r="295" spans="1:14" x14ac:dyDescent="0.25">
      <c r="A295">
        <v>22.712945999999999</v>
      </c>
      <c r="B295" s="1">
        <f>DATE(2010,5,23) + TIME(17,6,38)</f>
        <v>40321.712939814817</v>
      </c>
      <c r="C295">
        <v>1340.8676757999999</v>
      </c>
      <c r="D295">
        <v>1338.2703856999999</v>
      </c>
      <c r="E295">
        <v>1321.5467529</v>
      </c>
      <c r="F295">
        <v>1317.5860596</v>
      </c>
      <c r="G295">
        <v>80</v>
      </c>
      <c r="H295">
        <v>79.947174071999996</v>
      </c>
      <c r="I295">
        <v>50</v>
      </c>
      <c r="J295">
        <v>14.999685287</v>
      </c>
      <c r="K295">
        <v>2400</v>
      </c>
      <c r="L295">
        <v>0</v>
      </c>
      <c r="M295">
        <v>0</v>
      </c>
      <c r="N295">
        <v>2400</v>
      </c>
    </row>
    <row r="296" spans="1:14" x14ac:dyDescent="0.25">
      <c r="A296">
        <v>22.836348999999998</v>
      </c>
      <c r="B296" s="1">
        <f>DATE(2010,5,23) + TIME(20,4,20)</f>
        <v>40321.836342592593</v>
      </c>
      <c r="C296">
        <v>1340.8632812000001</v>
      </c>
      <c r="D296">
        <v>1338.2673339999999</v>
      </c>
      <c r="E296">
        <v>1321.5469971</v>
      </c>
      <c r="F296">
        <v>1317.5863036999999</v>
      </c>
      <c r="G296">
        <v>80</v>
      </c>
      <c r="H296">
        <v>79.947158813000001</v>
      </c>
      <c r="I296">
        <v>50</v>
      </c>
      <c r="J296">
        <v>14.999686240999999</v>
      </c>
      <c r="K296">
        <v>2400</v>
      </c>
      <c r="L296">
        <v>0</v>
      </c>
      <c r="M296">
        <v>0</v>
      </c>
      <c r="N296">
        <v>2400</v>
      </c>
    </row>
    <row r="297" spans="1:14" x14ac:dyDescent="0.25">
      <c r="A297">
        <v>22.959752000000002</v>
      </c>
      <c r="B297" s="1">
        <f>DATE(2010,5,23) + TIME(23,2,2)</f>
        <v>40321.959745370368</v>
      </c>
      <c r="C297">
        <v>1340.8588867000001</v>
      </c>
      <c r="D297">
        <v>1338.2642822</v>
      </c>
      <c r="E297">
        <v>1321.5472411999999</v>
      </c>
      <c r="F297">
        <v>1317.5864257999999</v>
      </c>
      <c r="G297">
        <v>80</v>
      </c>
      <c r="H297">
        <v>79.947143554999997</v>
      </c>
      <c r="I297">
        <v>50</v>
      </c>
      <c r="J297">
        <v>14.999686240999999</v>
      </c>
      <c r="K297">
        <v>2400</v>
      </c>
      <c r="L297">
        <v>0</v>
      </c>
      <c r="M297">
        <v>0</v>
      </c>
      <c r="N297">
        <v>2400</v>
      </c>
    </row>
    <row r="298" spans="1:14" x14ac:dyDescent="0.25">
      <c r="A298">
        <v>23.083155000000001</v>
      </c>
      <c r="B298" s="1">
        <f>DATE(2010,5,24) + TIME(1,59,44)</f>
        <v>40322.083148148151</v>
      </c>
      <c r="C298">
        <v>1340.8546143000001</v>
      </c>
      <c r="D298">
        <v>1338.2612305</v>
      </c>
      <c r="E298">
        <v>1321.5474853999999</v>
      </c>
      <c r="F298">
        <v>1317.5866699000001</v>
      </c>
      <c r="G298">
        <v>80</v>
      </c>
      <c r="H298">
        <v>79.947128296000002</v>
      </c>
      <c r="I298">
        <v>50</v>
      </c>
      <c r="J298">
        <v>14.999687195</v>
      </c>
      <c r="K298">
        <v>2400</v>
      </c>
      <c r="L298">
        <v>0</v>
      </c>
      <c r="M298">
        <v>0</v>
      </c>
      <c r="N298">
        <v>2400</v>
      </c>
    </row>
    <row r="299" spans="1:14" x14ac:dyDescent="0.25">
      <c r="A299">
        <v>23.206558000000001</v>
      </c>
      <c r="B299" s="1">
        <f>DATE(2010,5,24) + TIME(4,57,26)</f>
        <v>40322.206550925926</v>
      </c>
      <c r="C299">
        <v>1340.8503418</v>
      </c>
      <c r="D299">
        <v>1338.2581786999999</v>
      </c>
      <c r="E299">
        <v>1321.5477295000001</v>
      </c>
      <c r="F299">
        <v>1317.5867920000001</v>
      </c>
      <c r="G299">
        <v>80</v>
      </c>
      <c r="H299">
        <v>79.947113036999994</v>
      </c>
      <c r="I299">
        <v>50</v>
      </c>
      <c r="J299">
        <v>14.999688148000001</v>
      </c>
      <c r="K299">
        <v>2400</v>
      </c>
      <c r="L299">
        <v>0</v>
      </c>
      <c r="M299">
        <v>0</v>
      </c>
      <c r="N299">
        <v>2400</v>
      </c>
    </row>
    <row r="300" spans="1:14" x14ac:dyDescent="0.25">
      <c r="A300">
        <v>23.329961000000001</v>
      </c>
      <c r="B300" s="1">
        <f>DATE(2010,5,24) + TIME(7,55,8)</f>
        <v>40322.329953703702</v>
      </c>
      <c r="C300">
        <v>1340.8460693</v>
      </c>
      <c r="D300">
        <v>1338.2551269999999</v>
      </c>
      <c r="E300">
        <v>1321.5479736</v>
      </c>
      <c r="F300">
        <v>1317.5869141000001</v>
      </c>
      <c r="G300">
        <v>80</v>
      </c>
      <c r="H300">
        <v>79.947090149000005</v>
      </c>
      <c r="I300">
        <v>50</v>
      </c>
      <c r="J300">
        <v>14.999688148000001</v>
      </c>
      <c r="K300">
        <v>2400</v>
      </c>
      <c r="L300">
        <v>0</v>
      </c>
      <c r="M300">
        <v>0</v>
      </c>
      <c r="N300">
        <v>2400</v>
      </c>
    </row>
    <row r="301" spans="1:14" x14ac:dyDescent="0.25">
      <c r="A301">
        <v>23.453364000000001</v>
      </c>
      <c r="B301" s="1">
        <f>DATE(2010,5,24) + TIME(10,52,50)</f>
        <v>40322.453356481485</v>
      </c>
      <c r="C301">
        <v>1340.8417969</v>
      </c>
      <c r="D301">
        <v>1338.2521973</v>
      </c>
      <c r="E301">
        <v>1321.5482178</v>
      </c>
      <c r="F301">
        <v>1317.5871582</v>
      </c>
      <c r="G301">
        <v>80</v>
      </c>
      <c r="H301">
        <v>79.947074889999996</v>
      </c>
      <c r="I301">
        <v>50</v>
      </c>
      <c r="J301">
        <v>14.999689102</v>
      </c>
      <c r="K301">
        <v>2400</v>
      </c>
      <c r="L301">
        <v>0</v>
      </c>
      <c r="M301">
        <v>0</v>
      </c>
      <c r="N301">
        <v>2400</v>
      </c>
    </row>
    <row r="302" spans="1:14" x14ac:dyDescent="0.25">
      <c r="A302">
        <v>23.576767</v>
      </c>
      <c r="B302" s="1">
        <f>DATE(2010,5,24) + TIME(13,50,32)</f>
        <v>40322.57675925926</v>
      </c>
      <c r="C302">
        <v>1340.8375243999999</v>
      </c>
      <c r="D302">
        <v>1338.2491454999999</v>
      </c>
      <c r="E302">
        <v>1321.5484618999999</v>
      </c>
      <c r="F302">
        <v>1317.5872803</v>
      </c>
      <c r="G302">
        <v>80</v>
      </c>
      <c r="H302">
        <v>79.947059631000002</v>
      </c>
      <c r="I302">
        <v>50</v>
      </c>
      <c r="J302">
        <v>14.999690056</v>
      </c>
      <c r="K302">
        <v>2400</v>
      </c>
      <c r="L302">
        <v>0</v>
      </c>
      <c r="M302">
        <v>0</v>
      </c>
      <c r="N302">
        <v>2400</v>
      </c>
    </row>
    <row r="303" spans="1:14" x14ac:dyDescent="0.25">
      <c r="A303">
        <v>23.70017</v>
      </c>
      <c r="B303" s="1">
        <f>DATE(2010,5,24) + TIME(16,48,14)</f>
        <v>40322.700162037036</v>
      </c>
      <c r="C303">
        <v>1340.833374</v>
      </c>
      <c r="D303">
        <v>1338.2462158000001</v>
      </c>
      <c r="E303">
        <v>1321.5487060999999</v>
      </c>
      <c r="F303">
        <v>1317.5875243999999</v>
      </c>
      <c r="G303">
        <v>80</v>
      </c>
      <c r="H303">
        <v>79.947044372999997</v>
      </c>
      <c r="I303">
        <v>50</v>
      </c>
      <c r="J303">
        <v>14.999690056</v>
      </c>
      <c r="K303">
        <v>2400</v>
      </c>
      <c r="L303">
        <v>0</v>
      </c>
      <c r="M303">
        <v>0</v>
      </c>
      <c r="N303">
        <v>2400</v>
      </c>
    </row>
    <row r="304" spans="1:14" x14ac:dyDescent="0.25">
      <c r="A304">
        <v>23.823573</v>
      </c>
      <c r="B304" s="1">
        <f>DATE(2010,5,24) + TIME(19,45,56)</f>
        <v>40322.823564814818</v>
      </c>
      <c r="C304">
        <v>1340.8291016000001</v>
      </c>
      <c r="D304">
        <v>1338.2432861</v>
      </c>
      <c r="E304">
        <v>1321.5488281</v>
      </c>
      <c r="F304">
        <v>1317.5876464999999</v>
      </c>
      <c r="G304">
        <v>80</v>
      </c>
      <c r="H304">
        <v>79.947036742999998</v>
      </c>
      <c r="I304">
        <v>50</v>
      </c>
      <c r="J304">
        <v>14.999691009999999</v>
      </c>
      <c r="K304">
        <v>2400</v>
      </c>
      <c r="L304">
        <v>0</v>
      </c>
      <c r="M304">
        <v>0</v>
      </c>
      <c r="N304">
        <v>2400</v>
      </c>
    </row>
    <row r="305" spans="1:14" x14ac:dyDescent="0.25">
      <c r="A305">
        <v>24.070378999999999</v>
      </c>
      <c r="B305" s="1">
        <f>DATE(2010,5,25) + TIME(1,41,20)</f>
        <v>40323.070370370369</v>
      </c>
      <c r="C305">
        <v>1340.8250731999999</v>
      </c>
      <c r="D305">
        <v>1338.2404785000001</v>
      </c>
      <c r="E305">
        <v>1321.5491943</v>
      </c>
      <c r="F305">
        <v>1317.5878906</v>
      </c>
      <c r="G305">
        <v>80</v>
      </c>
      <c r="H305">
        <v>79.947013854999994</v>
      </c>
      <c r="I305">
        <v>50</v>
      </c>
      <c r="J305">
        <v>14.999691963</v>
      </c>
      <c r="K305">
        <v>2400</v>
      </c>
      <c r="L305">
        <v>0</v>
      </c>
      <c r="M305">
        <v>0</v>
      </c>
      <c r="N305">
        <v>2400</v>
      </c>
    </row>
    <row r="306" spans="1:14" x14ac:dyDescent="0.25">
      <c r="A306">
        <v>24.317350000000001</v>
      </c>
      <c r="B306" s="1">
        <f>DATE(2010,5,25) + TIME(7,36,59)</f>
        <v>40323.317349537036</v>
      </c>
      <c r="C306">
        <v>1340.8167725000001</v>
      </c>
      <c r="D306">
        <v>1338.2346190999999</v>
      </c>
      <c r="E306">
        <v>1321.5495605000001</v>
      </c>
      <c r="F306">
        <v>1317.5881348</v>
      </c>
      <c r="G306">
        <v>80</v>
      </c>
      <c r="H306">
        <v>79.946990967000005</v>
      </c>
      <c r="I306">
        <v>50</v>
      </c>
      <c r="J306">
        <v>14.999692917000001</v>
      </c>
      <c r="K306">
        <v>2400</v>
      </c>
      <c r="L306">
        <v>0</v>
      </c>
      <c r="M306">
        <v>0</v>
      </c>
      <c r="N306">
        <v>2400</v>
      </c>
    </row>
    <row r="307" spans="1:14" x14ac:dyDescent="0.25">
      <c r="A307">
        <v>24.567008000000001</v>
      </c>
      <c r="B307" s="1">
        <f>DATE(2010,5,25) + TIME(13,36,29)</f>
        <v>40323.567002314812</v>
      </c>
      <c r="C307">
        <v>1340.8085937999999</v>
      </c>
      <c r="D307">
        <v>1338.2288818</v>
      </c>
      <c r="E307">
        <v>1321.5500488</v>
      </c>
      <c r="F307">
        <v>1317.588501</v>
      </c>
      <c r="G307">
        <v>80</v>
      </c>
      <c r="H307">
        <v>79.946968079000001</v>
      </c>
      <c r="I307">
        <v>50</v>
      </c>
      <c r="J307">
        <v>14.999694824000001</v>
      </c>
      <c r="K307">
        <v>2400</v>
      </c>
      <c r="L307">
        <v>0</v>
      </c>
      <c r="M307">
        <v>0</v>
      </c>
      <c r="N307">
        <v>2400</v>
      </c>
    </row>
    <row r="308" spans="1:14" x14ac:dyDescent="0.25">
      <c r="A308">
        <v>24.819837</v>
      </c>
      <c r="B308" s="1">
        <f>DATE(2010,5,25) + TIME(19,40,33)</f>
        <v>40323.819826388892</v>
      </c>
      <c r="C308">
        <v>1340.800293</v>
      </c>
      <c r="D308">
        <v>1338.2231445</v>
      </c>
      <c r="E308">
        <v>1321.5505370999999</v>
      </c>
      <c r="F308">
        <v>1317.5888672000001</v>
      </c>
      <c r="G308">
        <v>80</v>
      </c>
      <c r="H308">
        <v>79.946937560999999</v>
      </c>
      <c r="I308">
        <v>50</v>
      </c>
      <c r="J308">
        <v>14.999695778</v>
      </c>
      <c r="K308">
        <v>2400</v>
      </c>
      <c r="L308">
        <v>0</v>
      </c>
      <c r="M308">
        <v>0</v>
      </c>
      <c r="N308">
        <v>2400</v>
      </c>
    </row>
    <row r="309" spans="1:14" x14ac:dyDescent="0.25">
      <c r="A309">
        <v>25.076370000000001</v>
      </c>
      <c r="B309" s="1">
        <f>DATE(2010,5,26) + TIME(1,49,58)</f>
        <v>40324.076365740744</v>
      </c>
      <c r="C309">
        <v>1340.7919922000001</v>
      </c>
      <c r="D309">
        <v>1338.2174072</v>
      </c>
      <c r="E309">
        <v>1321.5510254000001</v>
      </c>
      <c r="F309">
        <v>1317.5892334</v>
      </c>
      <c r="G309">
        <v>80</v>
      </c>
      <c r="H309">
        <v>79.946914672999995</v>
      </c>
      <c r="I309">
        <v>50</v>
      </c>
      <c r="J309">
        <v>14.999696732</v>
      </c>
      <c r="K309">
        <v>2400</v>
      </c>
      <c r="L309">
        <v>0</v>
      </c>
      <c r="M309">
        <v>0</v>
      </c>
      <c r="N309">
        <v>2400</v>
      </c>
    </row>
    <row r="310" spans="1:14" x14ac:dyDescent="0.25">
      <c r="A310">
        <v>25.337174000000001</v>
      </c>
      <c r="B310" s="1">
        <f>DATE(2010,5,26) + TIME(8,5,31)</f>
        <v>40324.337164351855</v>
      </c>
      <c r="C310">
        <v>1340.7836914</v>
      </c>
      <c r="D310">
        <v>1338.2115478999999</v>
      </c>
      <c r="E310">
        <v>1321.5515137</v>
      </c>
      <c r="F310">
        <v>1317.5895995999999</v>
      </c>
      <c r="G310">
        <v>80</v>
      </c>
      <c r="H310">
        <v>79.946884155000006</v>
      </c>
      <c r="I310">
        <v>50</v>
      </c>
      <c r="J310">
        <v>14.999697684999999</v>
      </c>
      <c r="K310">
        <v>2400</v>
      </c>
      <c r="L310">
        <v>0</v>
      </c>
      <c r="M310">
        <v>0</v>
      </c>
      <c r="N310">
        <v>2400</v>
      </c>
    </row>
    <row r="311" spans="1:14" x14ac:dyDescent="0.25">
      <c r="A311">
        <v>25.602969000000002</v>
      </c>
      <c r="B311" s="1">
        <f>DATE(2010,5,26) + TIME(14,28,16)</f>
        <v>40324.602962962963</v>
      </c>
      <c r="C311">
        <v>1340.7753906</v>
      </c>
      <c r="D311">
        <v>1338.2056885</v>
      </c>
      <c r="E311">
        <v>1321.5520019999999</v>
      </c>
      <c r="F311">
        <v>1317.5899658000001</v>
      </c>
      <c r="G311">
        <v>80</v>
      </c>
      <c r="H311">
        <v>79.946853637999993</v>
      </c>
      <c r="I311">
        <v>50</v>
      </c>
      <c r="J311">
        <v>14.999699593000001</v>
      </c>
      <c r="K311">
        <v>2400</v>
      </c>
      <c r="L311">
        <v>0</v>
      </c>
      <c r="M311">
        <v>0</v>
      </c>
      <c r="N311">
        <v>2400</v>
      </c>
    </row>
    <row r="312" spans="1:14" x14ac:dyDescent="0.25">
      <c r="A312">
        <v>25.873833999999999</v>
      </c>
      <c r="B312" s="1">
        <f>DATE(2010,5,26) + TIME(20,58,19)</f>
        <v>40324.873831018522</v>
      </c>
      <c r="C312">
        <v>1340.7669678</v>
      </c>
      <c r="D312">
        <v>1338.1998291</v>
      </c>
      <c r="E312">
        <v>1321.5524902</v>
      </c>
      <c r="F312">
        <v>1317.590332</v>
      </c>
      <c r="G312">
        <v>80</v>
      </c>
      <c r="H312">
        <v>79.946830750000004</v>
      </c>
      <c r="I312">
        <v>50</v>
      </c>
      <c r="J312">
        <v>14.999700546</v>
      </c>
      <c r="K312">
        <v>2400</v>
      </c>
      <c r="L312">
        <v>0</v>
      </c>
      <c r="M312">
        <v>0</v>
      </c>
      <c r="N312">
        <v>2400</v>
      </c>
    </row>
    <row r="313" spans="1:14" x14ac:dyDescent="0.25">
      <c r="A313">
        <v>26.010012</v>
      </c>
      <c r="B313" s="1">
        <f>DATE(2010,5,27) + TIME(0,14,25)</f>
        <v>40325.010011574072</v>
      </c>
      <c r="C313">
        <v>1340.7583007999999</v>
      </c>
      <c r="D313">
        <v>1338.1937256000001</v>
      </c>
      <c r="E313">
        <v>1321.5529785000001</v>
      </c>
      <c r="F313">
        <v>1317.5906981999999</v>
      </c>
      <c r="G313">
        <v>80</v>
      </c>
      <c r="H313">
        <v>79.946807860999996</v>
      </c>
      <c r="I313">
        <v>50</v>
      </c>
      <c r="J313">
        <v>14.9997015</v>
      </c>
      <c r="K313">
        <v>2400</v>
      </c>
      <c r="L313">
        <v>0</v>
      </c>
      <c r="M313">
        <v>0</v>
      </c>
      <c r="N313">
        <v>2400</v>
      </c>
    </row>
    <row r="314" spans="1:14" x14ac:dyDescent="0.25">
      <c r="A314">
        <v>26.146191000000002</v>
      </c>
      <c r="B314" s="1">
        <f>DATE(2010,5,27) + TIME(3,30,30)</f>
        <v>40325.146180555559</v>
      </c>
      <c r="C314">
        <v>1340.7540283000001</v>
      </c>
      <c r="D314">
        <v>1338.1907959</v>
      </c>
      <c r="E314">
        <v>1321.5532227000001</v>
      </c>
      <c r="F314">
        <v>1317.5908202999999</v>
      </c>
      <c r="G314">
        <v>80</v>
      </c>
      <c r="H314">
        <v>79.946784973000007</v>
      </c>
      <c r="I314">
        <v>50</v>
      </c>
      <c r="J314">
        <v>14.999702453999999</v>
      </c>
      <c r="K314">
        <v>2400</v>
      </c>
      <c r="L314">
        <v>0</v>
      </c>
      <c r="M314">
        <v>0</v>
      </c>
      <c r="N314">
        <v>2400</v>
      </c>
    </row>
    <row r="315" spans="1:14" x14ac:dyDescent="0.25">
      <c r="A315">
        <v>26.281970999999999</v>
      </c>
      <c r="B315" s="1">
        <f>DATE(2010,5,27) + TIME(6,46,2)</f>
        <v>40325.281967592593</v>
      </c>
      <c r="C315">
        <v>1340.7497559000001</v>
      </c>
      <c r="D315">
        <v>1338.1877440999999</v>
      </c>
      <c r="E315">
        <v>1321.5535889</v>
      </c>
      <c r="F315">
        <v>1317.5910644999999</v>
      </c>
      <c r="G315">
        <v>80</v>
      </c>
      <c r="H315">
        <v>79.946769713999998</v>
      </c>
      <c r="I315">
        <v>50</v>
      </c>
      <c r="J315">
        <v>14.999702453999999</v>
      </c>
      <c r="K315">
        <v>2400</v>
      </c>
      <c r="L315">
        <v>0</v>
      </c>
      <c r="M315">
        <v>0</v>
      </c>
      <c r="N315">
        <v>2400</v>
      </c>
    </row>
    <row r="316" spans="1:14" x14ac:dyDescent="0.25">
      <c r="A316">
        <v>26.417418999999999</v>
      </c>
      <c r="B316" s="1">
        <f>DATE(2010,5,27) + TIME(10,1,4)</f>
        <v>40325.417407407411</v>
      </c>
      <c r="C316">
        <v>1340.7456055</v>
      </c>
      <c r="D316">
        <v>1338.1848144999999</v>
      </c>
      <c r="E316">
        <v>1321.5538329999999</v>
      </c>
      <c r="F316">
        <v>1317.5911865</v>
      </c>
      <c r="G316">
        <v>80</v>
      </c>
      <c r="H316">
        <v>79.946754455999994</v>
      </c>
      <c r="I316">
        <v>50</v>
      </c>
      <c r="J316">
        <v>14.999703407</v>
      </c>
      <c r="K316">
        <v>2400</v>
      </c>
      <c r="L316">
        <v>0</v>
      </c>
      <c r="M316">
        <v>0</v>
      </c>
      <c r="N316">
        <v>2400</v>
      </c>
    </row>
    <row r="317" spans="1:14" x14ac:dyDescent="0.25">
      <c r="A317">
        <v>26.552610000000001</v>
      </c>
      <c r="B317" s="1">
        <f>DATE(2010,5,27) + TIME(13,15,45)</f>
        <v>40325.552604166667</v>
      </c>
      <c r="C317">
        <v>1340.7414550999999</v>
      </c>
      <c r="D317">
        <v>1338.1818848</v>
      </c>
      <c r="E317">
        <v>1321.5540771000001</v>
      </c>
      <c r="F317">
        <v>1317.5914307</v>
      </c>
      <c r="G317">
        <v>80</v>
      </c>
      <c r="H317">
        <v>79.946739196999999</v>
      </c>
      <c r="I317">
        <v>50</v>
      </c>
      <c r="J317">
        <v>14.999704360999999</v>
      </c>
      <c r="K317">
        <v>2400</v>
      </c>
      <c r="L317">
        <v>0</v>
      </c>
      <c r="M317">
        <v>0</v>
      </c>
      <c r="N317">
        <v>2400</v>
      </c>
    </row>
    <row r="318" spans="1:14" x14ac:dyDescent="0.25">
      <c r="A318">
        <v>26.687622999999999</v>
      </c>
      <c r="B318" s="1">
        <f>DATE(2010,5,27) + TIME(16,30,10)</f>
        <v>40325.687615740739</v>
      </c>
      <c r="C318">
        <v>1340.7373047000001</v>
      </c>
      <c r="D318">
        <v>1338.1789550999999</v>
      </c>
      <c r="E318">
        <v>1321.5543213000001</v>
      </c>
      <c r="F318">
        <v>1317.5916748</v>
      </c>
      <c r="G318">
        <v>80</v>
      </c>
      <c r="H318">
        <v>79.946723938000005</v>
      </c>
      <c r="I318">
        <v>50</v>
      </c>
      <c r="J318">
        <v>14.999704360999999</v>
      </c>
      <c r="K318">
        <v>2400</v>
      </c>
      <c r="L318">
        <v>0</v>
      </c>
      <c r="M318">
        <v>0</v>
      </c>
      <c r="N318">
        <v>2400</v>
      </c>
    </row>
    <row r="319" spans="1:14" x14ac:dyDescent="0.25">
      <c r="A319">
        <v>26.822507999999999</v>
      </c>
      <c r="B319" s="1">
        <f>DATE(2010,5,27) + TIME(19,44,24)</f>
        <v>40325.822500000002</v>
      </c>
      <c r="C319">
        <v>1340.7331543</v>
      </c>
      <c r="D319">
        <v>1338.1761475000001</v>
      </c>
      <c r="E319">
        <v>1321.5545654</v>
      </c>
      <c r="F319">
        <v>1317.5917969</v>
      </c>
      <c r="G319">
        <v>80</v>
      </c>
      <c r="H319">
        <v>79.946708678999997</v>
      </c>
      <c r="I319">
        <v>50</v>
      </c>
      <c r="J319">
        <v>14.999705315</v>
      </c>
      <c r="K319">
        <v>2400</v>
      </c>
      <c r="L319">
        <v>0</v>
      </c>
      <c r="M319">
        <v>0</v>
      </c>
      <c r="N319">
        <v>2400</v>
      </c>
    </row>
    <row r="320" spans="1:14" x14ac:dyDescent="0.25">
      <c r="A320">
        <v>26.957353999999999</v>
      </c>
      <c r="B320" s="1">
        <f>DATE(2010,5,27) + TIME(22,58,35)</f>
        <v>40325.957349537035</v>
      </c>
      <c r="C320">
        <v>1340.729126</v>
      </c>
      <c r="D320">
        <v>1338.1732178</v>
      </c>
      <c r="E320">
        <v>1321.5548096</v>
      </c>
      <c r="F320">
        <v>1317.5920410000001</v>
      </c>
      <c r="G320">
        <v>80</v>
      </c>
      <c r="H320">
        <v>79.946693420000003</v>
      </c>
      <c r="I320">
        <v>50</v>
      </c>
      <c r="J320">
        <v>14.999706268000001</v>
      </c>
      <c r="K320">
        <v>2400</v>
      </c>
      <c r="L320">
        <v>0</v>
      </c>
      <c r="M320">
        <v>0</v>
      </c>
      <c r="N320">
        <v>2400</v>
      </c>
    </row>
    <row r="321" spans="1:14" x14ac:dyDescent="0.25">
      <c r="A321">
        <v>27.092199999999998</v>
      </c>
      <c r="B321" s="1">
        <f>DATE(2010,5,28) + TIME(2,12,46)</f>
        <v>40326.092199074075</v>
      </c>
      <c r="C321">
        <v>1340.7249756000001</v>
      </c>
      <c r="D321">
        <v>1338.1704102000001</v>
      </c>
      <c r="E321">
        <v>1321.5551757999999</v>
      </c>
      <c r="F321">
        <v>1317.5921631000001</v>
      </c>
      <c r="G321">
        <v>80</v>
      </c>
      <c r="H321">
        <v>79.946678161999998</v>
      </c>
      <c r="I321">
        <v>50</v>
      </c>
      <c r="J321">
        <v>14.999706268000001</v>
      </c>
      <c r="K321">
        <v>2400</v>
      </c>
      <c r="L321">
        <v>0</v>
      </c>
      <c r="M321">
        <v>0</v>
      </c>
      <c r="N321">
        <v>2400</v>
      </c>
    </row>
    <row r="322" spans="1:14" x14ac:dyDescent="0.25">
      <c r="A322">
        <v>27.227046000000001</v>
      </c>
      <c r="B322" s="1">
        <f>DATE(2010,5,28) + TIME(5,26,56)</f>
        <v>40326.227037037039</v>
      </c>
      <c r="C322">
        <v>1340.7209473</v>
      </c>
      <c r="D322">
        <v>1338.1674805</v>
      </c>
      <c r="E322">
        <v>1321.5554199000001</v>
      </c>
      <c r="F322">
        <v>1317.5924072</v>
      </c>
      <c r="G322">
        <v>80</v>
      </c>
      <c r="H322">
        <v>79.946662903000004</v>
      </c>
      <c r="I322">
        <v>50</v>
      </c>
      <c r="J322">
        <v>14.999707222</v>
      </c>
      <c r="K322">
        <v>2400</v>
      </c>
      <c r="L322">
        <v>0</v>
      </c>
      <c r="M322">
        <v>0</v>
      </c>
      <c r="N322">
        <v>2400</v>
      </c>
    </row>
    <row r="323" spans="1:14" x14ac:dyDescent="0.25">
      <c r="A323">
        <v>27.361892000000001</v>
      </c>
      <c r="B323" s="1">
        <f>DATE(2010,5,28) + TIME(8,41,7)</f>
        <v>40326.361886574072</v>
      </c>
      <c r="C323">
        <v>1340.7169189000001</v>
      </c>
      <c r="D323">
        <v>1338.1646728999999</v>
      </c>
      <c r="E323">
        <v>1321.5556641000001</v>
      </c>
      <c r="F323">
        <v>1317.5926514</v>
      </c>
      <c r="G323">
        <v>80</v>
      </c>
      <c r="H323">
        <v>79.946647643999995</v>
      </c>
      <c r="I323">
        <v>50</v>
      </c>
      <c r="J323">
        <v>14.999708176</v>
      </c>
      <c r="K323">
        <v>2400</v>
      </c>
      <c r="L323">
        <v>0</v>
      </c>
      <c r="M323">
        <v>0</v>
      </c>
      <c r="N323">
        <v>2400</v>
      </c>
    </row>
    <row r="324" spans="1:14" x14ac:dyDescent="0.25">
      <c r="A324">
        <v>27.496738000000001</v>
      </c>
      <c r="B324" s="1">
        <f>DATE(2010,5,28) + TIME(11,55,18)</f>
        <v>40326.496736111112</v>
      </c>
      <c r="C324">
        <v>1340.7128906</v>
      </c>
      <c r="D324">
        <v>1338.1618652</v>
      </c>
      <c r="E324">
        <v>1321.5559082</v>
      </c>
      <c r="F324">
        <v>1317.5927733999999</v>
      </c>
      <c r="G324">
        <v>80</v>
      </c>
      <c r="H324">
        <v>79.946640015</v>
      </c>
      <c r="I324">
        <v>50</v>
      </c>
      <c r="J324">
        <v>14.999708176</v>
      </c>
      <c r="K324">
        <v>2400</v>
      </c>
      <c r="L324">
        <v>0</v>
      </c>
      <c r="M324">
        <v>0</v>
      </c>
      <c r="N324">
        <v>2400</v>
      </c>
    </row>
    <row r="325" spans="1:14" x14ac:dyDescent="0.25">
      <c r="A325">
        <v>27.631584</v>
      </c>
      <c r="B325" s="1">
        <f>DATE(2010,5,28) + TIME(15,9,28)</f>
        <v>40326.631574074076</v>
      </c>
      <c r="C325">
        <v>1340.7088623</v>
      </c>
      <c r="D325">
        <v>1338.1590576000001</v>
      </c>
      <c r="E325">
        <v>1321.5561522999999</v>
      </c>
      <c r="F325">
        <v>1317.5930175999999</v>
      </c>
      <c r="G325">
        <v>80</v>
      </c>
      <c r="H325">
        <v>79.946624756000006</v>
      </c>
      <c r="I325">
        <v>50</v>
      </c>
      <c r="J325">
        <v>14.999709128999999</v>
      </c>
      <c r="K325">
        <v>2400</v>
      </c>
      <c r="L325">
        <v>0</v>
      </c>
      <c r="M325">
        <v>0</v>
      </c>
      <c r="N325">
        <v>2400</v>
      </c>
    </row>
    <row r="326" spans="1:14" x14ac:dyDescent="0.25">
      <c r="A326">
        <v>27.76643</v>
      </c>
      <c r="B326" s="1">
        <f>DATE(2010,5,28) + TIME(18,23,39)</f>
        <v>40326.766423611109</v>
      </c>
      <c r="C326">
        <v>1340.7049560999999</v>
      </c>
      <c r="D326">
        <v>1338.15625</v>
      </c>
      <c r="E326">
        <v>1321.5563964999999</v>
      </c>
      <c r="F326">
        <v>1317.5931396000001</v>
      </c>
      <c r="G326">
        <v>80</v>
      </c>
      <c r="H326">
        <v>79.946609496999997</v>
      </c>
      <c r="I326">
        <v>50</v>
      </c>
      <c r="J326">
        <v>14.999710083</v>
      </c>
      <c r="K326">
        <v>2400</v>
      </c>
      <c r="L326">
        <v>0</v>
      </c>
      <c r="M326">
        <v>0</v>
      </c>
      <c r="N326">
        <v>2400</v>
      </c>
    </row>
    <row r="327" spans="1:14" x14ac:dyDescent="0.25">
      <c r="A327">
        <v>28.036121999999999</v>
      </c>
      <c r="B327" s="1">
        <f>DATE(2010,5,29) + TIME(0,52,0)</f>
        <v>40327.036111111112</v>
      </c>
      <c r="C327">
        <v>1340.7010498</v>
      </c>
      <c r="D327">
        <v>1338.1535644999999</v>
      </c>
      <c r="E327">
        <v>1321.5567627</v>
      </c>
      <c r="F327">
        <v>1317.5933838000001</v>
      </c>
      <c r="G327">
        <v>80</v>
      </c>
      <c r="H327">
        <v>79.946594238000003</v>
      </c>
      <c r="I327">
        <v>50</v>
      </c>
      <c r="J327">
        <v>14.999711037000001</v>
      </c>
      <c r="K327">
        <v>2400</v>
      </c>
      <c r="L327">
        <v>0</v>
      </c>
      <c r="M327">
        <v>0</v>
      </c>
      <c r="N327">
        <v>2400</v>
      </c>
    </row>
    <row r="328" spans="1:14" x14ac:dyDescent="0.25">
      <c r="A328">
        <v>28.306479</v>
      </c>
      <c r="B328" s="1">
        <f>DATE(2010,5,29) + TIME(7,21,19)</f>
        <v>40327.306469907409</v>
      </c>
      <c r="C328">
        <v>1340.6932373</v>
      </c>
      <c r="D328">
        <v>1338.1480713000001</v>
      </c>
      <c r="E328">
        <v>1321.557251</v>
      </c>
      <c r="F328">
        <v>1317.59375</v>
      </c>
      <c r="G328">
        <v>80</v>
      </c>
      <c r="H328">
        <v>79.946578978999995</v>
      </c>
      <c r="I328">
        <v>50</v>
      </c>
      <c r="J328">
        <v>14.99971199</v>
      </c>
      <c r="K328">
        <v>2400</v>
      </c>
      <c r="L328">
        <v>0</v>
      </c>
      <c r="M328">
        <v>0</v>
      </c>
      <c r="N328">
        <v>2400</v>
      </c>
    </row>
    <row r="329" spans="1:14" x14ac:dyDescent="0.25">
      <c r="A329">
        <v>28.579529000000001</v>
      </c>
      <c r="B329" s="1">
        <f>DATE(2010,5,29) + TIME(13,54,31)</f>
        <v>40327.579525462963</v>
      </c>
      <c r="C329">
        <v>1340.6853027</v>
      </c>
      <c r="D329">
        <v>1338.1425781</v>
      </c>
      <c r="E329">
        <v>1321.5578613</v>
      </c>
      <c r="F329">
        <v>1317.5941161999999</v>
      </c>
      <c r="G329">
        <v>80</v>
      </c>
      <c r="H329">
        <v>79.946556091000005</v>
      </c>
      <c r="I329">
        <v>50</v>
      </c>
      <c r="J329">
        <v>14.999712944000001</v>
      </c>
      <c r="K329">
        <v>2400</v>
      </c>
      <c r="L329">
        <v>0</v>
      </c>
      <c r="M329">
        <v>0</v>
      </c>
      <c r="N329">
        <v>2400</v>
      </c>
    </row>
    <row r="330" spans="1:14" x14ac:dyDescent="0.25">
      <c r="A330">
        <v>28.855831999999999</v>
      </c>
      <c r="B330" s="1">
        <f>DATE(2010,5,29) + TIME(20,32,23)</f>
        <v>40327.855821759258</v>
      </c>
      <c r="C330">
        <v>1340.6774902</v>
      </c>
      <c r="D330">
        <v>1338.137207</v>
      </c>
      <c r="E330">
        <v>1321.5583495999999</v>
      </c>
      <c r="F330">
        <v>1317.5946045000001</v>
      </c>
      <c r="G330">
        <v>80</v>
      </c>
      <c r="H330">
        <v>79.946533203000001</v>
      </c>
      <c r="I330">
        <v>50</v>
      </c>
      <c r="J330">
        <v>14.999713898</v>
      </c>
      <c r="K330">
        <v>2400</v>
      </c>
      <c r="L330">
        <v>0</v>
      </c>
      <c r="M330">
        <v>0</v>
      </c>
      <c r="N330">
        <v>2400</v>
      </c>
    </row>
    <row r="331" spans="1:14" x14ac:dyDescent="0.25">
      <c r="A331">
        <v>29.135983</v>
      </c>
      <c r="B331" s="1">
        <f>DATE(2010,5,30) + TIME(3,15,48)</f>
        <v>40328.135972222219</v>
      </c>
      <c r="C331">
        <v>1340.6696777</v>
      </c>
      <c r="D331">
        <v>1338.1317139</v>
      </c>
      <c r="E331">
        <v>1321.5589600000001</v>
      </c>
      <c r="F331">
        <v>1317.5949707</v>
      </c>
      <c r="G331">
        <v>80</v>
      </c>
      <c r="H331">
        <v>79.946510314999998</v>
      </c>
      <c r="I331">
        <v>50</v>
      </c>
      <c r="J331">
        <v>14.999714851</v>
      </c>
      <c r="K331">
        <v>2400</v>
      </c>
      <c r="L331">
        <v>0</v>
      </c>
      <c r="M331">
        <v>0</v>
      </c>
      <c r="N331">
        <v>2400</v>
      </c>
    </row>
    <row r="332" spans="1:14" x14ac:dyDescent="0.25">
      <c r="A332">
        <v>29.420615000000002</v>
      </c>
      <c r="B332" s="1">
        <f>DATE(2010,5,30) + TIME(10,5,41)</f>
        <v>40328.420613425929</v>
      </c>
      <c r="C332">
        <v>1340.6617432</v>
      </c>
      <c r="D332">
        <v>1338.1260986</v>
      </c>
      <c r="E332">
        <v>1321.5594481999999</v>
      </c>
      <c r="F332">
        <v>1317.5953368999999</v>
      </c>
      <c r="G332">
        <v>80</v>
      </c>
      <c r="H332">
        <v>79.946487426999994</v>
      </c>
      <c r="I332">
        <v>50</v>
      </c>
      <c r="J332">
        <v>14.999716759</v>
      </c>
      <c r="K332">
        <v>2400</v>
      </c>
      <c r="L332">
        <v>0</v>
      </c>
      <c r="M332">
        <v>0</v>
      </c>
      <c r="N332">
        <v>2400</v>
      </c>
    </row>
    <row r="333" spans="1:14" x14ac:dyDescent="0.25">
      <c r="A333">
        <v>29.710438</v>
      </c>
      <c r="B333" s="1">
        <f>DATE(2010,5,30) + TIME(17,3,1)</f>
        <v>40328.710428240738</v>
      </c>
      <c r="C333">
        <v>1340.6538086</v>
      </c>
      <c r="D333">
        <v>1338.1206055</v>
      </c>
      <c r="E333">
        <v>1321.5600586</v>
      </c>
      <c r="F333">
        <v>1317.5958252</v>
      </c>
      <c r="G333">
        <v>80</v>
      </c>
      <c r="H333">
        <v>79.946464539000004</v>
      </c>
      <c r="I333">
        <v>50</v>
      </c>
      <c r="J333">
        <v>14.999717712000001</v>
      </c>
      <c r="K333">
        <v>2400</v>
      </c>
      <c r="L333">
        <v>0</v>
      </c>
      <c r="M333">
        <v>0</v>
      </c>
      <c r="N333">
        <v>2400</v>
      </c>
    </row>
    <row r="334" spans="1:14" x14ac:dyDescent="0.25">
      <c r="A334">
        <v>29.858274999999999</v>
      </c>
      <c r="B334" s="1">
        <f>DATE(2010,5,30) + TIME(20,35,54)</f>
        <v>40328.858263888891</v>
      </c>
      <c r="C334">
        <v>1340.6456298999999</v>
      </c>
      <c r="D334">
        <v>1338.1148682</v>
      </c>
      <c r="E334">
        <v>1321.5605469</v>
      </c>
      <c r="F334">
        <v>1317.5961914</v>
      </c>
      <c r="G334">
        <v>80</v>
      </c>
      <c r="H334">
        <v>79.946441649999997</v>
      </c>
      <c r="I334">
        <v>50</v>
      </c>
      <c r="J334">
        <v>14.999718666</v>
      </c>
      <c r="K334">
        <v>2400</v>
      </c>
      <c r="L334">
        <v>0</v>
      </c>
      <c r="M334">
        <v>0</v>
      </c>
      <c r="N334">
        <v>2400</v>
      </c>
    </row>
    <row r="335" spans="1:14" x14ac:dyDescent="0.25">
      <c r="A335">
        <v>30.006112000000002</v>
      </c>
      <c r="B335" s="1">
        <f>DATE(2010,5,31) + TIME(0,8,48)</f>
        <v>40329.006111111114</v>
      </c>
      <c r="C335">
        <v>1340.6416016000001</v>
      </c>
      <c r="D335">
        <v>1338.1119385</v>
      </c>
      <c r="E335">
        <v>1321.5609131000001</v>
      </c>
      <c r="F335">
        <v>1317.5964355000001</v>
      </c>
      <c r="G335">
        <v>80</v>
      </c>
      <c r="H335">
        <v>79.946426392000006</v>
      </c>
      <c r="I335">
        <v>50</v>
      </c>
      <c r="J335">
        <v>14.999718666</v>
      </c>
      <c r="K335">
        <v>2400</v>
      </c>
      <c r="L335">
        <v>0</v>
      </c>
      <c r="M335">
        <v>0</v>
      </c>
      <c r="N335">
        <v>2400</v>
      </c>
    </row>
    <row r="336" spans="1:14" x14ac:dyDescent="0.25">
      <c r="A336">
        <v>30.153949000000001</v>
      </c>
      <c r="B336" s="1">
        <f>DATE(2010,5,31) + TIME(3,41,41)</f>
        <v>40329.153946759259</v>
      </c>
      <c r="C336">
        <v>1340.6375731999999</v>
      </c>
      <c r="D336">
        <v>1338.1091309000001</v>
      </c>
      <c r="E336">
        <v>1321.5611572</v>
      </c>
      <c r="F336">
        <v>1317.5966797000001</v>
      </c>
      <c r="G336">
        <v>80</v>
      </c>
      <c r="H336">
        <v>79.946411132999998</v>
      </c>
      <c r="I336">
        <v>50</v>
      </c>
      <c r="J336">
        <v>14.99971962</v>
      </c>
      <c r="K336">
        <v>2400</v>
      </c>
      <c r="L336">
        <v>0</v>
      </c>
      <c r="M336">
        <v>0</v>
      </c>
      <c r="N336">
        <v>2400</v>
      </c>
    </row>
    <row r="337" spans="1:14" x14ac:dyDescent="0.25">
      <c r="A337">
        <v>30.301786</v>
      </c>
      <c r="B337" s="1">
        <f>DATE(2010,5,31) + TIME(7,14,34)</f>
        <v>40329.301782407405</v>
      </c>
      <c r="C337">
        <v>1340.6335449000001</v>
      </c>
      <c r="D337">
        <v>1338.1062012</v>
      </c>
      <c r="E337">
        <v>1321.5615233999999</v>
      </c>
      <c r="F337">
        <v>1317.5968018000001</v>
      </c>
      <c r="G337">
        <v>80</v>
      </c>
      <c r="H337">
        <v>79.946395874000004</v>
      </c>
      <c r="I337">
        <v>50</v>
      </c>
      <c r="J337">
        <v>14.999720572999999</v>
      </c>
      <c r="K337">
        <v>2400</v>
      </c>
      <c r="L337">
        <v>0</v>
      </c>
      <c r="M337">
        <v>0</v>
      </c>
      <c r="N337">
        <v>2400</v>
      </c>
    </row>
    <row r="338" spans="1:14" x14ac:dyDescent="0.25">
      <c r="A338">
        <v>30.449622999999999</v>
      </c>
      <c r="B338" s="1">
        <f>DATE(2010,5,31) + TIME(10,47,27)</f>
        <v>40329.449618055558</v>
      </c>
      <c r="C338">
        <v>1340.6295166</v>
      </c>
      <c r="D338">
        <v>1338.1033935999999</v>
      </c>
      <c r="E338">
        <v>1321.5617675999999</v>
      </c>
      <c r="F338">
        <v>1317.5970459</v>
      </c>
      <c r="G338">
        <v>80</v>
      </c>
      <c r="H338">
        <v>79.946380614999995</v>
      </c>
      <c r="I338">
        <v>50</v>
      </c>
      <c r="J338">
        <v>14.999720572999999</v>
      </c>
      <c r="K338">
        <v>2400</v>
      </c>
      <c r="L338">
        <v>0</v>
      </c>
      <c r="M338">
        <v>0</v>
      </c>
      <c r="N338">
        <v>2400</v>
      </c>
    </row>
    <row r="339" spans="1:14" x14ac:dyDescent="0.25">
      <c r="A339">
        <v>30.597460000000002</v>
      </c>
      <c r="B339" s="1">
        <f>DATE(2010,5,31) + TIME(14,20,20)</f>
        <v>40329.597453703704</v>
      </c>
      <c r="C339">
        <v>1340.6254882999999</v>
      </c>
      <c r="D339">
        <v>1338.1005858999999</v>
      </c>
      <c r="E339">
        <v>1321.5621338000001</v>
      </c>
      <c r="F339">
        <v>1317.5972899999999</v>
      </c>
      <c r="G339">
        <v>80</v>
      </c>
      <c r="H339">
        <v>79.946372986</v>
      </c>
      <c r="I339">
        <v>50</v>
      </c>
      <c r="J339">
        <v>14.999721527</v>
      </c>
      <c r="K339">
        <v>2400</v>
      </c>
      <c r="L339">
        <v>0</v>
      </c>
      <c r="M339">
        <v>0</v>
      </c>
      <c r="N339">
        <v>2400</v>
      </c>
    </row>
    <row r="340" spans="1:14" x14ac:dyDescent="0.25">
      <c r="A340">
        <v>30.745297000000001</v>
      </c>
      <c r="B340" s="1">
        <f>DATE(2010,5,31) + TIME(17,53,13)</f>
        <v>40329.745289351849</v>
      </c>
      <c r="C340">
        <v>1340.621582</v>
      </c>
      <c r="D340">
        <v>1338.0977783000001</v>
      </c>
      <c r="E340">
        <v>1321.5623779</v>
      </c>
      <c r="F340">
        <v>1317.5975341999999</v>
      </c>
      <c r="G340">
        <v>80</v>
      </c>
      <c r="H340">
        <v>79.946357727000006</v>
      </c>
      <c r="I340">
        <v>50</v>
      </c>
      <c r="J340">
        <v>14.999722480999999</v>
      </c>
      <c r="K340">
        <v>2400</v>
      </c>
      <c r="L340">
        <v>0</v>
      </c>
      <c r="M340">
        <v>0</v>
      </c>
      <c r="N340">
        <v>2400</v>
      </c>
    </row>
    <row r="341" spans="1:14" x14ac:dyDescent="0.25">
      <c r="A341">
        <v>31</v>
      </c>
      <c r="B341" s="1">
        <f>DATE(2010,6,1) + TIME(0,0,0)</f>
        <v>40330</v>
      </c>
      <c r="C341">
        <v>1340.6176757999999</v>
      </c>
      <c r="D341">
        <v>1338.0950928</v>
      </c>
      <c r="E341">
        <v>1321.5627440999999</v>
      </c>
      <c r="F341">
        <v>1317.5977783000001</v>
      </c>
      <c r="G341">
        <v>80</v>
      </c>
      <c r="H341">
        <v>79.946342467999997</v>
      </c>
      <c r="I341">
        <v>50</v>
      </c>
      <c r="J341">
        <v>14.999723434</v>
      </c>
      <c r="K341">
        <v>2400</v>
      </c>
      <c r="L341">
        <v>0</v>
      </c>
      <c r="M341">
        <v>0</v>
      </c>
      <c r="N341">
        <v>2400</v>
      </c>
    </row>
    <row r="342" spans="1:14" x14ac:dyDescent="0.25">
      <c r="A342">
        <v>31.147769</v>
      </c>
      <c r="B342" s="1">
        <f>DATE(2010,6,1) + TIME(3,32,47)</f>
        <v>40330.147766203707</v>
      </c>
      <c r="C342">
        <v>1340.6108397999999</v>
      </c>
      <c r="D342">
        <v>1338.0902100000001</v>
      </c>
      <c r="E342">
        <v>1321.5632324000001</v>
      </c>
      <c r="F342">
        <v>1317.5981445</v>
      </c>
      <c r="G342">
        <v>80</v>
      </c>
      <c r="H342">
        <v>79.946334839000002</v>
      </c>
      <c r="I342">
        <v>50</v>
      </c>
      <c r="J342">
        <v>14.999723434</v>
      </c>
      <c r="K342">
        <v>2400</v>
      </c>
      <c r="L342">
        <v>0</v>
      </c>
      <c r="M342">
        <v>0</v>
      </c>
      <c r="N342">
        <v>2400</v>
      </c>
    </row>
    <row r="343" spans="1:14" x14ac:dyDescent="0.25">
      <c r="A343">
        <v>31.295200000000001</v>
      </c>
      <c r="B343" s="1">
        <f>DATE(2010,6,1) + TIME(7,5,5)</f>
        <v>40330.29519675926</v>
      </c>
      <c r="C343">
        <v>1340.6069336</v>
      </c>
      <c r="D343">
        <v>1338.0875243999999</v>
      </c>
      <c r="E343">
        <v>1321.5635986</v>
      </c>
      <c r="F343">
        <v>1317.5983887</v>
      </c>
      <c r="G343">
        <v>80</v>
      </c>
      <c r="H343">
        <v>79.946319579999994</v>
      </c>
      <c r="I343">
        <v>50</v>
      </c>
      <c r="J343">
        <v>14.999724388000001</v>
      </c>
      <c r="K343">
        <v>2400</v>
      </c>
      <c r="L343">
        <v>0</v>
      </c>
      <c r="M343">
        <v>0</v>
      </c>
      <c r="N343">
        <v>2400</v>
      </c>
    </row>
    <row r="344" spans="1:14" x14ac:dyDescent="0.25">
      <c r="A344">
        <v>31.442630000000001</v>
      </c>
      <c r="B344" s="1">
        <f>DATE(2010,6,1) + TIME(10,37,23)</f>
        <v>40330.442627314813</v>
      </c>
      <c r="C344">
        <v>1340.6030272999999</v>
      </c>
      <c r="D344">
        <v>1338.0847168</v>
      </c>
      <c r="E344">
        <v>1321.5638428</v>
      </c>
      <c r="F344">
        <v>1317.5985106999999</v>
      </c>
      <c r="G344">
        <v>80</v>
      </c>
      <c r="H344">
        <v>79.946304321</v>
      </c>
      <c r="I344">
        <v>50</v>
      </c>
      <c r="J344">
        <v>14.999725342</v>
      </c>
      <c r="K344">
        <v>2400</v>
      </c>
      <c r="L344">
        <v>0</v>
      </c>
      <c r="M344">
        <v>0</v>
      </c>
      <c r="N344">
        <v>2400</v>
      </c>
    </row>
    <row r="345" spans="1:14" x14ac:dyDescent="0.25">
      <c r="A345">
        <v>31.590060999999999</v>
      </c>
      <c r="B345" s="1">
        <f>DATE(2010,6,1) + TIME(14,9,41)</f>
        <v>40330.590057870373</v>
      </c>
      <c r="C345">
        <v>1340.5991211</v>
      </c>
      <c r="D345">
        <v>1338.0820312000001</v>
      </c>
      <c r="E345">
        <v>1321.5642089999999</v>
      </c>
      <c r="F345">
        <v>1317.5987548999999</v>
      </c>
      <c r="G345">
        <v>80</v>
      </c>
      <c r="H345">
        <v>79.946296692000004</v>
      </c>
      <c r="I345">
        <v>50</v>
      </c>
      <c r="J345">
        <v>14.999725342</v>
      </c>
      <c r="K345">
        <v>2400</v>
      </c>
      <c r="L345">
        <v>0</v>
      </c>
      <c r="M345">
        <v>0</v>
      </c>
      <c r="N345">
        <v>2400</v>
      </c>
    </row>
    <row r="346" spans="1:14" x14ac:dyDescent="0.25">
      <c r="A346">
        <v>31.737492</v>
      </c>
      <c r="B346" s="1">
        <f>DATE(2010,6,1) + TIME(17,41,59)</f>
        <v>40330.737488425926</v>
      </c>
      <c r="C346">
        <v>1340.5953368999999</v>
      </c>
      <c r="D346">
        <v>1338.0793457</v>
      </c>
      <c r="E346">
        <v>1321.5644531</v>
      </c>
      <c r="F346">
        <v>1317.598999</v>
      </c>
      <c r="G346">
        <v>80</v>
      </c>
      <c r="H346">
        <v>79.946281432999996</v>
      </c>
      <c r="I346">
        <v>50</v>
      </c>
      <c r="J346">
        <v>14.999726295</v>
      </c>
      <c r="K346">
        <v>2400</v>
      </c>
      <c r="L346">
        <v>0</v>
      </c>
      <c r="M346">
        <v>0</v>
      </c>
      <c r="N346">
        <v>2400</v>
      </c>
    </row>
    <row r="347" spans="1:14" x14ac:dyDescent="0.25">
      <c r="A347">
        <v>31.884923000000001</v>
      </c>
      <c r="B347" s="1">
        <f>DATE(2010,6,1) + TIME(21,14,17)</f>
        <v>40330.884918981479</v>
      </c>
      <c r="C347">
        <v>1340.5915527</v>
      </c>
      <c r="D347">
        <v>1338.0766602000001</v>
      </c>
      <c r="E347">
        <v>1321.5648193</v>
      </c>
      <c r="F347">
        <v>1317.5992432</v>
      </c>
      <c r="G347">
        <v>80</v>
      </c>
      <c r="H347">
        <v>79.946273804</v>
      </c>
      <c r="I347">
        <v>50</v>
      </c>
      <c r="J347">
        <v>14.999727248999999</v>
      </c>
      <c r="K347">
        <v>2400</v>
      </c>
      <c r="L347">
        <v>0</v>
      </c>
      <c r="M347">
        <v>0</v>
      </c>
      <c r="N347">
        <v>2400</v>
      </c>
    </row>
    <row r="348" spans="1:14" x14ac:dyDescent="0.25">
      <c r="A348">
        <v>32.032353999999998</v>
      </c>
      <c r="B348" s="1">
        <f>DATE(2010,6,2) + TIME(0,46,35)</f>
        <v>40331.032349537039</v>
      </c>
      <c r="C348">
        <v>1340.5876464999999</v>
      </c>
      <c r="D348">
        <v>1338.0739745999999</v>
      </c>
      <c r="E348">
        <v>1321.5650635</v>
      </c>
      <c r="F348">
        <v>1317.5994873</v>
      </c>
      <c r="G348">
        <v>80</v>
      </c>
      <c r="H348">
        <v>79.946258545000006</v>
      </c>
      <c r="I348">
        <v>50</v>
      </c>
      <c r="J348">
        <v>14.999727248999999</v>
      </c>
      <c r="K348">
        <v>2400</v>
      </c>
      <c r="L348">
        <v>0</v>
      </c>
      <c r="M348">
        <v>0</v>
      </c>
      <c r="N348">
        <v>2400</v>
      </c>
    </row>
    <row r="349" spans="1:14" x14ac:dyDescent="0.25">
      <c r="A349">
        <v>32.179783999999998</v>
      </c>
      <c r="B349" s="1">
        <f>DATE(2010,6,2) + TIME(4,18,53)</f>
        <v>40331.179780092592</v>
      </c>
      <c r="C349">
        <v>1340.5838623</v>
      </c>
      <c r="D349">
        <v>1338.0712891000001</v>
      </c>
      <c r="E349">
        <v>1321.5654297000001</v>
      </c>
      <c r="F349">
        <v>1317.5996094</v>
      </c>
      <c r="G349">
        <v>80</v>
      </c>
      <c r="H349">
        <v>79.946250915999997</v>
      </c>
      <c r="I349">
        <v>50</v>
      </c>
      <c r="J349">
        <v>14.999728203</v>
      </c>
      <c r="K349">
        <v>2400</v>
      </c>
      <c r="L349">
        <v>0</v>
      </c>
      <c r="M349">
        <v>0</v>
      </c>
      <c r="N349">
        <v>2400</v>
      </c>
    </row>
    <row r="350" spans="1:14" x14ac:dyDescent="0.25">
      <c r="A350">
        <v>32.327215000000002</v>
      </c>
      <c r="B350" s="1">
        <f>DATE(2010,6,2) + TIME(7,51,11)</f>
        <v>40331.327210648145</v>
      </c>
      <c r="C350">
        <v>1340.5800781</v>
      </c>
      <c r="D350">
        <v>1338.0686035000001</v>
      </c>
      <c r="E350">
        <v>1321.5656738</v>
      </c>
      <c r="F350">
        <v>1317.5998535000001</v>
      </c>
      <c r="G350">
        <v>80</v>
      </c>
      <c r="H350">
        <v>79.946243285999998</v>
      </c>
      <c r="I350">
        <v>50</v>
      </c>
      <c r="J350">
        <v>14.999729156000001</v>
      </c>
      <c r="K350">
        <v>2400</v>
      </c>
      <c r="L350">
        <v>0</v>
      </c>
      <c r="M350">
        <v>0</v>
      </c>
      <c r="N350">
        <v>2400</v>
      </c>
    </row>
    <row r="351" spans="1:14" x14ac:dyDescent="0.25">
      <c r="A351">
        <v>32.622076999999997</v>
      </c>
      <c r="B351" s="1">
        <f>DATE(2010,6,2) + TIME(14,55,47)</f>
        <v>40331.622071759259</v>
      </c>
      <c r="C351">
        <v>1340.5764160000001</v>
      </c>
      <c r="D351">
        <v>1338.0660399999999</v>
      </c>
      <c r="E351">
        <v>1321.5660399999999</v>
      </c>
      <c r="F351">
        <v>1317.6000977000001</v>
      </c>
      <c r="G351">
        <v>80</v>
      </c>
      <c r="H351">
        <v>79.946228027000004</v>
      </c>
      <c r="I351">
        <v>50</v>
      </c>
      <c r="J351">
        <v>14.99973011</v>
      </c>
      <c r="K351">
        <v>2400</v>
      </c>
      <c r="L351">
        <v>0</v>
      </c>
      <c r="M351">
        <v>0</v>
      </c>
      <c r="N351">
        <v>2400</v>
      </c>
    </row>
    <row r="352" spans="1:14" x14ac:dyDescent="0.25">
      <c r="A352">
        <v>32.917960999999998</v>
      </c>
      <c r="B352" s="1">
        <f>DATE(2010,6,2) + TIME(22,1,51)</f>
        <v>40331.917951388888</v>
      </c>
      <c r="C352">
        <v>1340.5689697</v>
      </c>
      <c r="D352">
        <v>1338.0607910000001</v>
      </c>
      <c r="E352">
        <v>1321.5666504000001</v>
      </c>
      <c r="F352">
        <v>1317.6005858999999</v>
      </c>
      <c r="G352">
        <v>80</v>
      </c>
      <c r="H352">
        <v>79.946220397999994</v>
      </c>
      <c r="I352">
        <v>50</v>
      </c>
      <c r="J352">
        <v>14.999731064000001</v>
      </c>
      <c r="K352">
        <v>2400</v>
      </c>
      <c r="L352">
        <v>0</v>
      </c>
      <c r="M352">
        <v>0</v>
      </c>
      <c r="N352">
        <v>2400</v>
      </c>
    </row>
    <row r="353" spans="1:14" x14ac:dyDescent="0.25">
      <c r="A353">
        <v>33.217697000000001</v>
      </c>
      <c r="B353" s="1">
        <f>DATE(2010,6,3) + TIME(5,13,28)</f>
        <v>40332.217685185184</v>
      </c>
      <c r="C353">
        <v>1340.5615233999999</v>
      </c>
      <c r="D353">
        <v>1338.0555420000001</v>
      </c>
      <c r="E353">
        <v>1321.5672606999999</v>
      </c>
      <c r="F353">
        <v>1317.6010742000001</v>
      </c>
      <c r="G353">
        <v>80</v>
      </c>
      <c r="H353">
        <v>79.946197510000005</v>
      </c>
      <c r="I353">
        <v>50</v>
      </c>
      <c r="J353">
        <v>14.999732018</v>
      </c>
      <c r="K353">
        <v>2400</v>
      </c>
      <c r="L353">
        <v>0</v>
      </c>
      <c r="M353">
        <v>0</v>
      </c>
      <c r="N353">
        <v>2400</v>
      </c>
    </row>
    <row r="354" spans="1:14" x14ac:dyDescent="0.25">
      <c r="A354">
        <v>33.521926999999998</v>
      </c>
      <c r="B354" s="1">
        <f>DATE(2010,6,3) + TIME(12,31,34)</f>
        <v>40332.521921296298</v>
      </c>
      <c r="C354">
        <v>1340.5540771000001</v>
      </c>
      <c r="D354">
        <v>1338.0501709</v>
      </c>
      <c r="E354">
        <v>1321.5678711</v>
      </c>
      <c r="F354">
        <v>1317.6015625</v>
      </c>
      <c r="G354">
        <v>80</v>
      </c>
      <c r="H354">
        <v>79.946182250999996</v>
      </c>
      <c r="I354">
        <v>50</v>
      </c>
      <c r="J354">
        <v>14.999732971</v>
      </c>
      <c r="K354">
        <v>2400</v>
      </c>
      <c r="L354">
        <v>0</v>
      </c>
      <c r="M354">
        <v>0</v>
      </c>
      <c r="N354">
        <v>2400</v>
      </c>
    </row>
    <row r="355" spans="1:14" x14ac:dyDescent="0.25">
      <c r="A355">
        <v>33.831366000000003</v>
      </c>
      <c r="B355" s="1">
        <f>DATE(2010,6,3) + TIME(19,57,10)</f>
        <v>40332.831365740742</v>
      </c>
      <c r="C355">
        <v>1340.5465088000001</v>
      </c>
      <c r="D355">
        <v>1338.0449219</v>
      </c>
      <c r="E355">
        <v>1321.5686035000001</v>
      </c>
      <c r="F355">
        <v>1317.6019286999999</v>
      </c>
      <c r="G355">
        <v>80</v>
      </c>
      <c r="H355">
        <v>79.946166992000002</v>
      </c>
      <c r="I355">
        <v>50</v>
      </c>
      <c r="J355">
        <v>14.999733924999999</v>
      </c>
      <c r="K355">
        <v>2400</v>
      </c>
      <c r="L355">
        <v>0</v>
      </c>
      <c r="M355">
        <v>0</v>
      </c>
      <c r="N355">
        <v>2400</v>
      </c>
    </row>
    <row r="356" spans="1:14" x14ac:dyDescent="0.25">
      <c r="A356">
        <v>34.146856999999997</v>
      </c>
      <c r="B356" s="1">
        <f>DATE(2010,6,4) + TIME(3,31,28)</f>
        <v>40333.146851851852</v>
      </c>
      <c r="C356">
        <v>1340.5388184000001</v>
      </c>
      <c r="D356">
        <v>1338.0394286999999</v>
      </c>
      <c r="E356">
        <v>1321.5692139</v>
      </c>
      <c r="F356">
        <v>1317.6024170000001</v>
      </c>
      <c r="G356">
        <v>80</v>
      </c>
      <c r="H356">
        <v>79.946144103999998</v>
      </c>
      <c r="I356">
        <v>50</v>
      </c>
      <c r="J356">
        <v>14.999734879</v>
      </c>
      <c r="K356">
        <v>2400</v>
      </c>
      <c r="L356">
        <v>0</v>
      </c>
      <c r="M356">
        <v>0</v>
      </c>
      <c r="N356">
        <v>2400</v>
      </c>
    </row>
    <row r="357" spans="1:14" x14ac:dyDescent="0.25">
      <c r="A357">
        <v>34.307333</v>
      </c>
      <c r="B357" s="1">
        <f>DATE(2010,6,4) + TIME(7,22,33)</f>
        <v>40333.307326388887</v>
      </c>
      <c r="C357">
        <v>1340.5308838000001</v>
      </c>
      <c r="D357">
        <v>1338.0338135</v>
      </c>
      <c r="E357">
        <v>1321.5698242000001</v>
      </c>
      <c r="F357">
        <v>1317.6029053</v>
      </c>
      <c r="G357">
        <v>80</v>
      </c>
      <c r="H357">
        <v>79.946128845000004</v>
      </c>
      <c r="I357">
        <v>50</v>
      </c>
      <c r="J357">
        <v>14.999735832000001</v>
      </c>
      <c r="K357">
        <v>2400</v>
      </c>
      <c r="L357">
        <v>0</v>
      </c>
      <c r="M357">
        <v>0</v>
      </c>
      <c r="N357">
        <v>2400</v>
      </c>
    </row>
    <row r="358" spans="1:14" x14ac:dyDescent="0.25">
      <c r="A358">
        <v>34.467809000000003</v>
      </c>
      <c r="B358" s="1">
        <f>DATE(2010,6,4) + TIME(11,13,38)</f>
        <v>40333.467800925922</v>
      </c>
      <c r="C358">
        <v>1340.5269774999999</v>
      </c>
      <c r="D358">
        <v>1338.0310059000001</v>
      </c>
      <c r="E358">
        <v>1321.5701904</v>
      </c>
      <c r="F358">
        <v>1317.6031493999999</v>
      </c>
      <c r="G358">
        <v>80</v>
      </c>
      <c r="H358">
        <v>79.946113585999996</v>
      </c>
      <c r="I358">
        <v>50</v>
      </c>
      <c r="J358">
        <v>14.999736786</v>
      </c>
      <c r="K358">
        <v>2400</v>
      </c>
      <c r="L358">
        <v>0</v>
      </c>
      <c r="M358">
        <v>0</v>
      </c>
      <c r="N358">
        <v>2400</v>
      </c>
    </row>
    <row r="359" spans="1:14" x14ac:dyDescent="0.25">
      <c r="A359">
        <v>34.628286000000003</v>
      </c>
      <c r="B359" s="1">
        <f>DATE(2010,6,4) + TIME(15,4,43)</f>
        <v>40333.628275462965</v>
      </c>
      <c r="C359">
        <v>1340.5230713000001</v>
      </c>
      <c r="D359">
        <v>1338.0283202999999</v>
      </c>
      <c r="E359">
        <v>1321.5705565999999</v>
      </c>
      <c r="F359">
        <v>1317.6033935999999</v>
      </c>
      <c r="G359">
        <v>80</v>
      </c>
      <c r="H359">
        <v>79.946098328000005</v>
      </c>
      <c r="I359">
        <v>50</v>
      </c>
      <c r="J359">
        <v>14.999736786</v>
      </c>
      <c r="K359">
        <v>2400</v>
      </c>
      <c r="L359">
        <v>0</v>
      </c>
      <c r="M359">
        <v>0</v>
      </c>
      <c r="N359">
        <v>2400</v>
      </c>
    </row>
    <row r="360" spans="1:14" x14ac:dyDescent="0.25">
      <c r="A360">
        <v>34.788435999999997</v>
      </c>
      <c r="B360" s="1">
        <f>DATE(2010,6,4) + TIME(18,55,20)</f>
        <v>40333.788425925923</v>
      </c>
      <c r="C360">
        <v>1340.5191649999999</v>
      </c>
      <c r="D360">
        <v>1338.0255127</v>
      </c>
      <c r="E360">
        <v>1321.5709228999999</v>
      </c>
      <c r="F360">
        <v>1317.6036377</v>
      </c>
      <c r="G360">
        <v>80</v>
      </c>
      <c r="H360">
        <v>79.946090698000006</v>
      </c>
      <c r="I360">
        <v>50</v>
      </c>
      <c r="J360">
        <v>14.99973774</v>
      </c>
      <c r="K360">
        <v>2400</v>
      </c>
      <c r="L360">
        <v>0</v>
      </c>
      <c r="M360">
        <v>0</v>
      </c>
      <c r="N360">
        <v>2400</v>
      </c>
    </row>
    <row r="361" spans="1:14" x14ac:dyDescent="0.25">
      <c r="A361">
        <v>34.948143999999999</v>
      </c>
      <c r="B361" s="1">
        <f>DATE(2010,6,4) + TIME(22,45,19)</f>
        <v>40333.948136574072</v>
      </c>
      <c r="C361">
        <v>1340.5152588000001</v>
      </c>
      <c r="D361">
        <v>1338.0228271000001</v>
      </c>
      <c r="E361">
        <v>1321.5712891000001</v>
      </c>
      <c r="F361">
        <v>1317.6038818</v>
      </c>
      <c r="G361">
        <v>80</v>
      </c>
      <c r="H361">
        <v>79.946075438999998</v>
      </c>
      <c r="I361">
        <v>50</v>
      </c>
      <c r="J361">
        <v>14.999738692999999</v>
      </c>
      <c r="K361">
        <v>2400</v>
      </c>
      <c r="L361">
        <v>0</v>
      </c>
      <c r="M361">
        <v>0</v>
      </c>
      <c r="N361">
        <v>2400</v>
      </c>
    </row>
    <row r="362" spans="1:14" x14ac:dyDescent="0.25">
      <c r="A362">
        <v>35.107506999999998</v>
      </c>
      <c r="B362" s="1">
        <f>DATE(2010,6,5) + TIME(2,34,48)</f>
        <v>40334.107499999998</v>
      </c>
      <c r="C362">
        <v>1340.5114745999999</v>
      </c>
      <c r="D362">
        <v>1338.0200195</v>
      </c>
      <c r="E362">
        <v>1321.5715332</v>
      </c>
      <c r="F362">
        <v>1317.604126</v>
      </c>
      <c r="G362">
        <v>80</v>
      </c>
      <c r="H362">
        <v>79.946067810000002</v>
      </c>
      <c r="I362">
        <v>50</v>
      </c>
      <c r="J362">
        <v>14.999738692999999</v>
      </c>
      <c r="K362">
        <v>2400</v>
      </c>
      <c r="L362">
        <v>0</v>
      </c>
      <c r="M362">
        <v>0</v>
      </c>
      <c r="N362">
        <v>2400</v>
      </c>
    </row>
    <row r="363" spans="1:14" x14ac:dyDescent="0.25">
      <c r="A363">
        <v>35.266620000000003</v>
      </c>
      <c r="B363" s="1">
        <f>DATE(2010,6,5) + TIME(6,23,55)</f>
        <v>40334.266608796293</v>
      </c>
      <c r="C363">
        <v>1340.5076904</v>
      </c>
      <c r="D363">
        <v>1338.0173339999999</v>
      </c>
      <c r="E363">
        <v>1321.5718993999999</v>
      </c>
      <c r="F363">
        <v>1317.6043701000001</v>
      </c>
      <c r="G363">
        <v>80</v>
      </c>
      <c r="H363">
        <v>79.946060181000007</v>
      </c>
      <c r="I363">
        <v>50</v>
      </c>
      <c r="J363">
        <v>14.999739647</v>
      </c>
      <c r="K363">
        <v>2400</v>
      </c>
      <c r="L363">
        <v>0</v>
      </c>
      <c r="M363">
        <v>0</v>
      </c>
      <c r="N363">
        <v>2400</v>
      </c>
    </row>
    <row r="364" spans="1:14" x14ac:dyDescent="0.25">
      <c r="A364">
        <v>35.425573</v>
      </c>
      <c r="B364" s="1">
        <f>DATE(2010,6,5) + TIME(10,12,49)</f>
        <v>40334.425567129627</v>
      </c>
      <c r="C364">
        <v>1340.5037841999999</v>
      </c>
      <c r="D364">
        <v>1338.0146483999999</v>
      </c>
      <c r="E364">
        <v>1321.5722656</v>
      </c>
      <c r="F364">
        <v>1317.6046143000001</v>
      </c>
      <c r="G364">
        <v>80</v>
      </c>
      <c r="H364">
        <v>79.946044921999999</v>
      </c>
      <c r="I364">
        <v>50</v>
      </c>
      <c r="J364">
        <v>14.999740600999999</v>
      </c>
      <c r="K364">
        <v>2400</v>
      </c>
      <c r="L364">
        <v>0</v>
      </c>
      <c r="M364">
        <v>0</v>
      </c>
      <c r="N364">
        <v>2400</v>
      </c>
    </row>
    <row r="365" spans="1:14" x14ac:dyDescent="0.25">
      <c r="A365">
        <v>35.584428000000003</v>
      </c>
      <c r="B365" s="1">
        <f>DATE(2010,6,5) + TIME(14,1,34)</f>
        <v>40334.584421296298</v>
      </c>
      <c r="C365">
        <v>1340.5</v>
      </c>
      <c r="D365">
        <v>1338.0119629000001</v>
      </c>
      <c r="E365">
        <v>1321.5726318</v>
      </c>
      <c r="F365">
        <v>1317.6048584</v>
      </c>
      <c r="G365">
        <v>80</v>
      </c>
      <c r="H365">
        <v>79.946037292</v>
      </c>
      <c r="I365">
        <v>50</v>
      </c>
      <c r="J365">
        <v>14.999740600999999</v>
      </c>
      <c r="K365">
        <v>2400</v>
      </c>
      <c r="L365">
        <v>0</v>
      </c>
      <c r="M365">
        <v>0</v>
      </c>
      <c r="N365">
        <v>2400</v>
      </c>
    </row>
    <row r="366" spans="1:14" x14ac:dyDescent="0.25">
      <c r="A366">
        <v>35.743282999999998</v>
      </c>
      <c r="B366" s="1">
        <f>DATE(2010,6,5) + TIME(17,50,19)</f>
        <v>40334.743275462963</v>
      </c>
      <c r="C366">
        <v>1340.4963379000001</v>
      </c>
      <c r="D366">
        <v>1338.0092772999999</v>
      </c>
      <c r="E366">
        <v>1321.5729980000001</v>
      </c>
      <c r="F366">
        <v>1317.6051024999999</v>
      </c>
      <c r="G366">
        <v>80</v>
      </c>
      <c r="H366">
        <v>79.946029663000004</v>
      </c>
      <c r="I366">
        <v>50</v>
      </c>
      <c r="J366">
        <v>14.999741554</v>
      </c>
      <c r="K366">
        <v>2400</v>
      </c>
      <c r="L366">
        <v>0</v>
      </c>
      <c r="M366">
        <v>0</v>
      </c>
      <c r="N366">
        <v>2400</v>
      </c>
    </row>
    <row r="367" spans="1:14" x14ac:dyDescent="0.25">
      <c r="A367">
        <v>35.902138999999998</v>
      </c>
      <c r="B367" s="1">
        <f>DATE(2010,6,5) + TIME(21,39,4)</f>
        <v>40334.902129629627</v>
      </c>
      <c r="C367">
        <v>1340.4925536999999</v>
      </c>
      <c r="D367">
        <v>1338.0067139</v>
      </c>
      <c r="E367">
        <v>1321.5733643000001</v>
      </c>
      <c r="F367">
        <v>1317.6054687999999</v>
      </c>
      <c r="G367">
        <v>80</v>
      </c>
      <c r="H367">
        <v>79.946022033999995</v>
      </c>
      <c r="I367">
        <v>50</v>
      </c>
      <c r="J367">
        <v>14.999742508000001</v>
      </c>
      <c r="K367">
        <v>2400</v>
      </c>
      <c r="L367">
        <v>0</v>
      </c>
      <c r="M367">
        <v>0</v>
      </c>
      <c r="N367">
        <v>2400</v>
      </c>
    </row>
    <row r="368" spans="1:14" x14ac:dyDescent="0.25">
      <c r="A368">
        <v>36.060994000000001</v>
      </c>
      <c r="B368" s="1">
        <f>DATE(2010,6,6) + TIME(1,27,49)</f>
        <v>40335.060983796298</v>
      </c>
      <c r="C368">
        <v>1340.4888916</v>
      </c>
      <c r="D368">
        <v>1338.0040283000001</v>
      </c>
      <c r="E368">
        <v>1321.5737305</v>
      </c>
      <c r="F368">
        <v>1317.6057129000001</v>
      </c>
      <c r="G368">
        <v>80</v>
      </c>
      <c r="H368">
        <v>79.946006775000001</v>
      </c>
      <c r="I368">
        <v>50</v>
      </c>
      <c r="J368">
        <v>14.999742508000001</v>
      </c>
      <c r="K368">
        <v>2400</v>
      </c>
      <c r="L368">
        <v>0</v>
      </c>
      <c r="M368">
        <v>0</v>
      </c>
      <c r="N368">
        <v>2400</v>
      </c>
    </row>
    <row r="369" spans="1:14" x14ac:dyDescent="0.25">
      <c r="A369">
        <v>36.219849000000004</v>
      </c>
      <c r="B369" s="1">
        <f>DATE(2010,6,6) + TIME(5,16,34)</f>
        <v>40335.219837962963</v>
      </c>
      <c r="C369">
        <v>1340.4851074000001</v>
      </c>
      <c r="D369">
        <v>1338.0014647999999</v>
      </c>
      <c r="E369">
        <v>1321.5739745999999</v>
      </c>
      <c r="F369">
        <v>1317.605957</v>
      </c>
      <c r="G369">
        <v>80</v>
      </c>
      <c r="H369">
        <v>79.945999146000005</v>
      </c>
      <c r="I369">
        <v>50</v>
      </c>
      <c r="J369">
        <v>14.999743462</v>
      </c>
      <c r="K369">
        <v>2400</v>
      </c>
      <c r="L369">
        <v>0</v>
      </c>
      <c r="M369">
        <v>0</v>
      </c>
      <c r="N369">
        <v>2400</v>
      </c>
    </row>
    <row r="370" spans="1:14" x14ac:dyDescent="0.25">
      <c r="A370">
        <v>36.378703999999999</v>
      </c>
      <c r="B370" s="1">
        <f>DATE(2010,6,6) + TIME(9,5,20)</f>
        <v>40335.378703703704</v>
      </c>
      <c r="C370">
        <v>1340.4814452999999</v>
      </c>
      <c r="D370">
        <v>1337.9987793</v>
      </c>
      <c r="E370">
        <v>1321.5743408000001</v>
      </c>
      <c r="F370">
        <v>1317.6062012</v>
      </c>
      <c r="G370">
        <v>80</v>
      </c>
      <c r="H370">
        <v>79.945991516000007</v>
      </c>
      <c r="I370">
        <v>50</v>
      </c>
      <c r="J370">
        <v>14.999743462</v>
      </c>
      <c r="K370">
        <v>2400</v>
      </c>
      <c r="L370">
        <v>0</v>
      </c>
      <c r="M370">
        <v>0</v>
      </c>
      <c r="N370">
        <v>2400</v>
      </c>
    </row>
    <row r="371" spans="1:14" x14ac:dyDescent="0.25">
      <c r="A371">
        <v>36.537559999999999</v>
      </c>
      <c r="B371" s="1">
        <f>DATE(2010,6,6) + TIME(12,54,5)</f>
        <v>40335.537557870368</v>
      </c>
      <c r="C371">
        <v>1340.4777832</v>
      </c>
      <c r="D371">
        <v>1337.9962158000001</v>
      </c>
      <c r="E371">
        <v>1321.574707</v>
      </c>
      <c r="F371">
        <v>1317.6064452999999</v>
      </c>
      <c r="G371">
        <v>80</v>
      </c>
      <c r="H371">
        <v>79.945983886999997</v>
      </c>
      <c r="I371">
        <v>50</v>
      </c>
      <c r="J371">
        <v>14.999744415</v>
      </c>
      <c r="K371">
        <v>2400</v>
      </c>
      <c r="L371">
        <v>0</v>
      </c>
      <c r="M371">
        <v>0</v>
      </c>
      <c r="N371">
        <v>2400</v>
      </c>
    </row>
    <row r="372" spans="1:14" x14ac:dyDescent="0.25">
      <c r="A372">
        <v>36.696415000000002</v>
      </c>
      <c r="B372" s="1">
        <f>DATE(2010,6,6) + TIME(16,42,50)</f>
        <v>40335.696412037039</v>
      </c>
      <c r="C372">
        <v>1340.4741211</v>
      </c>
      <c r="D372">
        <v>1337.9936522999999</v>
      </c>
      <c r="E372">
        <v>1321.5750731999999</v>
      </c>
      <c r="F372">
        <v>1317.6066894999999</v>
      </c>
      <c r="G372">
        <v>80</v>
      </c>
      <c r="H372">
        <v>79.945976256999998</v>
      </c>
      <c r="I372">
        <v>50</v>
      </c>
      <c r="J372">
        <v>14.999745368999999</v>
      </c>
      <c r="K372">
        <v>2400</v>
      </c>
      <c r="L372">
        <v>0</v>
      </c>
      <c r="M372">
        <v>0</v>
      </c>
      <c r="N372">
        <v>2400</v>
      </c>
    </row>
    <row r="373" spans="1:14" x14ac:dyDescent="0.25">
      <c r="A373">
        <v>37.014125</v>
      </c>
      <c r="B373" s="1">
        <f>DATE(2010,6,7) + TIME(0,20,20)</f>
        <v>40336.014120370368</v>
      </c>
      <c r="C373">
        <v>1340.4705810999999</v>
      </c>
      <c r="D373">
        <v>1337.9910889</v>
      </c>
      <c r="E373">
        <v>1321.5754394999999</v>
      </c>
      <c r="F373">
        <v>1317.6069336</v>
      </c>
      <c r="G373">
        <v>80</v>
      </c>
      <c r="H373">
        <v>79.945968628000003</v>
      </c>
      <c r="I373">
        <v>50</v>
      </c>
      <c r="J373">
        <v>14.999746323</v>
      </c>
      <c r="K373">
        <v>2400</v>
      </c>
      <c r="L373">
        <v>0</v>
      </c>
      <c r="M373">
        <v>0</v>
      </c>
      <c r="N373">
        <v>2400</v>
      </c>
    </row>
    <row r="374" spans="1:14" x14ac:dyDescent="0.25">
      <c r="A374">
        <v>37.332600999999997</v>
      </c>
      <c r="B374" s="1">
        <f>DATE(2010,6,7) + TIME(7,58,56)</f>
        <v>40336.332592592589</v>
      </c>
      <c r="C374">
        <v>1340.4632568</v>
      </c>
      <c r="D374">
        <v>1337.9859618999999</v>
      </c>
      <c r="E374">
        <v>1321.5761719</v>
      </c>
      <c r="F374">
        <v>1317.6074219</v>
      </c>
      <c r="G374">
        <v>80</v>
      </c>
      <c r="H374">
        <v>79.945960998999993</v>
      </c>
      <c r="I374">
        <v>50</v>
      </c>
      <c r="J374">
        <v>14.999747276000001</v>
      </c>
      <c r="K374">
        <v>2400</v>
      </c>
      <c r="L374">
        <v>0</v>
      </c>
      <c r="M374">
        <v>0</v>
      </c>
      <c r="N374">
        <v>2400</v>
      </c>
    </row>
    <row r="375" spans="1:14" x14ac:dyDescent="0.25">
      <c r="A375">
        <v>37.654966999999999</v>
      </c>
      <c r="B375" s="1">
        <f>DATE(2010,6,7) + TIME(15,43,9)</f>
        <v>40336.654965277776</v>
      </c>
      <c r="C375">
        <v>1340.4560547000001</v>
      </c>
      <c r="D375">
        <v>1337.9808350000001</v>
      </c>
      <c r="E375">
        <v>1321.5769043</v>
      </c>
      <c r="F375">
        <v>1317.6080322</v>
      </c>
      <c r="G375">
        <v>80</v>
      </c>
      <c r="H375">
        <v>79.945945739999999</v>
      </c>
      <c r="I375">
        <v>50</v>
      </c>
      <c r="J375">
        <v>14.99974823</v>
      </c>
      <c r="K375">
        <v>2400</v>
      </c>
      <c r="L375">
        <v>0</v>
      </c>
      <c r="M375">
        <v>0</v>
      </c>
      <c r="N375">
        <v>2400</v>
      </c>
    </row>
    <row r="376" spans="1:14" x14ac:dyDescent="0.25">
      <c r="A376">
        <v>37.981924999999997</v>
      </c>
      <c r="B376" s="1">
        <f>DATE(2010,6,7) + TIME(23,33,58)</f>
        <v>40336.981921296298</v>
      </c>
      <c r="C376">
        <v>1340.4488524999999</v>
      </c>
      <c r="D376">
        <v>1337.9757079999999</v>
      </c>
      <c r="E376">
        <v>1321.5776367000001</v>
      </c>
      <c r="F376">
        <v>1317.6085204999999</v>
      </c>
      <c r="G376">
        <v>80</v>
      </c>
      <c r="H376">
        <v>79.945930481000005</v>
      </c>
      <c r="I376">
        <v>50</v>
      </c>
      <c r="J376">
        <v>14.999749184000001</v>
      </c>
      <c r="K376">
        <v>2400</v>
      </c>
      <c r="L376">
        <v>0</v>
      </c>
      <c r="M376">
        <v>0</v>
      </c>
      <c r="N376">
        <v>2400</v>
      </c>
    </row>
    <row r="377" spans="1:14" x14ac:dyDescent="0.25">
      <c r="A377">
        <v>38.314245999999997</v>
      </c>
      <c r="B377" s="1">
        <f>DATE(2010,6,8) + TIME(7,32,30)</f>
        <v>40337.314236111109</v>
      </c>
      <c r="C377">
        <v>1340.4415283000001</v>
      </c>
      <c r="D377">
        <v>1337.9705810999999</v>
      </c>
      <c r="E377">
        <v>1321.5783690999999</v>
      </c>
      <c r="F377">
        <v>1317.6090088000001</v>
      </c>
      <c r="G377">
        <v>80</v>
      </c>
      <c r="H377">
        <v>79.945915221999996</v>
      </c>
      <c r="I377">
        <v>50</v>
      </c>
      <c r="J377">
        <v>14.999750136999999</v>
      </c>
      <c r="K377">
        <v>2400</v>
      </c>
      <c r="L377">
        <v>0</v>
      </c>
      <c r="M377">
        <v>0</v>
      </c>
      <c r="N377">
        <v>2400</v>
      </c>
    </row>
    <row r="378" spans="1:14" x14ac:dyDescent="0.25">
      <c r="A378">
        <v>38.652749999999997</v>
      </c>
      <c r="B378" s="1">
        <f>DATE(2010,6,8) + TIME(15,39,57)</f>
        <v>40337.652743055558</v>
      </c>
      <c r="C378">
        <v>1340.4342041</v>
      </c>
      <c r="D378">
        <v>1337.965332</v>
      </c>
      <c r="E378">
        <v>1321.5791016000001</v>
      </c>
      <c r="F378">
        <v>1317.6096190999999</v>
      </c>
      <c r="G378">
        <v>80</v>
      </c>
      <c r="H378">
        <v>79.945907593000001</v>
      </c>
      <c r="I378">
        <v>50</v>
      </c>
      <c r="J378">
        <v>14.999751091</v>
      </c>
      <c r="K378">
        <v>2400</v>
      </c>
      <c r="L378">
        <v>0</v>
      </c>
      <c r="M378">
        <v>0</v>
      </c>
      <c r="N378">
        <v>2400</v>
      </c>
    </row>
    <row r="379" spans="1:14" x14ac:dyDescent="0.25">
      <c r="A379">
        <v>38.825181000000001</v>
      </c>
      <c r="B379" s="1">
        <f>DATE(2010,6,8) + TIME(19,48,15)</f>
        <v>40337.825173611112</v>
      </c>
      <c r="C379">
        <v>1340.4267577999999</v>
      </c>
      <c r="D379">
        <v>1337.9600829999999</v>
      </c>
      <c r="E379">
        <v>1321.5798339999999</v>
      </c>
      <c r="F379">
        <v>1317.6101074000001</v>
      </c>
      <c r="G379">
        <v>80</v>
      </c>
      <c r="H379">
        <v>79.945892334000007</v>
      </c>
      <c r="I379">
        <v>50</v>
      </c>
      <c r="J379">
        <v>14.999752044999999</v>
      </c>
      <c r="K379">
        <v>2400</v>
      </c>
      <c r="L379">
        <v>0</v>
      </c>
      <c r="M379">
        <v>0</v>
      </c>
      <c r="N379">
        <v>2400</v>
      </c>
    </row>
    <row r="380" spans="1:14" x14ac:dyDescent="0.25">
      <c r="A380">
        <v>38.997611999999997</v>
      </c>
      <c r="B380" s="1">
        <f>DATE(2010,6,8) + TIME(23,56,33)</f>
        <v>40337.997604166667</v>
      </c>
      <c r="C380">
        <v>1340.4229736</v>
      </c>
      <c r="D380">
        <v>1337.9573975000001</v>
      </c>
      <c r="E380">
        <v>1321.5802002</v>
      </c>
      <c r="F380">
        <v>1317.6103516000001</v>
      </c>
      <c r="G380">
        <v>80</v>
      </c>
      <c r="H380">
        <v>79.945877074999999</v>
      </c>
      <c r="I380">
        <v>50</v>
      </c>
      <c r="J380">
        <v>14.999752998</v>
      </c>
      <c r="K380">
        <v>2400</v>
      </c>
      <c r="L380">
        <v>0</v>
      </c>
      <c r="M380">
        <v>0</v>
      </c>
      <c r="N380">
        <v>2400</v>
      </c>
    </row>
    <row r="381" spans="1:14" x14ac:dyDescent="0.25">
      <c r="A381">
        <v>39.169991000000003</v>
      </c>
      <c r="B381" s="1">
        <f>DATE(2010,6,9) + TIME(4,4,47)</f>
        <v>40338.169988425929</v>
      </c>
      <c r="C381">
        <v>1340.4193115</v>
      </c>
      <c r="D381">
        <v>1337.9547118999999</v>
      </c>
      <c r="E381">
        <v>1321.5806885</v>
      </c>
      <c r="F381">
        <v>1317.6105957</v>
      </c>
      <c r="G381">
        <v>80</v>
      </c>
      <c r="H381">
        <v>79.945869446000003</v>
      </c>
      <c r="I381">
        <v>50</v>
      </c>
      <c r="J381">
        <v>14.999752998</v>
      </c>
      <c r="K381">
        <v>2400</v>
      </c>
      <c r="L381">
        <v>0</v>
      </c>
      <c r="M381">
        <v>0</v>
      </c>
      <c r="N381">
        <v>2400</v>
      </c>
    </row>
    <row r="382" spans="1:14" x14ac:dyDescent="0.25">
      <c r="A382">
        <v>39.341777999999998</v>
      </c>
      <c r="B382" s="1">
        <f>DATE(2010,6,9) + TIME(8,12,9)</f>
        <v>40338.341770833336</v>
      </c>
      <c r="C382">
        <v>1340.4155272999999</v>
      </c>
      <c r="D382">
        <v>1337.9520264</v>
      </c>
      <c r="E382">
        <v>1321.5810547000001</v>
      </c>
      <c r="F382">
        <v>1317.6109618999999</v>
      </c>
      <c r="G382">
        <v>80</v>
      </c>
      <c r="H382">
        <v>79.945854186999995</v>
      </c>
      <c r="I382">
        <v>50</v>
      </c>
      <c r="J382">
        <v>14.999753952000001</v>
      </c>
      <c r="K382">
        <v>2400</v>
      </c>
      <c r="L382">
        <v>0</v>
      </c>
      <c r="M382">
        <v>0</v>
      </c>
      <c r="N382">
        <v>2400</v>
      </c>
    </row>
    <row r="383" spans="1:14" x14ac:dyDescent="0.25">
      <c r="A383">
        <v>39.513083999999999</v>
      </c>
      <c r="B383" s="1">
        <f>DATE(2010,6,9) + TIME(12,18,50)</f>
        <v>40338.513078703705</v>
      </c>
      <c r="C383">
        <v>1340.4118652</v>
      </c>
      <c r="D383">
        <v>1337.9493408000001</v>
      </c>
      <c r="E383">
        <v>1321.5814209</v>
      </c>
      <c r="F383">
        <v>1317.6112060999999</v>
      </c>
      <c r="G383">
        <v>80</v>
      </c>
      <c r="H383">
        <v>79.945846558</v>
      </c>
      <c r="I383">
        <v>50</v>
      </c>
      <c r="J383">
        <v>14.999754906</v>
      </c>
      <c r="K383">
        <v>2400</v>
      </c>
      <c r="L383">
        <v>0</v>
      </c>
      <c r="M383">
        <v>0</v>
      </c>
      <c r="N383">
        <v>2400</v>
      </c>
    </row>
    <row r="384" spans="1:14" x14ac:dyDescent="0.25">
      <c r="A384">
        <v>39.684016999999997</v>
      </c>
      <c r="B384" s="1">
        <f>DATE(2010,6,9) + TIME(16,24,59)</f>
        <v>40338.684016203704</v>
      </c>
      <c r="C384">
        <v>1340.4082031</v>
      </c>
      <c r="D384">
        <v>1337.9467772999999</v>
      </c>
      <c r="E384">
        <v>1321.5817870999999</v>
      </c>
      <c r="F384">
        <v>1317.6114502</v>
      </c>
      <c r="G384">
        <v>80</v>
      </c>
      <c r="H384">
        <v>79.945838928000001</v>
      </c>
      <c r="I384">
        <v>50</v>
      </c>
      <c r="J384">
        <v>14.999754906</v>
      </c>
      <c r="K384">
        <v>2400</v>
      </c>
      <c r="L384">
        <v>0</v>
      </c>
      <c r="M384">
        <v>0</v>
      </c>
      <c r="N384">
        <v>2400</v>
      </c>
    </row>
    <row r="385" spans="1:14" x14ac:dyDescent="0.25">
      <c r="A385">
        <v>39.854685000000003</v>
      </c>
      <c r="B385" s="1">
        <f>DATE(2010,6,9) + TIME(20,30,44)</f>
        <v>40338.854675925926</v>
      </c>
      <c r="C385">
        <v>1340.4046631000001</v>
      </c>
      <c r="D385">
        <v>1337.9442139</v>
      </c>
      <c r="E385">
        <v>1321.5822754000001</v>
      </c>
      <c r="F385">
        <v>1317.6118164</v>
      </c>
      <c r="G385">
        <v>80</v>
      </c>
      <c r="H385">
        <v>79.945831299000005</v>
      </c>
      <c r="I385">
        <v>50</v>
      </c>
      <c r="J385">
        <v>14.999755859</v>
      </c>
      <c r="K385">
        <v>2400</v>
      </c>
      <c r="L385">
        <v>0</v>
      </c>
      <c r="M385">
        <v>0</v>
      </c>
      <c r="N385">
        <v>2400</v>
      </c>
    </row>
    <row r="386" spans="1:14" x14ac:dyDescent="0.25">
      <c r="A386">
        <v>40.025188999999997</v>
      </c>
      <c r="B386" s="1">
        <f>DATE(2010,6,10) + TIME(0,36,16)</f>
        <v>40339.025185185186</v>
      </c>
      <c r="C386">
        <v>1340.401001</v>
      </c>
      <c r="D386">
        <v>1337.9415283000001</v>
      </c>
      <c r="E386">
        <v>1321.5826416</v>
      </c>
      <c r="F386">
        <v>1317.6120605000001</v>
      </c>
      <c r="G386">
        <v>80</v>
      </c>
      <c r="H386">
        <v>79.945823669000006</v>
      </c>
      <c r="I386">
        <v>50</v>
      </c>
      <c r="J386">
        <v>14.999755859</v>
      </c>
      <c r="K386">
        <v>2400</v>
      </c>
      <c r="L386">
        <v>0</v>
      </c>
      <c r="M386">
        <v>0</v>
      </c>
      <c r="N386">
        <v>2400</v>
      </c>
    </row>
    <row r="387" spans="1:14" x14ac:dyDescent="0.25">
      <c r="A387">
        <v>40.195599000000001</v>
      </c>
      <c r="B387" s="1">
        <f>DATE(2010,6,10) + TIME(4,41,39)</f>
        <v>40339.195590277777</v>
      </c>
      <c r="C387">
        <v>1340.3974608999999</v>
      </c>
      <c r="D387">
        <v>1337.9389647999999</v>
      </c>
      <c r="E387">
        <v>1321.5830077999999</v>
      </c>
      <c r="F387">
        <v>1317.6123047000001</v>
      </c>
      <c r="G387">
        <v>80</v>
      </c>
      <c r="H387">
        <v>79.945816039999997</v>
      </c>
      <c r="I387">
        <v>50</v>
      </c>
      <c r="J387">
        <v>14.999756812999999</v>
      </c>
      <c r="K387">
        <v>2400</v>
      </c>
      <c r="L387">
        <v>0</v>
      </c>
      <c r="M387">
        <v>0</v>
      </c>
      <c r="N387">
        <v>2400</v>
      </c>
    </row>
    <row r="388" spans="1:14" x14ac:dyDescent="0.25">
      <c r="A388">
        <v>40.366008999999998</v>
      </c>
      <c r="B388" s="1">
        <f>DATE(2010,6,10) + TIME(8,47,3)</f>
        <v>40339.366006944445</v>
      </c>
      <c r="C388">
        <v>1340.3937988</v>
      </c>
      <c r="D388">
        <v>1337.9364014</v>
      </c>
      <c r="E388">
        <v>1321.583374</v>
      </c>
      <c r="F388">
        <v>1317.6126709</v>
      </c>
      <c r="G388">
        <v>80</v>
      </c>
      <c r="H388">
        <v>79.945816039999997</v>
      </c>
      <c r="I388">
        <v>50</v>
      </c>
      <c r="J388">
        <v>14.999757767</v>
      </c>
      <c r="K388">
        <v>2400</v>
      </c>
      <c r="L388">
        <v>0</v>
      </c>
      <c r="M388">
        <v>0</v>
      </c>
      <c r="N388">
        <v>2400</v>
      </c>
    </row>
    <row r="389" spans="1:14" x14ac:dyDescent="0.25">
      <c r="A389">
        <v>40.536419000000002</v>
      </c>
      <c r="B389" s="1">
        <f>DATE(2010,6,10) + TIME(12,52,26)</f>
        <v>40339.536412037036</v>
      </c>
      <c r="C389">
        <v>1340.3902588000001</v>
      </c>
      <c r="D389">
        <v>1337.9338379000001</v>
      </c>
      <c r="E389">
        <v>1321.5838623</v>
      </c>
      <c r="F389">
        <v>1317.6129149999999</v>
      </c>
      <c r="G389">
        <v>80</v>
      </c>
      <c r="H389">
        <v>79.945808411000002</v>
      </c>
      <c r="I389">
        <v>50</v>
      </c>
      <c r="J389">
        <v>14.999757767</v>
      </c>
      <c r="K389">
        <v>2400</v>
      </c>
      <c r="L389">
        <v>0</v>
      </c>
      <c r="M389">
        <v>0</v>
      </c>
      <c r="N389">
        <v>2400</v>
      </c>
    </row>
    <row r="390" spans="1:14" x14ac:dyDescent="0.25">
      <c r="A390">
        <v>40.706828000000002</v>
      </c>
      <c r="B390" s="1">
        <f>DATE(2010,6,10) + TIME(16,57,49)</f>
        <v>40339.706817129627</v>
      </c>
      <c r="C390">
        <v>1340.3867187999999</v>
      </c>
      <c r="D390">
        <v>1337.9312743999999</v>
      </c>
      <c r="E390">
        <v>1321.5842285000001</v>
      </c>
      <c r="F390">
        <v>1317.6131591999999</v>
      </c>
      <c r="G390">
        <v>80</v>
      </c>
      <c r="H390">
        <v>79.945800781000003</v>
      </c>
      <c r="I390">
        <v>50</v>
      </c>
      <c r="J390">
        <v>14.999758720000001</v>
      </c>
      <c r="K390">
        <v>2400</v>
      </c>
      <c r="L390">
        <v>0</v>
      </c>
      <c r="M390">
        <v>0</v>
      </c>
      <c r="N390">
        <v>2400</v>
      </c>
    </row>
    <row r="391" spans="1:14" x14ac:dyDescent="0.25">
      <c r="A391">
        <v>40.877237999999998</v>
      </c>
      <c r="B391" s="1">
        <f>DATE(2010,6,10) + TIME(21,3,13)</f>
        <v>40339.877233796295</v>
      </c>
      <c r="C391">
        <v>1340.3831786999999</v>
      </c>
      <c r="D391">
        <v>1337.9287108999999</v>
      </c>
      <c r="E391">
        <v>1321.5845947</v>
      </c>
      <c r="F391">
        <v>1317.6135254000001</v>
      </c>
      <c r="G391">
        <v>80</v>
      </c>
      <c r="H391">
        <v>79.945793151999993</v>
      </c>
      <c r="I391">
        <v>50</v>
      </c>
      <c r="J391">
        <v>14.999759674</v>
      </c>
      <c r="K391">
        <v>2400</v>
      </c>
      <c r="L391">
        <v>0</v>
      </c>
      <c r="M391">
        <v>0</v>
      </c>
      <c r="N391">
        <v>2400</v>
      </c>
    </row>
    <row r="392" spans="1:14" x14ac:dyDescent="0.25">
      <c r="A392">
        <v>41.047648000000002</v>
      </c>
      <c r="B392" s="1">
        <f>DATE(2010,6,11) + TIME(1,8,36)</f>
        <v>40340.047638888886</v>
      </c>
      <c r="C392">
        <v>1340.3796387</v>
      </c>
      <c r="D392">
        <v>1337.9261475000001</v>
      </c>
      <c r="E392">
        <v>1321.5849608999999</v>
      </c>
      <c r="F392">
        <v>1317.6137695</v>
      </c>
      <c r="G392">
        <v>80</v>
      </c>
      <c r="H392">
        <v>79.945785521999994</v>
      </c>
      <c r="I392">
        <v>50</v>
      </c>
      <c r="J392">
        <v>14.999759674</v>
      </c>
      <c r="K392">
        <v>2400</v>
      </c>
      <c r="L392">
        <v>0</v>
      </c>
      <c r="M392">
        <v>0</v>
      </c>
      <c r="N392">
        <v>2400</v>
      </c>
    </row>
    <row r="393" spans="1:14" x14ac:dyDescent="0.25">
      <c r="A393">
        <v>41.218057999999999</v>
      </c>
      <c r="B393" s="1">
        <f>DATE(2010,6,11) + TIME(5,14,0)</f>
        <v>40340.218055555553</v>
      </c>
      <c r="C393">
        <v>1340.3762207</v>
      </c>
      <c r="D393">
        <v>1337.9237060999999</v>
      </c>
      <c r="E393">
        <v>1321.5854492000001</v>
      </c>
      <c r="F393">
        <v>1317.6140137</v>
      </c>
      <c r="G393">
        <v>80</v>
      </c>
      <c r="H393">
        <v>79.945785521999994</v>
      </c>
      <c r="I393">
        <v>50</v>
      </c>
      <c r="J393">
        <v>14.999760628000001</v>
      </c>
      <c r="K393">
        <v>2400</v>
      </c>
      <c r="L393">
        <v>0</v>
      </c>
      <c r="M393">
        <v>0</v>
      </c>
      <c r="N393">
        <v>2400</v>
      </c>
    </row>
    <row r="394" spans="1:14" x14ac:dyDescent="0.25">
      <c r="A394">
        <v>41.388468000000003</v>
      </c>
      <c r="B394" s="1">
        <f>DATE(2010,6,11) + TIME(9,19,23)</f>
        <v>40340.388460648152</v>
      </c>
      <c r="C394">
        <v>1340.3726807</v>
      </c>
      <c r="D394">
        <v>1337.9211425999999</v>
      </c>
      <c r="E394">
        <v>1321.5858154</v>
      </c>
      <c r="F394">
        <v>1317.6143798999999</v>
      </c>
      <c r="G394">
        <v>80</v>
      </c>
      <c r="H394">
        <v>79.945777892999999</v>
      </c>
      <c r="I394">
        <v>50</v>
      </c>
      <c r="J394">
        <v>14.999760628000001</v>
      </c>
      <c r="K394">
        <v>2400</v>
      </c>
      <c r="L394">
        <v>0</v>
      </c>
      <c r="M394">
        <v>0</v>
      </c>
      <c r="N394">
        <v>2400</v>
      </c>
    </row>
    <row r="395" spans="1:14" x14ac:dyDescent="0.25">
      <c r="A395">
        <v>41.729286999999999</v>
      </c>
      <c r="B395" s="1">
        <f>DATE(2010,6,11) + TIME(17,30,10)</f>
        <v>40340.72928240741</v>
      </c>
      <c r="C395">
        <v>1340.3692627</v>
      </c>
      <c r="D395">
        <v>1337.9187012</v>
      </c>
      <c r="E395">
        <v>1321.5863036999999</v>
      </c>
      <c r="F395">
        <v>1317.614624</v>
      </c>
      <c r="G395">
        <v>80</v>
      </c>
      <c r="H395">
        <v>79.945777892999999</v>
      </c>
      <c r="I395">
        <v>50</v>
      </c>
      <c r="J395">
        <v>14.999761581</v>
      </c>
      <c r="K395">
        <v>2400</v>
      </c>
      <c r="L395">
        <v>0</v>
      </c>
      <c r="M395">
        <v>0</v>
      </c>
      <c r="N395">
        <v>2400</v>
      </c>
    </row>
    <row r="396" spans="1:14" x14ac:dyDescent="0.25">
      <c r="A396">
        <v>42.071475999999997</v>
      </c>
      <c r="B396" s="1">
        <f>DATE(2010,6,12) + TIME(1,42,55)</f>
        <v>40341.071469907409</v>
      </c>
      <c r="C396">
        <v>1340.3624268000001</v>
      </c>
      <c r="D396">
        <v>1337.9138184000001</v>
      </c>
      <c r="E396">
        <v>1321.5870361</v>
      </c>
      <c r="F396">
        <v>1317.6152344</v>
      </c>
      <c r="G396">
        <v>80</v>
      </c>
      <c r="H396">
        <v>79.945770264000004</v>
      </c>
      <c r="I396">
        <v>50</v>
      </c>
      <c r="J396">
        <v>14.999762535</v>
      </c>
      <c r="K396">
        <v>2400</v>
      </c>
      <c r="L396">
        <v>0</v>
      </c>
      <c r="M396">
        <v>0</v>
      </c>
      <c r="N396">
        <v>2400</v>
      </c>
    </row>
    <row r="397" spans="1:14" x14ac:dyDescent="0.25">
      <c r="A397">
        <v>42.417833999999999</v>
      </c>
      <c r="B397" s="1">
        <f>DATE(2010,6,12) + TIME(10,1,40)</f>
        <v>40341.417824074073</v>
      </c>
      <c r="C397">
        <v>1340.3554687999999</v>
      </c>
      <c r="D397">
        <v>1337.9088135</v>
      </c>
      <c r="E397">
        <v>1321.5878906</v>
      </c>
      <c r="F397">
        <v>1317.6158447</v>
      </c>
      <c r="G397">
        <v>80</v>
      </c>
      <c r="H397">
        <v>79.945762634000005</v>
      </c>
      <c r="I397">
        <v>50</v>
      </c>
      <c r="J397">
        <v>14.999763488999999</v>
      </c>
      <c r="K397">
        <v>2400</v>
      </c>
      <c r="L397">
        <v>0</v>
      </c>
      <c r="M397">
        <v>0</v>
      </c>
      <c r="N397">
        <v>2400</v>
      </c>
    </row>
    <row r="398" spans="1:14" x14ac:dyDescent="0.25">
      <c r="A398">
        <v>42.769128000000002</v>
      </c>
      <c r="B398" s="1">
        <f>DATE(2010,6,12) + TIME(18,27,32)</f>
        <v>40341.769120370373</v>
      </c>
      <c r="C398">
        <v>1340.3486327999999</v>
      </c>
      <c r="D398">
        <v>1337.9038086</v>
      </c>
      <c r="E398">
        <v>1321.5887451000001</v>
      </c>
      <c r="F398">
        <v>1317.6164550999999</v>
      </c>
      <c r="G398">
        <v>80</v>
      </c>
      <c r="H398">
        <v>79.945755004999995</v>
      </c>
      <c r="I398">
        <v>50</v>
      </c>
      <c r="J398">
        <v>14.999764442</v>
      </c>
      <c r="K398">
        <v>2400</v>
      </c>
      <c r="L398">
        <v>0</v>
      </c>
      <c r="M398">
        <v>0</v>
      </c>
      <c r="N398">
        <v>2400</v>
      </c>
    </row>
    <row r="399" spans="1:14" x14ac:dyDescent="0.25">
      <c r="A399">
        <v>43.126188999999997</v>
      </c>
      <c r="B399" s="1">
        <f>DATE(2010,6,13) + TIME(3,1,42)</f>
        <v>40342.126180555555</v>
      </c>
      <c r="C399">
        <v>1340.3416748</v>
      </c>
      <c r="D399">
        <v>1337.8988036999999</v>
      </c>
      <c r="E399">
        <v>1321.5895995999999</v>
      </c>
      <c r="F399">
        <v>1317.6170654</v>
      </c>
      <c r="G399">
        <v>80</v>
      </c>
      <c r="H399">
        <v>79.945747374999996</v>
      </c>
      <c r="I399">
        <v>50</v>
      </c>
      <c r="J399">
        <v>14.99976635</v>
      </c>
      <c r="K399">
        <v>2400</v>
      </c>
      <c r="L399">
        <v>0</v>
      </c>
      <c r="M399">
        <v>0</v>
      </c>
      <c r="N399">
        <v>2400</v>
      </c>
    </row>
    <row r="400" spans="1:14" x14ac:dyDescent="0.25">
      <c r="A400">
        <v>43.489928999999997</v>
      </c>
      <c r="B400" s="1">
        <f>DATE(2010,6,13) + TIME(11,45,29)</f>
        <v>40342.489918981482</v>
      </c>
      <c r="C400">
        <v>1340.3347168</v>
      </c>
      <c r="D400">
        <v>1337.8937988</v>
      </c>
      <c r="E400">
        <v>1321.5904541</v>
      </c>
      <c r="F400">
        <v>1317.6176757999999</v>
      </c>
      <c r="G400">
        <v>80</v>
      </c>
      <c r="H400">
        <v>79.945739746000001</v>
      </c>
      <c r="I400">
        <v>50</v>
      </c>
      <c r="J400">
        <v>14.999767303</v>
      </c>
      <c r="K400">
        <v>2400</v>
      </c>
      <c r="L400">
        <v>0</v>
      </c>
      <c r="M400">
        <v>0</v>
      </c>
      <c r="N400">
        <v>2400</v>
      </c>
    </row>
    <row r="401" spans="1:14" x14ac:dyDescent="0.25">
      <c r="A401">
        <v>43.675113000000003</v>
      </c>
      <c r="B401" s="1">
        <f>DATE(2010,6,13) + TIME(16,12,9)</f>
        <v>40342.675104166665</v>
      </c>
      <c r="C401">
        <v>1340.3275146000001</v>
      </c>
      <c r="D401">
        <v>1337.8885498</v>
      </c>
      <c r="E401">
        <v>1321.5913086</v>
      </c>
      <c r="F401">
        <v>1317.6182861</v>
      </c>
      <c r="G401">
        <v>80</v>
      </c>
      <c r="H401">
        <v>79.945724487000007</v>
      </c>
      <c r="I401">
        <v>50</v>
      </c>
      <c r="J401">
        <v>14.999767303</v>
      </c>
      <c r="K401">
        <v>2400</v>
      </c>
      <c r="L401">
        <v>0</v>
      </c>
      <c r="M401">
        <v>0</v>
      </c>
      <c r="N401">
        <v>2400</v>
      </c>
    </row>
    <row r="402" spans="1:14" x14ac:dyDescent="0.25">
      <c r="A402">
        <v>43.860295999999998</v>
      </c>
      <c r="B402" s="1">
        <f>DATE(2010,6,13) + TIME(20,38,49)</f>
        <v>40342.860289351855</v>
      </c>
      <c r="C402">
        <v>1340.3239745999999</v>
      </c>
      <c r="D402">
        <v>1337.8859863</v>
      </c>
      <c r="E402">
        <v>1321.5917969</v>
      </c>
      <c r="F402">
        <v>1317.6185303</v>
      </c>
      <c r="G402">
        <v>80</v>
      </c>
      <c r="H402">
        <v>79.945716857999997</v>
      </c>
      <c r="I402">
        <v>50</v>
      </c>
      <c r="J402">
        <v>14.999768256999999</v>
      </c>
      <c r="K402">
        <v>2400</v>
      </c>
      <c r="L402">
        <v>0</v>
      </c>
      <c r="M402">
        <v>0</v>
      </c>
      <c r="N402">
        <v>2400</v>
      </c>
    </row>
    <row r="403" spans="1:14" x14ac:dyDescent="0.25">
      <c r="A403">
        <v>44.045270000000002</v>
      </c>
      <c r="B403" s="1">
        <f>DATE(2010,6,14) + TIME(1,5,11)</f>
        <v>40343.045266203706</v>
      </c>
      <c r="C403">
        <v>1340.3203125</v>
      </c>
      <c r="D403">
        <v>1337.8834228999999</v>
      </c>
      <c r="E403">
        <v>1321.5921631000001</v>
      </c>
      <c r="F403">
        <v>1317.6188964999999</v>
      </c>
      <c r="G403">
        <v>80</v>
      </c>
      <c r="H403">
        <v>79.945709229000002</v>
      </c>
      <c r="I403">
        <v>50</v>
      </c>
      <c r="J403">
        <v>14.999769211</v>
      </c>
      <c r="K403">
        <v>2400</v>
      </c>
      <c r="L403">
        <v>0</v>
      </c>
      <c r="M403">
        <v>0</v>
      </c>
      <c r="N403">
        <v>2400</v>
      </c>
    </row>
    <row r="404" spans="1:14" x14ac:dyDescent="0.25">
      <c r="A404">
        <v>44.229632000000002</v>
      </c>
      <c r="B404" s="1">
        <f>DATE(2010,6,14) + TIME(5,30,40)</f>
        <v>40343.229629629626</v>
      </c>
      <c r="C404">
        <v>1340.3167725000001</v>
      </c>
      <c r="D404">
        <v>1337.8808594</v>
      </c>
      <c r="E404">
        <v>1321.5926514</v>
      </c>
      <c r="F404">
        <v>1317.6192627</v>
      </c>
      <c r="G404">
        <v>80</v>
      </c>
      <c r="H404">
        <v>79.945701599000003</v>
      </c>
      <c r="I404">
        <v>50</v>
      </c>
      <c r="J404">
        <v>14.999769211</v>
      </c>
      <c r="K404">
        <v>2400</v>
      </c>
      <c r="L404">
        <v>0</v>
      </c>
      <c r="M404">
        <v>0</v>
      </c>
      <c r="N404">
        <v>2400</v>
      </c>
    </row>
    <row r="405" spans="1:14" x14ac:dyDescent="0.25">
      <c r="A405">
        <v>44.413497999999997</v>
      </c>
      <c r="B405" s="1">
        <f>DATE(2010,6,14) + TIME(9,55,26)</f>
        <v>40343.413495370369</v>
      </c>
      <c r="C405">
        <v>1340.3133545000001</v>
      </c>
      <c r="D405">
        <v>1337.8782959</v>
      </c>
      <c r="E405">
        <v>1321.5931396000001</v>
      </c>
      <c r="F405">
        <v>1317.6195068</v>
      </c>
      <c r="G405">
        <v>80</v>
      </c>
      <c r="H405">
        <v>79.945701599000003</v>
      </c>
      <c r="I405">
        <v>50</v>
      </c>
      <c r="J405">
        <v>14.999770163999999</v>
      </c>
      <c r="K405">
        <v>2400</v>
      </c>
      <c r="L405">
        <v>0</v>
      </c>
      <c r="M405">
        <v>0</v>
      </c>
      <c r="N405">
        <v>2400</v>
      </c>
    </row>
    <row r="406" spans="1:14" x14ac:dyDescent="0.25">
      <c r="A406">
        <v>44.596981</v>
      </c>
      <c r="B406" s="1">
        <f>DATE(2010,6,14) + TIME(14,19,39)</f>
        <v>40343.596979166665</v>
      </c>
      <c r="C406">
        <v>1340.3098144999999</v>
      </c>
      <c r="D406">
        <v>1337.8757324000001</v>
      </c>
      <c r="E406">
        <v>1321.5936279</v>
      </c>
      <c r="F406">
        <v>1317.6198730000001</v>
      </c>
      <c r="G406">
        <v>80</v>
      </c>
      <c r="H406">
        <v>79.945693969999994</v>
      </c>
      <c r="I406">
        <v>50</v>
      </c>
      <c r="J406">
        <v>14.999771118</v>
      </c>
      <c r="K406">
        <v>2400</v>
      </c>
      <c r="L406">
        <v>0</v>
      </c>
      <c r="M406">
        <v>0</v>
      </c>
      <c r="N406">
        <v>2400</v>
      </c>
    </row>
    <row r="407" spans="1:14" x14ac:dyDescent="0.25">
      <c r="A407">
        <v>44.780191000000002</v>
      </c>
      <c r="B407" s="1">
        <f>DATE(2010,6,14) + TIME(18,43,28)</f>
        <v>40343.780185185184</v>
      </c>
      <c r="C407">
        <v>1340.3063964999999</v>
      </c>
      <c r="D407">
        <v>1337.8731689000001</v>
      </c>
      <c r="E407">
        <v>1321.5939940999999</v>
      </c>
      <c r="F407">
        <v>1317.6202393000001</v>
      </c>
      <c r="G407">
        <v>80</v>
      </c>
      <c r="H407">
        <v>79.945686339999995</v>
      </c>
      <c r="I407">
        <v>50</v>
      </c>
      <c r="J407">
        <v>14.999771118</v>
      </c>
      <c r="K407">
        <v>2400</v>
      </c>
      <c r="L407">
        <v>0</v>
      </c>
      <c r="M407">
        <v>0</v>
      </c>
      <c r="N407">
        <v>2400</v>
      </c>
    </row>
    <row r="408" spans="1:14" x14ac:dyDescent="0.25">
      <c r="A408">
        <v>44.963237999999997</v>
      </c>
      <c r="B408" s="1">
        <f>DATE(2010,6,14) + TIME(23,7,3)</f>
        <v>40343.963229166664</v>
      </c>
      <c r="C408">
        <v>1340.3028564000001</v>
      </c>
      <c r="D408">
        <v>1337.8707274999999</v>
      </c>
      <c r="E408">
        <v>1321.5944824000001</v>
      </c>
      <c r="F408">
        <v>1317.6204834</v>
      </c>
      <c r="G408">
        <v>80</v>
      </c>
      <c r="H408">
        <v>79.945686339999995</v>
      </c>
      <c r="I408">
        <v>50</v>
      </c>
      <c r="J408">
        <v>14.999772072000001</v>
      </c>
      <c r="K408">
        <v>2400</v>
      </c>
      <c r="L408">
        <v>0</v>
      </c>
      <c r="M408">
        <v>0</v>
      </c>
      <c r="N408">
        <v>2400</v>
      </c>
    </row>
    <row r="409" spans="1:14" x14ac:dyDescent="0.25">
      <c r="A409">
        <v>45.146227000000003</v>
      </c>
      <c r="B409" s="1">
        <f>DATE(2010,6,15) + TIME(3,30,34)</f>
        <v>40344.146226851852</v>
      </c>
      <c r="C409">
        <v>1340.2994385</v>
      </c>
      <c r="D409">
        <v>1337.8681641000001</v>
      </c>
      <c r="E409">
        <v>1321.5949707</v>
      </c>
      <c r="F409">
        <v>1317.6208495999999</v>
      </c>
      <c r="G409">
        <v>80</v>
      </c>
      <c r="H409">
        <v>79.945678710999999</v>
      </c>
      <c r="I409">
        <v>50</v>
      </c>
      <c r="J409">
        <v>14.999773026</v>
      </c>
      <c r="K409">
        <v>2400</v>
      </c>
      <c r="L409">
        <v>0</v>
      </c>
      <c r="M409">
        <v>0</v>
      </c>
      <c r="N409">
        <v>2400</v>
      </c>
    </row>
    <row r="410" spans="1:14" x14ac:dyDescent="0.25">
      <c r="A410">
        <v>45.329217</v>
      </c>
      <c r="B410" s="1">
        <f>DATE(2010,6,15) + TIME(7,54,4)</f>
        <v>40344.329212962963</v>
      </c>
      <c r="C410">
        <v>1340.2960204999999</v>
      </c>
      <c r="D410">
        <v>1337.8657227000001</v>
      </c>
      <c r="E410">
        <v>1321.5954589999999</v>
      </c>
      <c r="F410">
        <v>1317.6212158000001</v>
      </c>
      <c r="G410">
        <v>80</v>
      </c>
      <c r="H410">
        <v>79.945678710999999</v>
      </c>
      <c r="I410">
        <v>50</v>
      </c>
      <c r="J410">
        <v>14.999773026</v>
      </c>
      <c r="K410">
        <v>2400</v>
      </c>
      <c r="L410">
        <v>0</v>
      </c>
      <c r="M410">
        <v>0</v>
      </c>
      <c r="N410">
        <v>2400</v>
      </c>
    </row>
    <row r="411" spans="1:14" x14ac:dyDescent="0.25">
      <c r="A411">
        <v>45.512205999999999</v>
      </c>
      <c r="B411" s="1">
        <f>DATE(2010,6,15) + TIME(12,17,34)</f>
        <v>40344.512199074074</v>
      </c>
      <c r="C411">
        <v>1340.2926024999999</v>
      </c>
      <c r="D411">
        <v>1337.8632812000001</v>
      </c>
      <c r="E411">
        <v>1321.5959473</v>
      </c>
      <c r="F411">
        <v>1317.6214600000001</v>
      </c>
      <c r="G411">
        <v>80</v>
      </c>
      <c r="H411">
        <v>79.945671082000004</v>
      </c>
      <c r="I411">
        <v>50</v>
      </c>
      <c r="J411">
        <v>14.999773979</v>
      </c>
      <c r="K411">
        <v>2400</v>
      </c>
      <c r="L411">
        <v>0</v>
      </c>
      <c r="M411">
        <v>0</v>
      </c>
      <c r="N411">
        <v>2400</v>
      </c>
    </row>
    <row r="412" spans="1:14" x14ac:dyDescent="0.25">
      <c r="A412">
        <v>45.695196000000003</v>
      </c>
      <c r="B412" s="1">
        <f>DATE(2010,6,15) + TIME(16,41,4)</f>
        <v>40344.695185185185</v>
      </c>
      <c r="C412">
        <v>1340.2891846</v>
      </c>
      <c r="D412">
        <v>1337.8608397999999</v>
      </c>
      <c r="E412">
        <v>1321.5963135</v>
      </c>
      <c r="F412">
        <v>1317.6218262</v>
      </c>
      <c r="G412">
        <v>80</v>
      </c>
      <c r="H412">
        <v>79.945671082000004</v>
      </c>
      <c r="I412">
        <v>50</v>
      </c>
      <c r="J412">
        <v>14.999773979</v>
      </c>
      <c r="K412">
        <v>2400</v>
      </c>
      <c r="L412">
        <v>0</v>
      </c>
      <c r="M412">
        <v>0</v>
      </c>
      <c r="N412">
        <v>2400</v>
      </c>
    </row>
    <row r="413" spans="1:14" x14ac:dyDescent="0.25">
      <c r="A413">
        <v>45.878185000000002</v>
      </c>
      <c r="B413" s="1">
        <f>DATE(2010,6,15) + TIME(21,4,35)</f>
        <v>40344.878182870372</v>
      </c>
      <c r="C413">
        <v>1340.2858887</v>
      </c>
      <c r="D413">
        <v>1337.8582764</v>
      </c>
      <c r="E413">
        <v>1321.5968018000001</v>
      </c>
      <c r="F413">
        <v>1317.6221923999999</v>
      </c>
      <c r="G413">
        <v>80</v>
      </c>
      <c r="H413">
        <v>79.945663452000005</v>
      </c>
      <c r="I413">
        <v>50</v>
      </c>
      <c r="J413">
        <v>14.999774932999999</v>
      </c>
      <c r="K413">
        <v>2400</v>
      </c>
      <c r="L413">
        <v>0</v>
      </c>
      <c r="M413">
        <v>0</v>
      </c>
      <c r="N413">
        <v>2400</v>
      </c>
    </row>
    <row r="414" spans="1:14" x14ac:dyDescent="0.25">
      <c r="A414">
        <v>46.061174000000001</v>
      </c>
      <c r="B414" s="1">
        <f>DATE(2010,6,16) + TIME(1,28,5)</f>
        <v>40345.061168981483</v>
      </c>
      <c r="C414">
        <v>1340.2824707</v>
      </c>
      <c r="D414">
        <v>1337.8558350000001</v>
      </c>
      <c r="E414">
        <v>1321.5972899999999</v>
      </c>
      <c r="F414">
        <v>1317.6224365</v>
      </c>
      <c r="G414">
        <v>80</v>
      </c>
      <c r="H414">
        <v>79.945663452000005</v>
      </c>
      <c r="I414">
        <v>50</v>
      </c>
      <c r="J414">
        <v>14.999775887</v>
      </c>
      <c r="K414">
        <v>2400</v>
      </c>
      <c r="L414">
        <v>0</v>
      </c>
      <c r="M414">
        <v>0</v>
      </c>
      <c r="N414">
        <v>2400</v>
      </c>
    </row>
    <row r="415" spans="1:14" x14ac:dyDescent="0.25">
      <c r="A415">
        <v>46.244163999999998</v>
      </c>
      <c r="B415" s="1">
        <f>DATE(2010,6,16) + TIME(5,51,35)</f>
        <v>40345.244155092594</v>
      </c>
      <c r="C415">
        <v>1340.2791748</v>
      </c>
      <c r="D415">
        <v>1337.8533935999999</v>
      </c>
      <c r="E415">
        <v>1321.5977783000001</v>
      </c>
      <c r="F415">
        <v>1317.6228027</v>
      </c>
      <c r="G415">
        <v>80</v>
      </c>
      <c r="H415">
        <v>79.945663452000005</v>
      </c>
      <c r="I415">
        <v>50</v>
      </c>
      <c r="J415">
        <v>14.999775887</v>
      </c>
      <c r="K415">
        <v>2400</v>
      </c>
      <c r="L415">
        <v>0</v>
      </c>
      <c r="M415">
        <v>0</v>
      </c>
      <c r="N415">
        <v>2400</v>
      </c>
    </row>
    <row r="416" spans="1:14" x14ac:dyDescent="0.25">
      <c r="A416">
        <v>46.610143000000001</v>
      </c>
      <c r="B416" s="1">
        <f>DATE(2010,6,16) + TIME(14,38,36)</f>
        <v>40345.610138888886</v>
      </c>
      <c r="C416">
        <v>1340.2758789</v>
      </c>
      <c r="D416">
        <v>1337.8510742000001</v>
      </c>
      <c r="E416">
        <v>1321.5982666</v>
      </c>
      <c r="F416">
        <v>1317.6231689000001</v>
      </c>
      <c r="G416">
        <v>80</v>
      </c>
      <c r="H416">
        <v>79.945663452000005</v>
      </c>
      <c r="I416">
        <v>50</v>
      </c>
      <c r="J416">
        <v>14.999776839999999</v>
      </c>
      <c r="K416">
        <v>2400</v>
      </c>
      <c r="L416">
        <v>0</v>
      </c>
      <c r="M416">
        <v>0</v>
      </c>
      <c r="N416">
        <v>2400</v>
      </c>
    </row>
    <row r="417" spans="1:14" x14ac:dyDescent="0.25">
      <c r="A417">
        <v>46.976148000000002</v>
      </c>
      <c r="B417" s="1">
        <f>DATE(2010,6,16) + TIME(23,25,39)</f>
        <v>40345.976145833331</v>
      </c>
      <c r="C417">
        <v>1340.2692870999999</v>
      </c>
      <c r="D417">
        <v>1337.8463135</v>
      </c>
      <c r="E417">
        <v>1321.5992432</v>
      </c>
      <c r="F417">
        <v>1317.6237793</v>
      </c>
      <c r="G417">
        <v>80</v>
      </c>
      <c r="H417">
        <v>79.945663452000005</v>
      </c>
      <c r="I417">
        <v>50</v>
      </c>
      <c r="J417">
        <v>14.999777794</v>
      </c>
      <c r="K417">
        <v>2400</v>
      </c>
      <c r="L417">
        <v>0</v>
      </c>
      <c r="M417">
        <v>0</v>
      </c>
      <c r="N417">
        <v>2400</v>
      </c>
    </row>
    <row r="418" spans="1:14" x14ac:dyDescent="0.25">
      <c r="A418">
        <v>47.346590999999997</v>
      </c>
      <c r="B418" s="1">
        <f>DATE(2010,6,17) + TIME(8,19,5)</f>
        <v>40346.346585648149</v>
      </c>
      <c r="C418">
        <v>1340.2626952999999</v>
      </c>
      <c r="D418">
        <v>1337.8415527</v>
      </c>
      <c r="E418">
        <v>1321.6000977000001</v>
      </c>
      <c r="F418">
        <v>1317.6245117000001</v>
      </c>
      <c r="G418">
        <v>80</v>
      </c>
      <c r="H418">
        <v>79.945663452000005</v>
      </c>
      <c r="I418">
        <v>50</v>
      </c>
      <c r="J418">
        <v>14.999778748000001</v>
      </c>
      <c r="K418">
        <v>2400</v>
      </c>
      <c r="L418">
        <v>0</v>
      </c>
      <c r="M418">
        <v>0</v>
      </c>
      <c r="N418">
        <v>2400</v>
      </c>
    </row>
    <row r="419" spans="1:14" x14ac:dyDescent="0.25">
      <c r="A419">
        <v>47.722302999999997</v>
      </c>
      <c r="B419" s="1">
        <f>DATE(2010,6,17) + TIME(17,20,6)</f>
        <v>40346.722291666665</v>
      </c>
      <c r="C419">
        <v>1340.2559814000001</v>
      </c>
      <c r="D419">
        <v>1337.8366699000001</v>
      </c>
      <c r="E419">
        <v>1321.6010742000001</v>
      </c>
      <c r="F419">
        <v>1317.6251221</v>
      </c>
      <c r="G419">
        <v>80</v>
      </c>
      <c r="H419">
        <v>79.945655822999996</v>
      </c>
      <c r="I419">
        <v>50</v>
      </c>
      <c r="J419">
        <v>14.999779701</v>
      </c>
      <c r="K419">
        <v>2400</v>
      </c>
      <c r="L419">
        <v>0</v>
      </c>
      <c r="M419">
        <v>0</v>
      </c>
      <c r="N419">
        <v>2400</v>
      </c>
    </row>
    <row r="420" spans="1:14" x14ac:dyDescent="0.25">
      <c r="A420">
        <v>48.104199000000001</v>
      </c>
      <c r="B420" s="1">
        <f>DATE(2010,6,18) + TIME(2,30,2)</f>
        <v>40347.104189814818</v>
      </c>
      <c r="C420">
        <v>1340.2493896000001</v>
      </c>
      <c r="D420">
        <v>1337.8317870999999</v>
      </c>
      <c r="E420">
        <v>1321.6020507999999</v>
      </c>
      <c r="F420">
        <v>1317.6258545000001</v>
      </c>
      <c r="G420">
        <v>80</v>
      </c>
      <c r="H420">
        <v>79.945655822999996</v>
      </c>
      <c r="I420">
        <v>50</v>
      </c>
      <c r="J420">
        <v>14.999780655</v>
      </c>
      <c r="K420">
        <v>2400</v>
      </c>
      <c r="L420">
        <v>0</v>
      </c>
      <c r="M420">
        <v>0</v>
      </c>
      <c r="N420">
        <v>2400</v>
      </c>
    </row>
    <row r="421" spans="1:14" x14ac:dyDescent="0.25">
      <c r="A421">
        <v>48.493259999999999</v>
      </c>
      <c r="B421" s="1">
        <f>DATE(2010,6,18) + TIME(11,50,17)</f>
        <v>40347.493252314816</v>
      </c>
      <c r="C421">
        <v>1340.2426757999999</v>
      </c>
      <c r="D421">
        <v>1337.8269043</v>
      </c>
      <c r="E421">
        <v>1321.6030272999999</v>
      </c>
      <c r="F421">
        <v>1317.6265868999999</v>
      </c>
      <c r="G421">
        <v>80</v>
      </c>
      <c r="H421">
        <v>79.945648192999997</v>
      </c>
      <c r="I421">
        <v>50</v>
      </c>
      <c r="J421">
        <v>14.999782562</v>
      </c>
      <c r="K421">
        <v>2400</v>
      </c>
      <c r="L421">
        <v>0</v>
      </c>
      <c r="M421">
        <v>0</v>
      </c>
      <c r="N421">
        <v>2400</v>
      </c>
    </row>
    <row r="422" spans="1:14" x14ac:dyDescent="0.25">
      <c r="A422">
        <v>48.690291999999999</v>
      </c>
      <c r="B422" s="1">
        <f>DATE(2010,6,18) + TIME(16,34,1)</f>
        <v>40347.690289351849</v>
      </c>
      <c r="C422">
        <v>1340.2358397999999</v>
      </c>
      <c r="D422">
        <v>1337.8218993999999</v>
      </c>
      <c r="E422">
        <v>1321.604126</v>
      </c>
      <c r="F422">
        <v>1317.6273193</v>
      </c>
      <c r="G422">
        <v>80</v>
      </c>
      <c r="H422">
        <v>79.945640564000001</v>
      </c>
      <c r="I422">
        <v>50</v>
      </c>
      <c r="J422">
        <v>14.999782562</v>
      </c>
      <c r="K422">
        <v>2400</v>
      </c>
      <c r="L422">
        <v>0</v>
      </c>
      <c r="M422">
        <v>0</v>
      </c>
      <c r="N422">
        <v>2400</v>
      </c>
    </row>
    <row r="423" spans="1:14" x14ac:dyDescent="0.25">
      <c r="A423">
        <v>48.887324</v>
      </c>
      <c r="B423" s="1">
        <f>DATE(2010,6,18) + TIME(21,17,44)</f>
        <v>40347.887314814812</v>
      </c>
      <c r="C423">
        <v>1340.2324219</v>
      </c>
      <c r="D423">
        <v>1337.8194579999999</v>
      </c>
      <c r="E423">
        <v>1321.6046143000001</v>
      </c>
      <c r="F423">
        <v>1317.6276855000001</v>
      </c>
      <c r="G423">
        <v>80</v>
      </c>
      <c r="H423">
        <v>79.945632935000006</v>
      </c>
      <c r="I423">
        <v>50</v>
      </c>
      <c r="J423">
        <v>14.999783516000001</v>
      </c>
      <c r="K423">
        <v>2400</v>
      </c>
      <c r="L423">
        <v>0</v>
      </c>
      <c r="M423">
        <v>0</v>
      </c>
      <c r="N423">
        <v>2400</v>
      </c>
    </row>
    <row r="424" spans="1:14" x14ac:dyDescent="0.25">
      <c r="A424">
        <v>49.084148999999996</v>
      </c>
      <c r="B424" s="1">
        <f>DATE(2010,6,19) + TIME(2,1,10)</f>
        <v>40348.084143518521</v>
      </c>
      <c r="C424">
        <v>1340.2290039</v>
      </c>
      <c r="D424">
        <v>1337.8168945</v>
      </c>
      <c r="E424">
        <v>1321.6051024999999</v>
      </c>
      <c r="F424">
        <v>1317.6280518000001</v>
      </c>
      <c r="G424">
        <v>80</v>
      </c>
      <c r="H424">
        <v>79.945625304999993</v>
      </c>
      <c r="I424">
        <v>50</v>
      </c>
      <c r="J424">
        <v>14.99978447</v>
      </c>
      <c r="K424">
        <v>2400</v>
      </c>
      <c r="L424">
        <v>0</v>
      </c>
      <c r="M424">
        <v>0</v>
      </c>
      <c r="N424">
        <v>2400</v>
      </c>
    </row>
    <row r="425" spans="1:14" x14ac:dyDescent="0.25">
      <c r="A425">
        <v>49.280354000000003</v>
      </c>
      <c r="B425" s="1">
        <f>DATE(2010,6,19) + TIME(6,43,42)</f>
        <v>40348.280347222222</v>
      </c>
      <c r="C425">
        <v>1340.2255858999999</v>
      </c>
      <c r="D425">
        <v>1337.8144531</v>
      </c>
      <c r="E425">
        <v>1321.6057129000001</v>
      </c>
      <c r="F425">
        <v>1317.628418</v>
      </c>
      <c r="G425">
        <v>80</v>
      </c>
      <c r="H425">
        <v>79.945625304999993</v>
      </c>
      <c r="I425">
        <v>50</v>
      </c>
      <c r="J425">
        <v>14.99978447</v>
      </c>
      <c r="K425">
        <v>2400</v>
      </c>
      <c r="L425">
        <v>0</v>
      </c>
      <c r="M425">
        <v>0</v>
      </c>
      <c r="N425">
        <v>2400</v>
      </c>
    </row>
    <row r="426" spans="1:14" x14ac:dyDescent="0.25">
      <c r="A426">
        <v>49.476063000000003</v>
      </c>
      <c r="B426" s="1">
        <f>DATE(2010,6,19) + TIME(11,25,31)</f>
        <v>40348.476053240738</v>
      </c>
      <c r="C426">
        <v>1340.2222899999999</v>
      </c>
      <c r="D426">
        <v>1337.8120117000001</v>
      </c>
      <c r="E426">
        <v>1321.6062012</v>
      </c>
      <c r="F426">
        <v>1317.6287841999999</v>
      </c>
      <c r="G426">
        <v>80</v>
      </c>
      <c r="H426">
        <v>79.945625304999993</v>
      </c>
      <c r="I426">
        <v>50</v>
      </c>
      <c r="J426">
        <v>14.999785423000001</v>
      </c>
      <c r="K426">
        <v>2400</v>
      </c>
      <c r="L426">
        <v>0</v>
      </c>
      <c r="M426">
        <v>0</v>
      </c>
      <c r="N426">
        <v>2400</v>
      </c>
    </row>
    <row r="427" spans="1:14" x14ac:dyDescent="0.25">
      <c r="A427">
        <v>49.671407000000002</v>
      </c>
      <c r="B427" s="1">
        <f>DATE(2010,6,19) + TIME(16,6,49)</f>
        <v>40348.671400462961</v>
      </c>
      <c r="C427">
        <v>1340.2188721</v>
      </c>
      <c r="D427">
        <v>1337.8095702999999</v>
      </c>
      <c r="E427">
        <v>1321.6066894999999</v>
      </c>
      <c r="F427">
        <v>1317.6291504000001</v>
      </c>
      <c r="G427">
        <v>80</v>
      </c>
      <c r="H427">
        <v>79.945617675999998</v>
      </c>
      <c r="I427">
        <v>50</v>
      </c>
      <c r="J427">
        <v>14.999786377</v>
      </c>
      <c r="K427">
        <v>2400</v>
      </c>
      <c r="L427">
        <v>0</v>
      </c>
      <c r="M427">
        <v>0</v>
      </c>
      <c r="N427">
        <v>2400</v>
      </c>
    </row>
    <row r="428" spans="1:14" x14ac:dyDescent="0.25">
      <c r="A428">
        <v>49.866509000000001</v>
      </c>
      <c r="B428" s="1">
        <f>DATE(2010,6,19) + TIME(20,47,46)</f>
        <v>40348.86650462963</v>
      </c>
      <c r="C428">
        <v>1340.2155762</v>
      </c>
      <c r="D428">
        <v>1337.8071289</v>
      </c>
      <c r="E428">
        <v>1321.6072998</v>
      </c>
      <c r="F428">
        <v>1317.6295166</v>
      </c>
      <c r="G428">
        <v>80</v>
      </c>
      <c r="H428">
        <v>79.945617675999998</v>
      </c>
      <c r="I428">
        <v>50</v>
      </c>
      <c r="J428">
        <v>14.999786377</v>
      </c>
      <c r="K428">
        <v>2400</v>
      </c>
      <c r="L428">
        <v>0</v>
      </c>
      <c r="M428">
        <v>0</v>
      </c>
      <c r="N428">
        <v>2400</v>
      </c>
    </row>
    <row r="429" spans="1:14" x14ac:dyDescent="0.25">
      <c r="A429">
        <v>50.061489999999999</v>
      </c>
      <c r="B429" s="1">
        <f>DATE(2010,6,20) + TIME(1,28,32)</f>
        <v>40349.061481481483</v>
      </c>
      <c r="C429">
        <v>1340.2122803</v>
      </c>
      <c r="D429">
        <v>1337.8046875</v>
      </c>
      <c r="E429">
        <v>1321.6077881000001</v>
      </c>
      <c r="F429">
        <v>1317.6298827999999</v>
      </c>
      <c r="G429">
        <v>80</v>
      </c>
      <c r="H429">
        <v>79.945617675999998</v>
      </c>
      <c r="I429">
        <v>50</v>
      </c>
      <c r="J429">
        <v>14.999787331</v>
      </c>
      <c r="K429">
        <v>2400</v>
      </c>
      <c r="L429">
        <v>0</v>
      </c>
      <c r="M429">
        <v>0</v>
      </c>
      <c r="N429">
        <v>2400</v>
      </c>
    </row>
    <row r="430" spans="1:14" x14ac:dyDescent="0.25">
      <c r="A430">
        <v>50.256435000000003</v>
      </c>
      <c r="B430" s="1">
        <f>DATE(2010,6,20) + TIME(6,9,15)</f>
        <v>40349.256423611114</v>
      </c>
      <c r="C430">
        <v>1340.2089844</v>
      </c>
      <c r="D430">
        <v>1337.8022461</v>
      </c>
      <c r="E430">
        <v>1321.6082764</v>
      </c>
      <c r="F430">
        <v>1317.630249</v>
      </c>
      <c r="G430">
        <v>80</v>
      </c>
      <c r="H430">
        <v>79.945610045999999</v>
      </c>
      <c r="I430">
        <v>50</v>
      </c>
      <c r="J430">
        <v>14.999788283999999</v>
      </c>
      <c r="K430">
        <v>2400</v>
      </c>
      <c r="L430">
        <v>0</v>
      </c>
      <c r="M430">
        <v>0</v>
      </c>
      <c r="N430">
        <v>2400</v>
      </c>
    </row>
    <row r="431" spans="1:14" x14ac:dyDescent="0.25">
      <c r="A431">
        <v>50.451379000000003</v>
      </c>
      <c r="B431" s="1">
        <f>DATE(2010,6,20) + TIME(10,49,59)</f>
        <v>40349.451377314814</v>
      </c>
      <c r="C431">
        <v>1340.2056885</v>
      </c>
      <c r="D431">
        <v>1337.7999268000001</v>
      </c>
      <c r="E431">
        <v>1321.6088867000001</v>
      </c>
      <c r="F431">
        <v>1317.6306152</v>
      </c>
      <c r="G431">
        <v>80</v>
      </c>
      <c r="H431">
        <v>79.945610045999999</v>
      </c>
      <c r="I431">
        <v>50</v>
      </c>
      <c r="J431">
        <v>14.999788283999999</v>
      </c>
      <c r="K431">
        <v>2400</v>
      </c>
      <c r="L431">
        <v>0</v>
      </c>
      <c r="M431">
        <v>0</v>
      </c>
      <c r="N431">
        <v>2400</v>
      </c>
    </row>
    <row r="432" spans="1:14" x14ac:dyDescent="0.25">
      <c r="A432">
        <v>50.646323000000002</v>
      </c>
      <c r="B432" s="1">
        <f>DATE(2010,6,20) + TIME(15,30,42)</f>
        <v>40349.646319444444</v>
      </c>
      <c r="C432">
        <v>1340.2025146000001</v>
      </c>
      <c r="D432">
        <v>1337.7974853999999</v>
      </c>
      <c r="E432">
        <v>1321.609375</v>
      </c>
      <c r="F432">
        <v>1317.6309814000001</v>
      </c>
      <c r="G432">
        <v>80</v>
      </c>
      <c r="H432">
        <v>79.945610045999999</v>
      </c>
      <c r="I432">
        <v>50</v>
      </c>
      <c r="J432">
        <v>14.999789238</v>
      </c>
      <c r="K432">
        <v>2400</v>
      </c>
      <c r="L432">
        <v>0</v>
      </c>
      <c r="M432">
        <v>0</v>
      </c>
      <c r="N432">
        <v>2400</v>
      </c>
    </row>
    <row r="433" spans="1:14" x14ac:dyDescent="0.25">
      <c r="A433">
        <v>50.841267999999999</v>
      </c>
      <c r="B433" s="1">
        <f>DATE(2010,6,20) + TIME(20,11,25)</f>
        <v>40349.841261574074</v>
      </c>
      <c r="C433">
        <v>1340.1992187999999</v>
      </c>
      <c r="D433">
        <v>1337.7950439000001</v>
      </c>
      <c r="E433">
        <v>1321.6098632999999</v>
      </c>
      <c r="F433">
        <v>1317.6313477000001</v>
      </c>
      <c r="G433">
        <v>80</v>
      </c>
      <c r="H433">
        <v>79.945610045999999</v>
      </c>
      <c r="I433">
        <v>50</v>
      </c>
      <c r="J433">
        <v>14.999789238</v>
      </c>
      <c r="K433">
        <v>2400</v>
      </c>
      <c r="L433">
        <v>0</v>
      </c>
      <c r="M433">
        <v>0</v>
      </c>
      <c r="N433">
        <v>2400</v>
      </c>
    </row>
    <row r="434" spans="1:14" x14ac:dyDescent="0.25">
      <c r="A434">
        <v>51.036211999999999</v>
      </c>
      <c r="B434" s="1">
        <f>DATE(2010,6,21) + TIME(0,52,8)</f>
        <v>40350.036203703705</v>
      </c>
      <c r="C434">
        <v>1340.1960449000001</v>
      </c>
      <c r="D434">
        <v>1337.7927245999999</v>
      </c>
      <c r="E434">
        <v>1321.6104736</v>
      </c>
      <c r="F434">
        <v>1317.6317139</v>
      </c>
      <c r="G434">
        <v>80</v>
      </c>
      <c r="H434">
        <v>79.945610045999999</v>
      </c>
      <c r="I434">
        <v>50</v>
      </c>
      <c r="J434">
        <v>14.999790192000001</v>
      </c>
      <c r="K434">
        <v>2400</v>
      </c>
      <c r="L434">
        <v>0</v>
      </c>
      <c r="M434">
        <v>0</v>
      </c>
      <c r="N434">
        <v>2400</v>
      </c>
    </row>
    <row r="435" spans="1:14" x14ac:dyDescent="0.25">
      <c r="A435">
        <v>51.231157000000003</v>
      </c>
      <c r="B435" s="1">
        <f>DATE(2010,6,21) + TIME(5,32,51)</f>
        <v>40350.231145833335</v>
      </c>
      <c r="C435">
        <v>1340.192749</v>
      </c>
      <c r="D435">
        <v>1337.7904053</v>
      </c>
      <c r="E435">
        <v>1321.6109618999999</v>
      </c>
      <c r="F435">
        <v>1317.6320800999999</v>
      </c>
      <c r="G435">
        <v>80</v>
      </c>
      <c r="H435">
        <v>79.945610045999999</v>
      </c>
      <c r="I435">
        <v>50</v>
      </c>
      <c r="J435">
        <v>14.999791145</v>
      </c>
      <c r="K435">
        <v>2400</v>
      </c>
      <c r="L435">
        <v>0</v>
      </c>
      <c r="M435">
        <v>0</v>
      </c>
      <c r="N435">
        <v>2400</v>
      </c>
    </row>
    <row r="436" spans="1:14" x14ac:dyDescent="0.25">
      <c r="A436">
        <v>51.426101000000003</v>
      </c>
      <c r="B436" s="1">
        <f>DATE(2010,6,21) + TIME(10,13,35)</f>
        <v>40350.426099537035</v>
      </c>
      <c r="C436">
        <v>1340.1895752</v>
      </c>
      <c r="D436">
        <v>1337.7879639</v>
      </c>
      <c r="E436">
        <v>1321.6115723</v>
      </c>
      <c r="F436">
        <v>1317.6324463000001</v>
      </c>
      <c r="G436">
        <v>80</v>
      </c>
      <c r="H436">
        <v>79.945610045999999</v>
      </c>
      <c r="I436">
        <v>50</v>
      </c>
      <c r="J436">
        <v>14.999791145</v>
      </c>
      <c r="K436">
        <v>2400</v>
      </c>
      <c r="L436">
        <v>0</v>
      </c>
      <c r="M436">
        <v>0</v>
      </c>
      <c r="N436">
        <v>2400</v>
      </c>
    </row>
    <row r="437" spans="1:14" x14ac:dyDescent="0.25">
      <c r="A437">
        <v>51.815989999999999</v>
      </c>
      <c r="B437" s="1">
        <f>DATE(2010,6,21) + TIME(19,35,1)</f>
        <v>40350.815983796296</v>
      </c>
      <c r="C437">
        <v>1340.1864014</v>
      </c>
      <c r="D437">
        <v>1337.7857666</v>
      </c>
      <c r="E437">
        <v>1321.6120605000001</v>
      </c>
      <c r="F437">
        <v>1317.6328125</v>
      </c>
      <c r="G437">
        <v>80</v>
      </c>
      <c r="H437">
        <v>79.945617675999998</v>
      </c>
      <c r="I437">
        <v>50</v>
      </c>
      <c r="J437">
        <v>14.999792099</v>
      </c>
      <c r="K437">
        <v>2400</v>
      </c>
      <c r="L437">
        <v>0</v>
      </c>
      <c r="M437">
        <v>0</v>
      </c>
      <c r="N437">
        <v>2400</v>
      </c>
    </row>
    <row r="438" spans="1:14" x14ac:dyDescent="0.25">
      <c r="A438">
        <v>52.2072</v>
      </c>
      <c r="B438" s="1">
        <f>DATE(2010,6,22) + TIME(4,58,22)</f>
        <v>40351.207199074073</v>
      </c>
      <c r="C438">
        <v>1340.1800536999999</v>
      </c>
      <c r="D438">
        <v>1337.7810059000001</v>
      </c>
      <c r="E438">
        <v>1321.6131591999999</v>
      </c>
      <c r="F438">
        <v>1317.6336670000001</v>
      </c>
      <c r="G438">
        <v>80</v>
      </c>
      <c r="H438">
        <v>79.945617675999998</v>
      </c>
      <c r="I438">
        <v>50</v>
      </c>
      <c r="J438">
        <v>14.999793052999999</v>
      </c>
      <c r="K438">
        <v>2400</v>
      </c>
      <c r="L438">
        <v>0</v>
      </c>
      <c r="M438">
        <v>0</v>
      </c>
      <c r="N438">
        <v>2400</v>
      </c>
    </row>
    <row r="439" spans="1:14" x14ac:dyDescent="0.25">
      <c r="A439">
        <v>52.603119</v>
      </c>
      <c r="B439" s="1">
        <f>DATE(2010,6,22) + TIME(14,28,29)</f>
        <v>40351.603113425925</v>
      </c>
      <c r="C439">
        <v>1340.1738281</v>
      </c>
      <c r="D439">
        <v>1337.7763672000001</v>
      </c>
      <c r="E439">
        <v>1321.6142577999999</v>
      </c>
      <c r="F439">
        <v>1317.6343993999999</v>
      </c>
      <c r="G439">
        <v>80</v>
      </c>
      <c r="H439">
        <v>79.945617675999998</v>
      </c>
      <c r="I439">
        <v>50</v>
      </c>
      <c r="J439">
        <v>14.999794006</v>
      </c>
      <c r="K439">
        <v>2400</v>
      </c>
      <c r="L439">
        <v>0</v>
      </c>
      <c r="M439">
        <v>0</v>
      </c>
      <c r="N439">
        <v>2400</v>
      </c>
    </row>
    <row r="440" spans="1:14" x14ac:dyDescent="0.25">
      <c r="A440">
        <v>53.004665000000003</v>
      </c>
      <c r="B440" s="1">
        <f>DATE(2010,6,23) + TIME(0,6,43)</f>
        <v>40352.004664351851</v>
      </c>
      <c r="C440">
        <v>1340.1674805</v>
      </c>
      <c r="D440">
        <v>1337.7717285000001</v>
      </c>
      <c r="E440">
        <v>1321.6153564000001</v>
      </c>
      <c r="F440">
        <v>1317.6351318</v>
      </c>
      <c r="G440">
        <v>80</v>
      </c>
      <c r="H440">
        <v>79.945625304999993</v>
      </c>
      <c r="I440">
        <v>50</v>
      </c>
      <c r="J440">
        <v>14.999794959999999</v>
      </c>
      <c r="K440">
        <v>2400</v>
      </c>
      <c r="L440">
        <v>0</v>
      </c>
      <c r="M440">
        <v>0</v>
      </c>
      <c r="N440">
        <v>2400</v>
      </c>
    </row>
    <row r="441" spans="1:14" x14ac:dyDescent="0.25">
      <c r="A441">
        <v>53.412829000000002</v>
      </c>
      <c r="B441" s="1">
        <f>DATE(2010,6,23) + TIME(9,54,28)</f>
        <v>40352.412824074076</v>
      </c>
      <c r="C441">
        <v>1340.1610106999999</v>
      </c>
      <c r="D441">
        <v>1337.7669678</v>
      </c>
      <c r="E441">
        <v>1321.6165771000001</v>
      </c>
      <c r="F441">
        <v>1317.6359863</v>
      </c>
      <c r="G441">
        <v>80</v>
      </c>
      <c r="H441">
        <v>79.945625304999993</v>
      </c>
      <c r="I441">
        <v>50</v>
      </c>
      <c r="J441">
        <v>14.999796867000001</v>
      </c>
      <c r="K441">
        <v>2400</v>
      </c>
      <c r="L441">
        <v>0</v>
      </c>
      <c r="M441">
        <v>0</v>
      </c>
      <c r="N441">
        <v>2400</v>
      </c>
    </row>
    <row r="442" spans="1:14" x14ac:dyDescent="0.25">
      <c r="A442">
        <v>53.828681000000003</v>
      </c>
      <c r="B442" s="1">
        <f>DATE(2010,6,23) + TIME(19,53,18)</f>
        <v>40352.828680555554</v>
      </c>
      <c r="C442">
        <v>1340.1546631000001</v>
      </c>
      <c r="D442">
        <v>1337.762207</v>
      </c>
      <c r="E442">
        <v>1321.6176757999999</v>
      </c>
      <c r="F442">
        <v>1317.6367187999999</v>
      </c>
      <c r="G442">
        <v>80</v>
      </c>
      <c r="H442">
        <v>79.945625304999993</v>
      </c>
      <c r="I442">
        <v>50</v>
      </c>
      <c r="J442">
        <v>14.999797821</v>
      </c>
      <c r="K442">
        <v>2400</v>
      </c>
      <c r="L442">
        <v>0</v>
      </c>
      <c r="M442">
        <v>0</v>
      </c>
      <c r="N442">
        <v>2400</v>
      </c>
    </row>
    <row r="443" spans="1:14" x14ac:dyDescent="0.25">
      <c r="A443">
        <v>54.038730999999999</v>
      </c>
      <c r="B443" s="1">
        <f>DATE(2010,6,24) + TIME(0,55,46)</f>
        <v>40353.038726851853</v>
      </c>
      <c r="C443">
        <v>1340.1480713000001</v>
      </c>
      <c r="D443">
        <v>1337.7573242000001</v>
      </c>
      <c r="E443">
        <v>1321.6188964999999</v>
      </c>
      <c r="F443">
        <v>1317.6375731999999</v>
      </c>
      <c r="G443">
        <v>80</v>
      </c>
      <c r="H443">
        <v>79.945617675999998</v>
      </c>
      <c r="I443">
        <v>50</v>
      </c>
      <c r="J443">
        <v>14.999798775</v>
      </c>
      <c r="K443">
        <v>2400</v>
      </c>
      <c r="L443">
        <v>0</v>
      </c>
      <c r="M443">
        <v>0</v>
      </c>
      <c r="N443">
        <v>2400</v>
      </c>
    </row>
    <row r="444" spans="1:14" x14ac:dyDescent="0.25">
      <c r="A444">
        <v>54.248781000000001</v>
      </c>
      <c r="B444" s="1">
        <f>DATE(2010,6,24) + TIME(5,58,14)</f>
        <v>40353.248773148145</v>
      </c>
      <c r="C444">
        <v>1340.1447754000001</v>
      </c>
      <c r="D444">
        <v>1337.7548827999999</v>
      </c>
      <c r="E444">
        <v>1321.6195068</v>
      </c>
      <c r="F444">
        <v>1317.6379394999999</v>
      </c>
      <c r="G444">
        <v>80</v>
      </c>
      <c r="H444">
        <v>79.945617675999998</v>
      </c>
      <c r="I444">
        <v>50</v>
      </c>
      <c r="J444">
        <v>14.999798775</v>
      </c>
      <c r="K444">
        <v>2400</v>
      </c>
      <c r="L444">
        <v>0</v>
      </c>
      <c r="M444">
        <v>0</v>
      </c>
      <c r="N444">
        <v>2400</v>
      </c>
    </row>
    <row r="445" spans="1:14" x14ac:dyDescent="0.25">
      <c r="A445">
        <v>54.458832000000001</v>
      </c>
      <c r="B445" s="1">
        <f>DATE(2010,6,24) + TIME(11,0,43)</f>
        <v>40353.458831018521</v>
      </c>
      <c r="C445">
        <v>1340.1414795000001</v>
      </c>
      <c r="D445">
        <v>1337.7524414</v>
      </c>
      <c r="E445">
        <v>1321.6201172000001</v>
      </c>
      <c r="F445">
        <v>1317.6384277</v>
      </c>
      <c r="G445">
        <v>80</v>
      </c>
      <c r="H445">
        <v>79.945610045999999</v>
      </c>
      <c r="I445">
        <v>50</v>
      </c>
      <c r="J445">
        <v>14.999799727999999</v>
      </c>
      <c r="K445">
        <v>2400</v>
      </c>
      <c r="L445">
        <v>0</v>
      </c>
      <c r="M445">
        <v>0</v>
      </c>
      <c r="N445">
        <v>2400</v>
      </c>
    </row>
    <row r="446" spans="1:14" x14ac:dyDescent="0.25">
      <c r="A446">
        <v>54.668536000000003</v>
      </c>
      <c r="B446" s="1">
        <f>DATE(2010,6,24) + TIME(16,2,41)</f>
        <v>40353.668530092589</v>
      </c>
      <c r="C446">
        <v>1340.1383057</v>
      </c>
      <c r="D446">
        <v>1337.7501221</v>
      </c>
      <c r="E446">
        <v>1321.6207274999999</v>
      </c>
      <c r="F446">
        <v>1317.6387939000001</v>
      </c>
      <c r="G446">
        <v>80</v>
      </c>
      <c r="H446">
        <v>79.945610045999999</v>
      </c>
      <c r="I446">
        <v>50</v>
      </c>
      <c r="J446">
        <v>14.999800682</v>
      </c>
      <c r="K446">
        <v>2400</v>
      </c>
      <c r="L446">
        <v>0</v>
      </c>
      <c r="M446">
        <v>0</v>
      </c>
      <c r="N446">
        <v>2400</v>
      </c>
    </row>
    <row r="447" spans="1:14" x14ac:dyDescent="0.25">
      <c r="A447">
        <v>54.877701000000002</v>
      </c>
      <c r="B447" s="1">
        <f>DATE(2010,6,24) + TIME(21,3,53)</f>
        <v>40353.877696759257</v>
      </c>
      <c r="C447">
        <v>1340.1350098</v>
      </c>
      <c r="D447">
        <v>1337.7476807</v>
      </c>
      <c r="E447">
        <v>1321.6213379000001</v>
      </c>
      <c r="F447">
        <v>1317.6392822</v>
      </c>
      <c r="G447">
        <v>80</v>
      </c>
      <c r="H447">
        <v>79.945610045999999</v>
      </c>
      <c r="I447">
        <v>50</v>
      </c>
      <c r="J447">
        <v>14.999801636000001</v>
      </c>
      <c r="K447">
        <v>2400</v>
      </c>
      <c r="L447">
        <v>0</v>
      </c>
      <c r="M447">
        <v>0</v>
      </c>
      <c r="N447">
        <v>2400</v>
      </c>
    </row>
    <row r="448" spans="1:14" x14ac:dyDescent="0.25">
      <c r="A448">
        <v>55.086468000000004</v>
      </c>
      <c r="B448" s="1">
        <f>DATE(2010,6,25) + TIME(2,4,30)</f>
        <v>40354.086458333331</v>
      </c>
      <c r="C448">
        <v>1340.1318358999999</v>
      </c>
      <c r="D448">
        <v>1337.7453613</v>
      </c>
      <c r="E448">
        <v>1321.6219481999999</v>
      </c>
      <c r="F448">
        <v>1317.6396483999999</v>
      </c>
      <c r="G448">
        <v>80</v>
      </c>
      <c r="H448">
        <v>79.945610045999999</v>
      </c>
      <c r="I448">
        <v>50</v>
      </c>
      <c r="J448">
        <v>14.999801636000001</v>
      </c>
      <c r="K448">
        <v>2400</v>
      </c>
      <c r="L448">
        <v>0</v>
      </c>
      <c r="M448">
        <v>0</v>
      </c>
      <c r="N448">
        <v>2400</v>
      </c>
    </row>
    <row r="449" spans="1:14" x14ac:dyDescent="0.25">
      <c r="A449">
        <v>55.294972000000001</v>
      </c>
      <c r="B449" s="1">
        <f>DATE(2010,6,25) + TIME(7,4,45)</f>
        <v>40354.294965277775</v>
      </c>
      <c r="C449">
        <v>1340.1286620999999</v>
      </c>
      <c r="D449">
        <v>1337.7429199000001</v>
      </c>
      <c r="E449">
        <v>1321.6225586</v>
      </c>
      <c r="F449">
        <v>1317.6401367000001</v>
      </c>
      <c r="G449">
        <v>80</v>
      </c>
      <c r="H449">
        <v>79.945610045999999</v>
      </c>
      <c r="I449">
        <v>50</v>
      </c>
      <c r="J449">
        <v>14.999802589</v>
      </c>
      <c r="K449">
        <v>2400</v>
      </c>
      <c r="L449">
        <v>0</v>
      </c>
      <c r="M449">
        <v>0</v>
      </c>
      <c r="N449">
        <v>2400</v>
      </c>
    </row>
    <row r="450" spans="1:14" x14ac:dyDescent="0.25">
      <c r="A450">
        <v>55.503349</v>
      </c>
      <c r="B450" s="1">
        <f>DATE(2010,6,25) + TIME(12,4,49)</f>
        <v>40354.503344907411</v>
      </c>
      <c r="C450">
        <v>1340.1254882999999</v>
      </c>
      <c r="D450">
        <v>1337.7406006000001</v>
      </c>
      <c r="E450">
        <v>1321.6231689000001</v>
      </c>
      <c r="F450">
        <v>1317.6405029</v>
      </c>
      <c r="G450">
        <v>80</v>
      </c>
      <c r="H450">
        <v>79.945610045999999</v>
      </c>
      <c r="I450">
        <v>50</v>
      </c>
      <c r="J450">
        <v>14.999803543000001</v>
      </c>
      <c r="K450">
        <v>2400</v>
      </c>
      <c r="L450">
        <v>0</v>
      </c>
      <c r="M450">
        <v>0</v>
      </c>
      <c r="N450">
        <v>2400</v>
      </c>
    </row>
    <row r="451" spans="1:14" x14ac:dyDescent="0.25">
      <c r="A451">
        <v>55.711703999999997</v>
      </c>
      <c r="B451" s="1">
        <f>DATE(2010,6,25) + TIME(17,4,51)</f>
        <v>40354.711701388886</v>
      </c>
      <c r="C451">
        <v>1340.1223144999999</v>
      </c>
      <c r="D451">
        <v>1337.7382812000001</v>
      </c>
      <c r="E451">
        <v>1321.6237793</v>
      </c>
      <c r="F451">
        <v>1317.6409911999999</v>
      </c>
      <c r="G451">
        <v>80</v>
      </c>
      <c r="H451">
        <v>79.945610045999999</v>
      </c>
      <c r="I451">
        <v>50</v>
      </c>
      <c r="J451">
        <v>14.999803543000001</v>
      </c>
      <c r="K451">
        <v>2400</v>
      </c>
      <c r="L451">
        <v>0</v>
      </c>
      <c r="M451">
        <v>0</v>
      </c>
      <c r="N451">
        <v>2400</v>
      </c>
    </row>
    <row r="452" spans="1:14" x14ac:dyDescent="0.25">
      <c r="A452">
        <v>55.920059000000002</v>
      </c>
      <c r="B452" s="1">
        <f>DATE(2010,6,25) + TIME(22,4,53)</f>
        <v>40354.920057870368</v>
      </c>
      <c r="C452">
        <v>1340.1191406</v>
      </c>
      <c r="D452">
        <v>1337.7359618999999</v>
      </c>
      <c r="E452">
        <v>1321.6245117000001</v>
      </c>
      <c r="F452">
        <v>1317.6413574000001</v>
      </c>
      <c r="G452">
        <v>80</v>
      </c>
      <c r="H452">
        <v>79.945617675999998</v>
      </c>
      <c r="I452">
        <v>50</v>
      </c>
      <c r="J452">
        <v>14.999804497</v>
      </c>
      <c r="K452">
        <v>2400</v>
      </c>
      <c r="L452">
        <v>0</v>
      </c>
      <c r="M452">
        <v>0</v>
      </c>
      <c r="N452">
        <v>2400</v>
      </c>
    </row>
    <row r="453" spans="1:14" x14ac:dyDescent="0.25">
      <c r="A453">
        <v>56.128413999999999</v>
      </c>
      <c r="B453" s="1">
        <f>DATE(2010,6,26) + TIME(3,4,55)</f>
        <v>40355.12841435185</v>
      </c>
      <c r="C453">
        <v>1340.1160889</v>
      </c>
      <c r="D453">
        <v>1337.7335204999999</v>
      </c>
      <c r="E453">
        <v>1321.6251221</v>
      </c>
      <c r="F453">
        <v>1317.6418457</v>
      </c>
      <c r="G453">
        <v>80</v>
      </c>
      <c r="H453">
        <v>79.945617675999998</v>
      </c>
      <c r="I453">
        <v>50</v>
      </c>
      <c r="J453">
        <v>14.99980545</v>
      </c>
      <c r="K453">
        <v>2400</v>
      </c>
      <c r="L453">
        <v>0</v>
      </c>
      <c r="M453">
        <v>0</v>
      </c>
      <c r="N453">
        <v>2400</v>
      </c>
    </row>
    <row r="454" spans="1:14" x14ac:dyDescent="0.25">
      <c r="A454">
        <v>56.336770000000001</v>
      </c>
      <c r="B454" s="1">
        <f>DATE(2010,6,26) + TIME(8,4,56)</f>
        <v>40355.336759259262</v>
      </c>
      <c r="C454">
        <v>1340.1129149999999</v>
      </c>
      <c r="D454">
        <v>1337.7312012</v>
      </c>
      <c r="E454">
        <v>1321.6257324000001</v>
      </c>
      <c r="F454">
        <v>1317.6422118999999</v>
      </c>
      <c r="G454">
        <v>80</v>
      </c>
      <c r="H454">
        <v>79.945617675999998</v>
      </c>
      <c r="I454">
        <v>50</v>
      </c>
      <c r="J454">
        <v>14.999806403999999</v>
      </c>
      <c r="K454">
        <v>2400</v>
      </c>
      <c r="L454">
        <v>0</v>
      </c>
      <c r="M454">
        <v>0</v>
      </c>
      <c r="N454">
        <v>2400</v>
      </c>
    </row>
    <row r="455" spans="1:14" x14ac:dyDescent="0.25">
      <c r="A455">
        <v>56.545124999999999</v>
      </c>
      <c r="B455" s="1">
        <f>DATE(2010,6,26) + TIME(13,4,58)</f>
        <v>40355.545115740744</v>
      </c>
      <c r="C455">
        <v>1340.1098632999999</v>
      </c>
      <c r="D455">
        <v>1337.7290039</v>
      </c>
      <c r="E455">
        <v>1321.6263428</v>
      </c>
      <c r="F455">
        <v>1317.6427002</v>
      </c>
      <c r="G455">
        <v>80</v>
      </c>
      <c r="H455">
        <v>79.945617675999998</v>
      </c>
      <c r="I455">
        <v>50</v>
      </c>
      <c r="J455">
        <v>14.999806403999999</v>
      </c>
      <c r="K455">
        <v>2400</v>
      </c>
      <c r="L455">
        <v>0</v>
      </c>
      <c r="M455">
        <v>0</v>
      </c>
      <c r="N455">
        <v>2400</v>
      </c>
    </row>
    <row r="456" spans="1:14" x14ac:dyDescent="0.25">
      <c r="A456">
        <v>56.753480000000003</v>
      </c>
      <c r="B456" s="1">
        <f>DATE(2010,6,26) + TIME(18,5,0)</f>
        <v>40355.753472222219</v>
      </c>
      <c r="C456">
        <v>1340.1068115</v>
      </c>
      <c r="D456">
        <v>1337.7266846</v>
      </c>
      <c r="E456">
        <v>1321.6269531</v>
      </c>
      <c r="F456">
        <v>1317.6430664</v>
      </c>
      <c r="G456">
        <v>80</v>
      </c>
      <c r="H456">
        <v>79.945617675999998</v>
      </c>
      <c r="I456">
        <v>50</v>
      </c>
      <c r="J456">
        <v>14.999807358</v>
      </c>
      <c r="K456">
        <v>2400</v>
      </c>
      <c r="L456">
        <v>0</v>
      </c>
      <c r="M456">
        <v>0</v>
      </c>
      <c r="N456">
        <v>2400</v>
      </c>
    </row>
    <row r="457" spans="1:14" x14ac:dyDescent="0.25">
      <c r="A457">
        <v>56.961835000000001</v>
      </c>
      <c r="B457" s="1">
        <f>DATE(2010,6,26) + TIME(23,5,2)</f>
        <v>40355.961828703701</v>
      </c>
      <c r="C457">
        <v>1340.1036377</v>
      </c>
      <c r="D457">
        <v>1337.7243652</v>
      </c>
      <c r="E457">
        <v>1321.6275635</v>
      </c>
      <c r="F457">
        <v>1317.6435547000001</v>
      </c>
      <c r="G457">
        <v>80</v>
      </c>
      <c r="H457">
        <v>79.945625304999993</v>
      </c>
      <c r="I457">
        <v>50</v>
      </c>
      <c r="J457">
        <v>14.999808311000001</v>
      </c>
      <c r="K457">
        <v>2400</v>
      </c>
      <c r="L457">
        <v>0</v>
      </c>
      <c r="M457">
        <v>0</v>
      </c>
      <c r="N457">
        <v>2400</v>
      </c>
    </row>
    <row r="458" spans="1:14" x14ac:dyDescent="0.25">
      <c r="A458">
        <v>57.378546</v>
      </c>
      <c r="B458" s="1">
        <f>DATE(2010,6,27) + TIME(9,5,6)</f>
        <v>40356.378541666665</v>
      </c>
      <c r="C458">
        <v>1340.1007079999999</v>
      </c>
      <c r="D458">
        <v>1337.722168</v>
      </c>
      <c r="E458">
        <v>1321.6282959</v>
      </c>
      <c r="F458">
        <v>1317.644043</v>
      </c>
      <c r="G458">
        <v>80</v>
      </c>
      <c r="H458">
        <v>79.945632935000006</v>
      </c>
      <c r="I458">
        <v>50</v>
      </c>
      <c r="J458">
        <v>14.999809265</v>
      </c>
      <c r="K458">
        <v>2400</v>
      </c>
      <c r="L458">
        <v>0</v>
      </c>
      <c r="M458">
        <v>0</v>
      </c>
      <c r="N458">
        <v>2400</v>
      </c>
    </row>
    <row r="459" spans="1:14" x14ac:dyDescent="0.25">
      <c r="A459">
        <v>57.796469000000002</v>
      </c>
      <c r="B459" s="1">
        <f>DATE(2010,6,27) + TIME(19,6,54)</f>
        <v>40356.796458333331</v>
      </c>
      <c r="C459">
        <v>1340.0946045000001</v>
      </c>
      <c r="D459">
        <v>1337.7176514</v>
      </c>
      <c r="E459">
        <v>1321.6295166</v>
      </c>
      <c r="F459">
        <v>1317.6448975000001</v>
      </c>
      <c r="G459">
        <v>80</v>
      </c>
      <c r="H459">
        <v>79.945640564000001</v>
      </c>
      <c r="I459">
        <v>50</v>
      </c>
      <c r="J459">
        <v>14.999810219</v>
      </c>
      <c r="K459">
        <v>2400</v>
      </c>
      <c r="L459">
        <v>0</v>
      </c>
      <c r="M459">
        <v>0</v>
      </c>
      <c r="N459">
        <v>2400</v>
      </c>
    </row>
    <row r="460" spans="1:14" x14ac:dyDescent="0.25">
      <c r="A460">
        <v>58.219819999999999</v>
      </c>
      <c r="B460" s="1">
        <f>DATE(2010,6,28) + TIME(5,16,32)</f>
        <v>40357.219814814816</v>
      </c>
      <c r="C460">
        <v>1340.088501</v>
      </c>
      <c r="D460">
        <v>1337.7131348</v>
      </c>
      <c r="E460">
        <v>1321.6308594</v>
      </c>
      <c r="F460">
        <v>1317.6457519999999</v>
      </c>
      <c r="G460">
        <v>80</v>
      </c>
      <c r="H460">
        <v>79.945648192999997</v>
      </c>
      <c r="I460">
        <v>50</v>
      </c>
      <c r="J460">
        <v>14.999812126</v>
      </c>
      <c r="K460">
        <v>2400</v>
      </c>
      <c r="L460">
        <v>0</v>
      </c>
      <c r="M460">
        <v>0</v>
      </c>
      <c r="N460">
        <v>2400</v>
      </c>
    </row>
    <row r="461" spans="1:14" x14ac:dyDescent="0.25">
      <c r="A461">
        <v>58.649591000000001</v>
      </c>
      <c r="B461" s="1">
        <f>DATE(2010,6,28) + TIME(15,35,24)</f>
        <v>40357.649583333332</v>
      </c>
      <c r="C461">
        <v>1340.0823975000001</v>
      </c>
      <c r="D461">
        <v>1337.7084961</v>
      </c>
      <c r="E461">
        <v>1321.6322021000001</v>
      </c>
      <c r="F461">
        <v>1317.6467285000001</v>
      </c>
      <c r="G461">
        <v>80</v>
      </c>
      <c r="H461">
        <v>79.945655822999996</v>
      </c>
      <c r="I461">
        <v>50</v>
      </c>
      <c r="J461">
        <v>14.999814034</v>
      </c>
      <c r="K461">
        <v>2400</v>
      </c>
      <c r="L461">
        <v>0</v>
      </c>
      <c r="M461">
        <v>0</v>
      </c>
      <c r="N461">
        <v>2400</v>
      </c>
    </row>
    <row r="462" spans="1:14" x14ac:dyDescent="0.25">
      <c r="A462">
        <v>59.086880999999998</v>
      </c>
      <c r="B462" s="1">
        <f>DATE(2010,6,29) + TIME(2,5,6)</f>
        <v>40358.086875000001</v>
      </c>
      <c r="C462">
        <v>1340.0762939000001</v>
      </c>
      <c r="D462">
        <v>1337.7039795000001</v>
      </c>
      <c r="E462">
        <v>1321.6335449000001</v>
      </c>
      <c r="F462">
        <v>1317.6475829999999</v>
      </c>
      <c r="G462">
        <v>80</v>
      </c>
      <c r="H462">
        <v>79.945663452000005</v>
      </c>
      <c r="I462">
        <v>50</v>
      </c>
      <c r="J462">
        <v>14.999815941</v>
      </c>
      <c r="K462">
        <v>2400</v>
      </c>
      <c r="L462">
        <v>0</v>
      </c>
      <c r="M462">
        <v>0</v>
      </c>
      <c r="N462">
        <v>2400</v>
      </c>
    </row>
    <row r="463" spans="1:14" x14ac:dyDescent="0.25">
      <c r="A463">
        <v>59.531829000000002</v>
      </c>
      <c r="B463" s="1">
        <f>DATE(2010,6,29) + TIME(12,45,50)</f>
        <v>40358.531828703701</v>
      </c>
      <c r="C463">
        <v>1340.0700684000001</v>
      </c>
      <c r="D463">
        <v>1337.6993408000001</v>
      </c>
      <c r="E463">
        <v>1321.6348877</v>
      </c>
      <c r="F463">
        <v>1317.6485596</v>
      </c>
      <c r="G463">
        <v>80</v>
      </c>
      <c r="H463">
        <v>79.945671082000004</v>
      </c>
      <c r="I463">
        <v>50</v>
      </c>
      <c r="J463">
        <v>14.999816895</v>
      </c>
      <c r="K463">
        <v>2400</v>
      </c>
      <c r="L463">
        <v>0</v>
      </c>
      <c r="M463">
        <v>0</v>
      </c>
      <c r="N463">
        <v>2400</v>
      </c>
    </row>
    <row r="464" spans="1:14" x14ac:dyDescent="0.25">
      <c r="A464">
        <v>59.756107999999998</v>
      </c>
      <c r="B464" s="1">
        <f>DATE(2010,6,29) + TIME(18,8,47)</f>
        <v>40358.756099537037</v>
      </c>
      <c r="C464">
        <v>1340.0637207</v>
      </c>
      <c r="D464">
        <v>1337.6945800999999</v>
      </c>
      <c r="E464">
        <v>1321.6363524999999</v>
      </c>
      <c r="F464">
        <v>1317.6495361</v>
      </c>
      <c r="G464">
        <v>80</v>
      </c>
      <c r="H464">
        <v>79.945663452000005</v>
      </c>
      <c r="I464">
        <v>50</v>
      </c>
      <c r="J464">
        <v>14.999818802</v>
      </c>
      <c r="K464">
        <v>2400</v>
      </c>
      <c r="L464">
        <v>0</v>
      </c>
      <c r="M464">
        <v>0</v>
      </c>
      <c r="N464">
        <v>2400</v>
      </c>
    </row>
    <row r="465" spans="1:14" x14ac:dyDescent="0.25">
      <c r="A465">
        <v>59.980376</v>
      </c>
      <c r="B465" s="1">
        <f>DATE(2010,6,29) + TIME(23,31,44)</f>
        <v>40358.980370370373</v>
      </c>
      <c r="C465">
        <v>1340.0605469</v>
      </c>
      <c r="D465">
        <v>1337.6921387</v>
      </c>
      <c r="E465">
        <v>1321.6370850000001</v>
      </c>
      <c r="F465">
        <v>1317.6500243999999</v>
      </c>
      <c r="G465">
        <v>80</v>
      </c>
      <c r="H465">
        <v>79.945663452000005</v>
      </c>
      <c r="I465">
        <v>50</v>
      </c>
      <c r="J465">
        <v>14.999819756000001</v>
      </c>
      <c r="K465">
        <v>2400</v>
      </c>
      <c r="L465">
        <v>0</v>
      </c>
      <c r="M465">
        <v>0</v>
      </c>
      <c r="N465">
        <v>2400</v>
      </c>
    </row>
    <row r="466" spans="1:14" x14ac:dyDescent="0.25">
      <c r="A466">
        <v>60.203896</v>
      </c>
      <c r="B466" s="1">
        <f>DATE(2010,6,30) + TIME(4,53,36)</f>
        <v>40359.203888888886</v>
      </c>
      <c r="C466">
        <v>1340.0574951000001</v>
      </c>
      <c r="D466">
        <v>1337.6898193</v>
      </c>
      <c r="E466">
        <v>1321.6378173999999</v>
      </c>
      <c r="F466">
        <v>1317.6505127</v>
      </c>
      <c r="G466">
        <v>80</v>
      </c>
      <c r="H466">
        <v>79.945663452000005</v>
      </c>
      <c r="I466">
        <v>50</v>
      </c>
      <c r="J466">
        <v>14.999820709</v>
      </c>
      <c r="K466">
        <v>2400</v>
      </c>
      <c r="L466">
        <v>0</v>
      </c>
      <c r="M466">
        <v>0</v>
      </c>
      <c r="N466">
        <v>2400</v>
      </c>
    </row>
    <row r="467" spans="1:14" x14ac:dyDescent="0.25">
      <c r="A467">
        <v>60.426810000000003</v>
      </c>
      <c r="B467" s="1">
        <f>DATE(2010,6,30) + TIME(10,14,36)</f>
        <v>40359.426805555559</v>
      </c>
      <c r="C467">
        <v>1340.0543213000001</v>
      </c>
      <c r="D467">
        <v>1337.6875</v>
      </c>
      <c r="E467">
        <v>1321.6385498</v>
      </c>
      <c r="F467">
        <v>1317.651001</v>
      </c>
      <c r="G467">
        <v>80</v>
      </c>
      <c r="H467">
        <v>79.945663452000005</v>
      </c>
      <c r="I467">
        <v>50</v>
      </c>
      <c r="J467">
        <v>14.999822617</v>
      </c>
      <c r="K467">
        <v>2400</v>
      </c>
      <c r="L467">
        <v>0</v>
      </c>
      <c r="M467">
        <v>0</v>
      </c>
      <c r="N467">
        <v>2400</v>
      </c>
    </row>
    <row r="468" spans="1:14" x14ac:dyDescent="0.25">
      <c r="A468">
        <v>60.649267999999999</v>
      </c>
      <c r="B468" s="1">
        <f>DATE(2010,6,30) + TIME(15,34,56)</f>
        <v>40359.649259259262</v>
      </c>
      <c r="C468">
        <v>1340.0512695</v>
      </c>
      <c r="D468">
        <v>1337.6851807</v>
      </c>
      <c r="E468">
        <v>1321.6392822</v>
      </c>
      <c r="F468">
        <v>1317.6514893000001</v>
      </c>
      <c r="G468">
        <v>80</v>
      </c>
      <c r="H468">
        <v>79.945671082000004</v>
      </c>
      <c r="I468">
        <v>50</v>
      </c>
      <c r="J468">
        <v>14.99982357</v>
      </c>
      <c r="K468">
        <v>2400</v>
      </c>
      <c r="L468">
        <v>0</v>
      </c>
      <c r="M468">
        <v>0</v>
      </c>
      <c r="N468">
        <v>2400</v>
      </c>
    </row>
    <row r="469" spans="1:14" x14ac:dyDescent="0.25">
      <c r="A469">
        <v>61</v>
      </c>
      <c r="B469" s="1">
        <f>DATE(2010,7,1) + TIME(0,0,0)</f>
        <v>40360</v>
      </c>
      <c r="C469">
        <v>1340.0482178</v>
      </c>
      <c r="D469">
        <v>1337.6829834</v>
      </c>
      <c r="E469">
        <v>1321.6400146000001</v>
      </c>
      <c r="F469">
        <v>1317.6519774999999</v>
      </c>
      <c r="G469">
        <v>80</v>
      </c>
      <c r="H469">
        <v>79.945678710999999</v>
      </c>
      <c r="I469">
        <v>50</v>
      </c>
      <c r="J469">
        <v>14.999825478</v>
      </c>
      <c r="K469">
        <v>2400</v>
      </c>
      <c r="L469">
        <v>0</v>
      </c>
      <c r="M469">
        <v>0</v>
      </c>
      <c r="N469">
        <v>2400</v>
      </c>
    </row>
    <row r="470" spans="1:14" x14ac:dyDescent="0.25">
      <c r="A470">
        <v>61.222144</v>
      </c>
      <c r="B470" s="1">
        <f>DATE(2010,7,1) + TIME(5,19,53)</f>
        <v>40360.222141203703</v>
      </c>
      <c r="C470">
        <v>1340.043457</v>
      </c>
      <c r="D470">
        <v>1337.6793213000001</v>
      </c>
      <c r="E470">
        <v>1321.6411132999999</v>
      </c>
      <c r="F470">
        <v>1317.6527100000001</v>
      </c>
      <c r="G470">
        <v>80</v>
      </c>
      <c r="H470">
        <v>79.945678710999999</v>
      </c>
      <c r="I470">
        <v>50</v>
      </c>
      <c r="J470">
        <v>14.999827385</v>
      </c>
      <c r="K470">
        <v>2400</v>
      </c>
      <c r="L470">
        <v>0</v>
      </c>
      <c r="M470">
        <v>0</v>
      </c>
      <c r="N470">
        <v>2400</v>
      </c>
    </row>
    <row r="471" spans="1:14" x14ac:dyDescent="0.25">
      <c r="A471">
        <v>61.444096000000002</v>
      </c>
      <c r="B471" s="1">
        <f>DATE(2010,7,1) + TIME(10,39,29)</f>
        <v>40360.444085648145</v>
      </c>
      <c r="C471">
        <v>1340.0404053</v>
      </c>
      <c r="D471">
        <v>1337.6770019999999</v>
      </c>
      <c r="E471">
        <v>1321.6418457</v>
      </c>
      <c r="F471">
        <v>1317.6531981999999</v>
      </c>
      <c r="G471">
        <v>80</v>
      </c>
      <c r="H471">
        <v>79.945678710999999</v>
      </c>
      <c r="I471">
        <v>50</v>
      </c>
      <c r="J471">
        <v>14.999828339</v>
      </c>
      <c r="K471">
        <v>2400</v>
      </c>
      <c r="L471">
        <v>0</v>
      </c>
      <c r="M471">
        <v>0</v>
      </c>
      <c r="N471">
        <v>2400</v>
      </c>
    </row>
    <row r="472" spans="1:14" x14ac:dyDescent="0.25">
      <c r="A472">
        <v>61.666046999999999</v>
      </c>
      <c r="B472" s="1">
        <f>DATE(2010,7,1) + TIME(15,59,6)</f>
        <v>40360.666041666664</v>
      </c>
      <c r="C472">
        <v>1340.0373535000001</v>
      </c>
      <c r="D472">
        <v>1337.6746826000001</v>
      </c>
      <c r="E472">
        <v>1321.6425781</v>
      </c>
      <c r="F472">
        <v>1317.6536865</v>
      </c>
      <c r="G472">
        <v>80</v>
      </c>
      <c r="H472">
        <v>79.945686339999995</v>
      </c>
      <c r="I472">
        <v>50</v>
      </c>
      <c r="J472">
        <v>14.999830246</v>
      </c>
      <c r="K472">
        <v>2400</v>
      </c>
      <c r="L472">
        <v>0</v>
      </c>
      <c r="M472">
        <v>0</v>
      </c>
      <c r="N472">
        <v>2400</v>
      </c>
    </row>
    <row r="473" spans="1:14" x14ac:dyDescent="0.25">
      <c r="A473">
        <v>61.887998000000003</v>
      </c>
      <c r="B473" s="1">
        <f>DATE(2010,7,1) + TIME(21,18,43)</f>
        <v>40360.887997685182</v>
      </c>
      <c r="C473">
        <v>1340.0343018000001</v>
      </c>
      <c r="D473">
        <v>1337.6724853999999</v>
      </c>
      <c r="E473">
        <v>1321.6433105000001</v>
      </c>
      <c r="F473">
        <v>1317.6541748</v>
      </c>
      <c r="G473">
        <v>80</v>
      </c>
      <c r="H473">
        <v>79.945686339999995</v>
      </c>
      <c r="I473">
        <v>50</v>
      </c>
      <c r="J473">
        <v>14.999832153</v>
      </c>
      <c r="K473">
        <v>2400</v>
      </c>
      <c r="L473">
        <v>0</v>
      </c>
      <c r="M473">
        <v>0</v>
      </c>
      <c r="N473">
        <v>2400</v>
      </c>
    </row>
    <row r="474" spans="1:14" x14ac:dyDescent="0.25">
      <c r="A474">
        <v>62.109949</v>
      </c>
      <c r="B474" s="1">
        <f>DATE(2010,7,2) + TIME(2,38,19)</f>
        <v>40361.109942129631</v>
      </c>
      <c r="C474">
        <v>1340.0313721</v>
      </c>
      <c r="D474">
        <v>1337.6702881000001</v>
      </c>
      <c r="E474">
        <v>1321.644043</v>
      </c>
      <c r="F474">
        <v>1317.6547852000001</v>
      </c>
      <c r="G474">
        <v>80</v>
      </c>
      <c r="H474">
        <v>79.945686339999995</v>
      </c>
      <c r="I474">
        <v>50</v>
      </c>
      <c r="J474">
        <v>14.999834061</v>
      </c>
      <c r="K474">
        <v>2400</v>
      </c>
      <c r="L474">
        <v>0</v>
      </c>
      <c r="M474">
        <v>0</v>
      </c>
      <c r="N474">
        <v>2400</v>
      </c>
    </row>
    <row r="475" spans="1:14" x14ac:dyDescent="0.25">
      <c r="A475">
        <v>62.331899999999997</v>
      </c>
      <c r="B475" s="1">
        <f>DATE(2010,7,2) + TIME(7,57,56)</f>
        <v>40361.33189814815</v>
      </c>
      <c r="C475">
        <v>1340.0284423999999</v>
      </c>
      <c r="D475">
        <v>1337.6679687999999</v>
      </c>
      <c r="E475">
        <v>1321.6447754000001</v>
      </c>
      <c r="F475">
        <v>1317.6552733999999</v>
      </c>
      <c r="G475">
        <v>80</v>
      </c>
      <c r="H475">
        <v>79.945693969999994</v>
      </c>
      <c r="I475">
        <v>50</v>
      </c>
      <c r="J475">
        <v>14.999835967999999</v>
      </c>
      <c r="K475">
        <v>2400</v>
      </c>
      <c r="L475">
        <v>0</v>
      </c>
      <c r="M475">
        <v>0</v>
      </c>
      <c r="N475">
        <v>2400</v>
      </c>
    </row>
    <row r="476" spans="1:14" x14ac:dyDescent="0.25">
      <c r="A476">
        <v>62.775803000000003</v>
      </c>
      <c r="B476" s="1">
        <f>DATE(2010,7,2) + TIME(18,37,9)</f>
        <v>40361.77579861111</v>
      </c>
      <c r="C476">
        <v>1340.0255127</v>
      </c>
      <c r="D476">
        <v>1337.6657714999999</v>
      </c>
      <c r="E476">
        <v>1321.6456298999999</v>
      </c>
      <c r="F476">
        <v>1317.6557617000001</v>
      </c>
      <c r="G476">
        <v>80</v>
      </c>
      <c r="H476">
        <v>79.945709229000002</v>
      </c>
      <c r="I476">
        <v>50</v>
      </c>
      <c r="J476">
        <v>14.999838829</v>
      </c>
      <c r="K476">
        <v>2400</v>
      </c>
      <c r="L476">
        <v>0</v>
      </c>
      <c r="M476">
        <v>0</v>
      </c>
      <c r="N476">
        <v>2400</v>
      </c>
    </row>
    <row r="477" spans="1:14" x14ac:dyDescent="0.25">
      <c r="A477">
        <v>63.219791999999998</v>
      </c>
      <c r="B477" s="1">
        <f>DATE(2010,7,3) + TIME(5,16,30)</f>
        <v>40362.21979166667</v>
      </c>
      <c r="C477">
        <v>1340.0195312000001</v>
      </c>
      <c r="D477">
        <v>1337.6613769999999</v>
      </c>
      <c r="E477">
        <v>1321.6470947</v>
      </c>
      <c r="F477">
        <v>1317.6567382999999</v>
      </c>
      <c r="G477">
        <v>80</v>
      </c>
      <c r="H477">
        <v>79.945724487000007</v>
      </c>
      <c r="I477">
        <v>50</v>
      </c>
      <c r="J477">
        <v>14.999842643999999</v>
      </c>
      <c r="K477">
        <v>2400</v>
      </c>
      <c r="L477">
        <v>0</v>
      </c>
      <c r="M477">
        <v>0</v>
      </c>
      <c r="N477">
        <v>2400</v>
      </c>
    </row>
    <row r="478" spans="1:14" x14ac:dyDescent="0.25">
      <c r="A478">
        <v>63.668706999999998</v>
      </c>
      <c r="B478" s="1">
        <f>DATE(2010,7,3) + TIME(16,2,56)</f>
        <v>40362.668703703705</v>
      </c>
      <c r="C478">
        <v>1340.0136719</v>
      </c>
      <c r="D478">
        <v>1337.6569824000001</v>
      </c>
      <c r="E478">
        <v>1321.6486815999999</v>
      </c>
      <c r="F478">
        <v>1317.6578368999999</v>
      </c>
      <c r="G478">
        <v>80</v>
      </c>
      <c r="H478">
        <v>79.945732117000006</v>
      </c>
      <c r="I478">
        <v>50</v>
      </c>
      <c r="J478">
        <v>14.999847411999999</v>
      </c>
      <c r="K478">
        <v>2400</v>
      </c>
      <c r="L478">
        <v>0</v>
      </c>
      <c r="M478">
        <v>0</v>
      </c>
      <c r="N478">
        <v>2400</v>
      </c>
    </row>
    <row r="479" spans="1:14" x14ac:dyDescent="0.25">
      <c r="A479">
        <v>64.123633999999996</v>
      </c>
      <c r="B479" s="1">
        <f>DATE(2010,7,4) + TIME(2,58,1)</f>
        <v>40363.123622685183</v>
      </c>
      <c r="C479">
        <v>1340.0078125</v>
      </c>
      <c r="D479">
        <v>1337.6524658000001</v>
      </c>
      <c r="E479">
        <v>1321.6501464999999</v>
      </c>
      <c r="F479">
        <v>1317.6588135</v>
      </c>
      <c r="G479">
        <v>80</v>
      </c>
      <c r="H479">
        <v>79.945739746000001</v>
      </c>
      <c r="I479">
        <v>50</v>
      </c>
      <c r="J479">
        <v>14.99985218</v>
      </c>
      <c r="K479">
        <v>2400</v>
      </c>
      <c r="L479">
        <v>0</v>
      </c>
      <c r="M479">
        <v>0</v>
      </c>
      <c r="N479">
        <v>2400</v>
      </c>
    </row>
    <row r="480" spans="1:14" x14ac:dyDescent="0.25">
      <c r="A480">
        <v>64.585742999999994</v>
      </c>
      <c r="B480" s="1">
        <f>DATE(2010,7,4) + TIME(14,3,28)</f>
        <v>40363.585740740738</v>
      </c>
      <c r="C480">
        <v>1340.0019531</v>
      </c>
      <c r="D480">
        <v>1337.6480713000001</v>
      </c>
      <c r="E480">
        <v>1321.6517334</v>
      </c>
      <c r="F480">
        <v>1317.6599120999999</v>
      </c>
      <c r="G480">
        <v>80</v>
      </c>
      <c r="H480">
        <v>79.945755004999995</v>
      </c>
      <c r="I480">
        <v>50</v>
      </c>
      <c r="J480">
        <v>14.999858855999999</v>
      </c>
      <c r="K480">
        <v>2400</v>
      </c>
      <c r="L480">
        <v>0</v>
      </c>
      <c r="M480">
        <v>0</v>
      </c>
      <c r="N480">
        <v>2400</v>
      </c>
    </row>
    <row r="481" spans="1:14" x14ac:dyDescent="0.25">
      <c r="A481">
        <v>65.054120999999995</v>
      </c>
      <c r="B481" s="1">
        <f>DATE(2010,7,5) + TIME(1,17,56)</f>
        <v>40364.054120370369</v>
      </c>
      <c r="C481">
        <v>1339.9959716999999</v>
      </c>
      <c r="D481">
        <v>1337.6435547000001</v>
      </c>
      <c r="E481">
        <v>1321.6534423999999</v>
      </c>
      <c r="F481">
        <v>1317.6610106999999</v>
      </c>
      <c r="G481">
        <v>80</v>
      </c>
      <c r="H481">
        <v>79.945762634000005</v>
      </c>
      <c r="I481">
        <v>50</v>
      </c>
      <c r="J481">
        <v>14.999865531999999</v>
      </c>
      <c r="K481">
        <v>2400</v>
      </c>
      <c r="L481">
        <v>0</v>
      </c>
      <c r="M481">
        <v>0</v>
      </c>
      <c r="N481">
        <v>2400</v>
      </c>
    </row>
    <row r="482" spans="1:14" x14ac:dyDescent="0.25">
      <c r="A482">
        <v>65.528570000000002</v>
      </c>
      <c r="B482" s="1">
        <f>DATE(2010,7,5) + TIME(12,41,8)</f>
        <v>40364.528564814813</v>
      </c>
      <c r="C482">
        <v>1339.9899902</v>
      </c>
      <c r="D482">
        <v>1337.6390381000001</v>
      </c>
      <c r="E482">
        <v>1321.6551514</v>
      </c>
      <c r="F482">
        <v>1317.6621094</v>
      </c>
      <c r="G482">
        <v>80</v>
      </c>
      <c r="H482">
        <v>79.945777892999999</v>
      </c>
      <c r="I482">
        <v>50</v>
      </c>
      <c r="J482">
        <v>14.999873161</v>
      </c>
      <c r="K482">
        <v>2400</v>
      </c>
      <c r="L482">
        <v>0</v>
      </c>
      <c r="M482">
        <v>0</v>
      </c>
      <c r="N482">
        <v>2400</v>
      </c>
    </row>
    <row r="483" spans="1:14" x14ac:dyDescent="0.25">
      <c r="A483">
        <v>65.766948999999997</v>
      </c>
      <c r="B483" s="1">
        <f>DATE(2010,7,5) + TIME(18,24,24)</f>
        <v>40364.766944444447</v>
      </c>
      <c r="C483">
        <v>1339.9838867000001</v>
      </c>
      <c r="D483">
        <v>1337.6343993999999</v>
      </c>
      <c r="E483">
        <v>1321.6567382999999</v>
      </c>
      <c r="F483">
        <v>1317.6632079999999</v>
      </c>
      <c r="G483">
        <v>80</v>
      </c>
      <c r="H483">
        <v>79.945770264000004</v>
      </c>
      <c r="I483">
        <v>50</v>
      </c>
      <c r="J483">
        <v>14.999878882999999</v>
      </c>
      <c r="K483">
        <v>2400</v>
      </c>
      <c r="L483">
        <v>0</v>
      </c>
      <c r="M483">
        <v>0</v>
      </c>
      <c r="N483">
        <v>2400</v>
      </c>
    </row>
    <row r="484" spans="1:14" x14ac:dyDescent="0.25">
      <c r="A484">
        <v>66.003918999999996</v>
      </c>
      <c r="B484" s="1">
        <f>DATE(2010,7,6) + TIME(0,5,38)</f>
        <v>40365.003912037035</v>
      </c>
      <c r="C484">
        <v>1339.9808350000001</v>
      </c>
      <c r="D484">
        <v>1337.6320800999999</v>
      </c>
      <c r="E484">
        <v>1321.6575928</v>
      </c>
      <c r="F484">
        <v>1317.6638184000001</v>
      </c>
      <c r="G484">
        <v>80</v>
      </c>
      <c r="H484">
        <v>79.945777892999999</v>
      </c>
      <c r="I484">
        <v>50</v>
      </c>
      <c r="J484">
        <v>14.999884605</v>
      </c>
      <c r="K484">
        <v>2400</v>
      </c>
      <c r="L484">
        <v>0</v>
      </c>
      <c r="M484">
        <v>0</v>
      </c>
      <c r="N484">
        <v>2400</v>
      </c>
    </row>
    <row r="485" spans="1:14" x14ac:dyDescent="0.25">
      <c r="A485">
        <v>66.240286999999995</v>
      </c>
      <c r="B485" s="1">
        <f>DATE(2010,7,6) + TIME(5,46,0)</f>
        <v>40365.240277777775</v>
      </c>
      <c r="C485">
        <v>1339.9779053</v>
      </c>
      <c r="D485">
        <v>1337.6298827999999</v>
      </c>
      <c r="E485">
        <v>1321.6585693</v>
      </c>
      <c r="F485">
        <v>1317.6643065999999</v>
      </c>
      <c r="G485">
        <v>80</v>
      </c>
      <c r="H485">
        <v>79.945777892999999</v>
      </c>
      <c r="I485">
        <v>50</v>
      </c>
      <c r="J485">
        <v>14.999891281</v>
      </c>
      <c r="K485">
        <v>2400</v>
      </c>
      <c r="L485">
        <v>0</v>
      </c>
      <c r="M485">
        <v>0</v>
      </c>
      <c r="N485">
        <v>2400</v>
      </c>
    </row>
    <row r="486" spans="1:14" x14ac:dyDescent="0.25">
      <c r="A486">
        <v>66.476213999999999</v>
      </c>
      <c r="B486" s="1">
        <f>DATE(2010,7,6) + TIME(11,25,44)</f>
        <v>40365.476203703707</v>
      </c>
      <c r="C486">
        <v>1339.9749756000001</v>
      </c>
      <c r="D486">
        <v>1337.6276855000001</v>
      </c>
      <c r="E486">
        <v>1321.6594238</v>
      </c>
      <c r="F486">
        <v>1317.6649170000001</v>
      </c>
      <c r="G486">
        <v>80</v>
      </c>
      <c r="H486">
        <v>79.945777892999999</v>
      </c>
      <c r="I486">
        <v>50</v>
      </c>
      <c r="J486">
        <v>14.999897002999999</v>
      </c>
      <c r="K486">
        <v>2400</v>
      </c>
      <c r="L486">
        <v>0</v>
      </c>
      <c r="M486">
        <v>0</v>
      </c>
      <c r="N486">
        <v>2400</v>
      </c>
    </row>
    <row r="487" spans="1:14" x14ac:dyDescent="0.25">
      <c r="A487">
        <v>66.711856999999995</v>
      </c>
      <c r="B487" s="1">
        <f>DATE(2010,7,6) + TIME(17,5,4)</f>
        <v>40365.711851851855</v>
      </c>
      <c r="C487">
        <v>1339.9720459</v>
      </c>
      <c r="D487">
        <v>1337.6253661999999</v>
      </c>
      <c r="E487">
        <v>1321.6602783000001</v>
      </c>
      <c r="F487">
        <v>1317.6655272999999</v>
      </c>
      <c r="G487">
        <v>80</v>
      </c>
      <c r="H487">
        <v>79.945785521999994</v>
      </c>
      <c r="I487">
        <v>50</v>
      </c>
      <c r="J487">
        <v>14.999904633</v>
      </c>
      <c r="K487">
        <v>2400</v>
      </c>
      <c r="L487">
        <v>0</v>
      </c>
      <c r="M487">
        <v>0</v>
      </c>
      <c r="N487">
        <v>2400</v>
      </c>
    </row>
    <row r="488" spans="1:14" x14ac:dyDescent="0.25">
      <c r="A488">
        <v>66.947367</v>
      </c>
      <c r="B488" s="1">
        <f>DATE(2010,7,6) + TIME(22,44,12)</f>
        <v>40365.94736111111</v>
      </c>
      <c r="C488">
        <v>1339.9691161999999</v>
      </c>
      <c r="D488">
        <v>1337.6231689000001</v>
      </c>
      <c r="E488">
        <v>1321.6611327999999</v>
      </c>
      <c r="F488">
        <v>1317.6661377</v>
      </c>
      <c r="G488">
        <v>80</v>
      </c>
      <c r="H488">
        <v>79.945793151999993</v>
      </c>
      <c r="I488">
        <v>50</v>
      </c>
      <c r="J488">
        <v>14.999911308</v>
      </c>
      <c r="K488">
        <v>2400</v>
      </c>
      <c r="L488">
        <v>0</v>
      </c>
      <c r="M488">
        <v>0</v>
      </c>
      <c r="N488">
        <v>2400</v>
      </c>
    </row>
    <row r="489" spans="1:14" x14ac:dyDescent="0.25">
      <c r="A489">
        <v>67.182877000000005</v>
      </c>
      <c r="B489" s="1">
        <f>DATE(2010,7,7) + TIME(4,23,20)</f>
        <v>40366.182870370372</v>
      </c>
      <c r="C489">
        <v>1339.9661865</v>
      </c>
      <c r="D489">
        <v>1337.6209716999999</v>
      </c>
      <c r="E489">
        <v>1321.6619873</v>
      </c>
      <c r="F489">
        <v>1317.666626</v>
      </c>
      <c r="G489">
        <v>80</v>
      </c>
      <c r="H489">
        <v>79.945793151999993</v>
      </c>
      <c r="I489">
        <v>50</v>
      </c>
      <c r="J489">
        <v>14.999918938</v>
      </c>
      <c r="K489">
        <v>2400</v>
      </c>
      <c r="L489">
        <v>0</v>
      </c>
      <c r="M489">
        <v>0</v>
      </c>
      <c r="N489">
        <v>2400</v>
      </c>
    </row>
    <row r="490" spans="1:14" x14ac:dyDescent="0.25">
      <c r="A490">
        <v>67.418387999999993</v>
      </c>
      <c r="B490" s="1">
        <f>DATE(2010,7,7) + TIME(10,2,28)</f>
        <v>40366.418379629627</v>
      </c>
      <c r="C490">
        <v>1339.9632568</v>
      </c>
      <c r="D490">
        <v>1337.6187743999999</v>
      </c>
      <c r="E490">
        <v>1321.6628418</v>
      </c>
      <c r="F490">
        <v>1317.6672363</v>
      </c>
      <c r="G490">
        <v>80</v>
      </c>
      <c r="H490">
        <v>79.945800781000003</v>
      </c>
      <c r="I490">
        <v>50</v>
      </c>
      <c r="J490">
        <v>14.999927521</v>
      </c>
      <c r="K490">
        <v>2400</v>
      </c>
      <c r="L490">
        <v>0</v>
      </c>
      <c r="M490">
        <v>0</v>
      </c>
      <c r="N490">
        <v>2400</v>
      </c>
    </row>
    <row r="491" spans="1:14" x14ac:dyDescent="0.25">
      <c r="A491">
        <v>67.653897999999998</v>
      </c>
      <c r="B491" s="1">
        <f>DATE(2010,7,7) + TIME(15,41,36)</f>
        <v>40366.65388888889</v>
      </c>
      <c r="C491">
        <v>1339.9603271000001</v>
      </c>
      <c r="D491">
        <v>1337.6165771000001</v>
      </c>
      <c r="E491">
        <v>1321.6638184000001</v>
      </c>
      <c r="F491">
        <v>1317.6678466999999</v>
      </c>
      <c r="G491">
        <v>80</v>
      </c>
      <c r="H491">
        <v>79.945808411000002</v>
      </c>
      <c r="I491">
        <v>50</v>
      </c>
      <c r="J491">
        <v>14.999936104</v>
      </c>
      <c r="K491">
        <v>2400</v>
      </c>
      <c r="L491">
        <v>0</v>
      </c>
      <c r="M491">
        <v>0</v>
      </c>
      <c r="N491">
        <v>2400</v>
      </c>
    </row>
    <row r="492" spans="1:14" x14ac:dyDescent="0.25">
      <c r="A492">
        <v>67.889408000000003</v>
      </c>
      <c r="B492" s="1">
        <f>DATE(2010,7,7) + TIME(21,20,44)</f>
        <v>40366.889398148145</v>
      </c>
      <c r="C492">
        <v>1339.9575195</v>
      </c>
      <c r="D492">
        <v>1337.6143798999999</v>
      </c>
      <c r="E492">
        <v>1321.6646728999999</v>
      </c>
      <c r="F492">
        <v>1317.668457</v>
      </c>
      <c r="G492">
        <v>80</v>
      </c>
      <c r="H492">
        <v>79.945816039999997</v>
      </c>
      <c r="I492">
        <v>50</v>
      </c>
      <c r="J492">
        <v>14.999945641</v>
      </c>
      <c r="K492">
        <v>2400</v>
      </c>
      <c r="L492">
        <v>0</v>
      </c>
      <c r="M492">
        <v>0</v>
      </c>
      <c r="N492">
        <v>2400</v>
      </c>
    </row>
    <row r="493" spans="1:14" x14ac:dyDescent="0.25">
      <c r="A493">
        <v>68.124919000000006</v>
      </c>
      <c r="B493" s="1">
        <f>DATE(2010,7,8) + TIME(2,59,52)</f>
        <v>40367.124907407408</v>
      </c>
      <c r="C493">
        <v>1339.9545897999999</v>
      </c>
      <c r="D493">
        <v>1337.6121826000001</v>
      </c>
      <c r="E493">
        <v>1321.6655272999999</v>
      </c>
      <c r="F493">
        <v>1317.6689452999999</v>
      </c>
      <c r="G493">
        <v>80</v>
      </c>
      <c r="H493">
        <v>79.945816039999997</v>
      </c>
      <c r="I493">
        <v>50</v>
      </c>
      <c r="J493">
        <v>14.999956130999999</v>
      </c>
      <c r="K493">
        <v>2400</v>
      </c>
      <c r="L493">
        <v>0</v>
      </c>
      <c r="M493">
        <v>0</v>
      </c>
      <c r="N493">
        <v>2400</v>
      </c>
    </row>
    <row r="494" spans="1:14" x14ac:dyDescent="0.25">
      <c r="A494">
        <v>68.360428999999996</v>
      </c>
      <c r="B494" s="1">
        <f>DATE(2010,7,8) + TIME(8,39,1)</f>
        <v>40367.36042824074</v>
      </c>
      <c r="C494">
        <v>1339.9517822</v>
      </c>
      <c r="D494">
        <v>1337.6101074000001</v>
      </c>
      <c r="E494">
        <v>1321.6665039</v>
      </c>
      <c r="F494">
        <v>1317.6695557</v>
      </c>
      <c r="G494">
        <v>80</v>
      </c>
      <c r="H494">
        <v>79.945823669000006</v>
      </c>
      <c r="I494">
        <v>50</v>
      </c>
      <c r="J494">
        <v>14.999966621</v>
      </c>
      <c r="K494">
        <v>2400</v>
      </c>
      <c r="L494">
        <v>0</v>
      </c>
      <c r="M494">
        <v>0</v>
      </c>
      <c r="N494">
        <v>2400</v>
      </c>
    </row>
    <row r="495" spans="1:14" x14ac:dyDescent="0.25">
      <c r="A495">
        <v>68.831450000000004</v>
      </c>
      <c r="B495" s="1">
        <f>DATE(2010,7,8) + TIME(19,57,17)</f>
        <v>40367.831446759257</v>
      </c>
      <c r="C495">
        <v>1339.9489745999999</v>
      </c>
      <c r="D495">
        <v>1337.6079102000001</v>
      </c>
      <c r="E495">
        <v>1321.6673584</v>
      </c>
      <c r="F495">
        <v>1317.6701660000001</v>
      </c>
      <c r="G495">
        <v>80</v>
      </c>
      <c r="H495">
        <v>79.945846558</v>
      </c>
      <c r="I495">
        <v>50</v>
      </c>
      <c r="J495">
        <v>14.999985694999999</v>
      </c>
      <c r="K495">
        <v>2400</v>
      </c>
      <c r="L495">
        <v>0</v>
      </c>
      <c r="M495">
        <v>0</v>
      </c>
      <c r="N495">
        <v>2400</v>
      </c>
    </row>
    <row r="496" spans="1:14" x14ac:dyDescent="0.25">
      <c r="A496">
        <v>69.303650000000005</v>
      </c>
      <c r="B496" s="1">
        <f>DATE(2010,7,9) + TIME(7,17,15)</f>
        <v>40368.30364583333</v>
      </c>
      <c r="C496">
        <v>1339.9433594</v>
      </c>
      <c r="D496">
        <v>1337.6036377</v>
      </c>
      <c r="E496">
        <v>1321.6691894999999</v>
      </c>
      <c r="F496">
        <v>1317.6713867000001</v>
      </c>
      <c r="G496">
        <v>80</v>
      </c>
      <c r="H496">
        <v>79.945861816000004</v>
      </c>
      <c r="I496">
        <v>50</v>
      </c>
      <c r="J496">
        <v>15.000009537</v>
      </c>
      <c r="K496">
        <v>2400</v>
      </c>
      <c r="L496">
        <v>0</v>
      </c>
      <c r="M496">
        <v>0</v>
      </c>
      <c r="N496">
        <v>2400</v>
      </c>
    </row>
    <row r="497" spans="1:14" x14ac:dyDescent="0.25">
      <c r="A497">
        <v>69.781271000000004</v>
      </c>
      <c r="B497" s="1">
        <f>DATE(2010,7,9) + TIME(18,45,1)</f>
        <v>40368.781261574077</v>
      </c>
      <c r="C497">
        <v>1339.9377440999999</v>
      </c>
      <c r="D497">
        <v>1337.5993652</v>
      </c>
      <c r="E497">
        <v>1321.6711425999999</v>
      </c>
      <c r="F497">
        <v>1317.6726074000001</v>
      </c>
      <c r="G497">
        <v>80</v>
      </c>
      <c r="H497">
        <v>79.945877074999999</v>
      </c>
      <c r="I497">
        <v>50</v>
      </c>
      <c r="J497">
        <v>15.000038147</v>
      </c>
      <c r="K497">
        <v>2400</v>
      </c>
      <c r="L497">
        <v>0</v>
      </c>
      <c r="M497">
        <v>0</v>
      </c>
      <c r="N497">
        <v>2400</v>
      </c>
    </row>
    <row r="498" spans="1:14" x14ac:dyDescent="0.25">
      <c r="A498">
        <v>70.265480999999994</v>
      </c>
      <c r="B498" s="1">
        <f>DATE(2010,7,10) + TIME(6,22,17)</f>
        <v>40369.265474537038</v>
      </c>
      <c r="C498">
        <v>1339.9320068</v>
      </c>
      <c r="D498">
        <v>1337.5950928</v>
      </c>
      <c r="E498">
        <v>1321.6729736</v>
      </c>
      <c r="F498">
        <v>1317.6738281</v>
      </c>
      <c r="G498">
        <v>80</v>
      </c>
      <c r="H498">
        <v>79.945892334000007</v>
      </c>
      <c r="I498">
        <v>50</v>
      </c>
      <c r="J498">
        <v>15.000071525999999</v>
      </c>
      <c r="K498">
        <v>2400</v>
      </c>
      <c r="L498">
        <v>0</v>
      </c>
      <c r="M498">
        <v>0</v>
      </c>
      <c r="N498">
        <v>2400</v>
      </c>
    </row>
    <row r="499" spans="1:14" x14ac:dyDescent="0.25">
      <c r="A499">
        <v>70.757532999999995</v>
      </c>
      <c r="B499" s="1">
        <f>DATE(2010,7,10) + TIME(18,10,50)</f>
        <v>40369.757523148146</v>
      </c>
      <c r="C499">
        <v>1339.9263916</v>
      </c>
      <c r="D499">
        <v>1337.5906981999999</v>
      </c>
      <c r="E499">
        <v>1321.6749268000001</v>
      </c>
      <c r="F499">
        <v>1317.6750488</v>
      </c>
      <c r="G499">
        <v>80</v>
      </c>
      <c r="H499">
        <v>79.945907593000001</v>
      </c>
      <c r="I499">
        <v>50</v>
      </c>
      <c r="J499">
        <v>15.000110626</v>
      </c>
      <c r="K499">
        <v>2400</v>
      </c>
      <c r="L499">
        <v>0</v>
      </c>
      <c r="M499">
        <v>0</v>
      </c>
      <c r="N499">
        <v>2400</v>
      </c>
    </row>
    <row r="500" spans="1:14" x14ac:dyDescent="0.25">
      <c r="A500">
        <v>71.255837999999997</v>
      </c>
      <c r="B500" s="1">
        <f>DATE(2010,7,11) + TIME(6,8,24)</f>
        <v>40370.255833333336</v>
      </c>
      <c r="C500">
        <v>1339.9206543</v>
      </c>
      <c r="D500">
        <v>1337.5864257999999</v>
      </c>
      <c r="E500">
        <v>1321.6768798999999</v>
      </c>
      <c r="F500">
        <v>1317.6763916</v>
      </c>
      <c r="G500">
        <v>80</v>
      </c>
      <c r="H500">
        <v>79.945922851999995</v>
      </c>
      <c r="I500">
        <v>50</v>
      </c>
      <c r="J500">
        <v>15.000157356000001</v>
      </c>
      <c r="K500">
        <v>2400</v>
      </c>
      <c r="L500">
        <v>0</v>
      </c>
      <c r="M500">
        <v>0</v>
      </c>
      <c r="N500">
        <v>2400</v>
      </c>
    </row>
    <row r="501" spans="1:14" x14ac:dyDescent="0.25">
      <c r="A501">
        <v>71.759956000000003</v>
      </c>
      <c r="B501" s="1">
        <f>DATE(2010,7,11) + TIME(18,14,20)</f>
        <v>40370.759953703702</v>
      </c>
      <c r="C501">
        <v>1339.9149170000001</v>
      </c>
      <c r="D501">
        <v>1337.5820312000001</v>
      </c>
      <c r="E501">
        <v>1321.6789550999999</v>
      </c>
      <c r="F501">
        <v>1317.6777344</v>
      </c>
      <c r="G501">
        <v>80</v>
      </c>
      <c r="H501">
        <v>79.94593811</v>
      </c>
      <c r="I501">
        <v>50</v>
      </c>
      <c r="J501">
        <v>15.000211716000001</v>
      </c>
      <c r="K501">
        <v>2400</v>
      </c>
      <c r="L501">
        <v>0</v>
      </c>
      <c r="M501">
        <v>0</v>
      </c>
      <c r="N501">
        <v>2400</v>
      </c>
    </row>
    <row r="502" spans="1:14" x14ac:dyDescent="0.25">
      <c r="A502">
        <v>72.012538000000006</v>
      </c>
      <c r="B502" s="1">
        <f>DATE(2010,7,12) + TIME(0,18,3)</f>
        <v>40371.01253472222</v>
      </c>
      <c r="C502">
        <v>1339.9090576000001</v>
      </c>
      <c r="D502">
        <v>1337.5775146000001</v>
      </c>
      <c r="E502">
        <v>1321.6810303</v>
      </c>
      <c r="F502">
        <v>1317.6790771000001</v>
      </c>
      <c r="G502">
        <v>80</v>
      </c>
      <c r="H502">
        <v>79.94593811</v>
      </c>
      <c r="I502">
        <v>50</v>
      </c>
      <c r="J502">
        <v>15.000250815999999</v>
      </c>
      <c r="K502">
        <v>2400</v>
      </c>
      <c r="L502">
        <v>0</v>
      </c>
      <c r="M502">
        <v>0</v>
      </c>
      <c r="N502">
        <v>2400</v>
      </c>
    </row>
    <row r="503" spans="1:14" x14ac:dyDescent="0.25">
      <c r="A503">
        <v>72.265119999999996</v>
      </c>
      <c r="B503" s="1">
        <f>DATE(2010,7,12) + TIME(6,21,46)</f>
        <v>40371.265115740738</v>
      </c>
      <c r="C503">
        <v>1339.9061279</v>
      </c>
      <c r="D503">
        <v>1337.5753173999999</v>
      </c>
      <c r="E503">
        <v>1321.6821289</v>
      </c>
      <c r="F503">
        <v>1317.6796875</v>
      </c>
      <c r="G503">
        <v>80</v>
      </c>
      <c r="H503">
        <v>79.94593811</v>
      </c>
      <c r="I503">
        <v>50</v>
      </c>
      <c r="J503">
        <v>15.000290871000001</v>
      </c>
      <c r="K503">
        <v>2400</v>
      </c>
      <c r="L503">
        <v>0</v>
      </c>
      <c r="M503">
        <v>0</v>
      </c>
      <c r="N503">
        <v>2400</v>
      </c>
    </row>
    <row r="504" spans="1:14" x14ac:dyDescent="0.25">
      <c r="A504">
        <v>72.517111999999997</v>
      </c>
      <c r="B504" s="1">
        <f>DATE(2010,7,12) + TIME(12,24,38)</f>
        <v>40371.517106481479</v>
      </c>
      <c r="C504">
        <v>1339.9033202999999</v>
      </c>
      <c r="D504">
        <v>1337.5731201000001</v>
      </c>
      <c r="E504">
        <v>1321.6832274999999</v>
      </c>
      <c r="F504">
        <v>1317.6804199000001</v>
      </c>
      <c r="G504">
        <v>80</v>
      </c>
      <c r="H504">
        <v>79.945945739999999</v>
      </c>
      <c r="I504">
        <v>50</v>
      </c>
      <c r="J504">
        <v>15.000333786000001</v>
      </c>
      <c r="K504">
        <v>2400</v>
      </c>
      <c r="L504">
        <v>0</v>
      </c>
      <c r="M504">
        <v>0</v>
      </c>
      <c r="N504">
        <v>2400</v>
      </c>
    </row>
    <row r="505" spans="1:14" x14ac:dyDescent="0.25">
      <c r="A505">
        <v>72.768641000000002</v>
      </c>
      <c r="B505" s="1">
        <f>DATE(2010,7,12) + TIME(18,26,50)</f>
        <v>40371.768634259257</v>
      </c>
      <c r="C505">
        <v>1339.9005127</v>
      </c>
      <c r="D505">
        <v>1337.5709228999999</v>
      </c>
      <c r="E505">
        <v>1321.6842041</v>
      </c>
      <c r="F505">
        <v>1317.6810303</v>
      </c>
      <c r="G505">
        <v>80</v>
      </c>
      <c r="H505">
        <v>79.945953368999994</v>
      </c>
      <c r="I505">
        <v>50</v>
      </c>
      <c r="J505">
        <v>15.000378609</v>
      </c>
      <c r="K505">
        <v>2400</v>
      </c>
      <c r="L505">
        <v>0</v>
      </c>
      <c r="M505">
        <v>0</v>
      </c>
      <c r="N505">
        <v>2400</v>
      </c>
    </row>
    <row r="506" spans="1:14" x14ac:dyDescent="0.25">
      <c r="A506">
        <v>73.019884000000005</v>
      </c>
      <c r="B506" s="1">
        <f>DATE(2010,7,13) + TIME(0,28,37)</f>
        <v>40372.019872685189</v>
      </c>
      <c r="C506">
        <v>1339.8975829999999</v>
      </c>
      <c r="D506">
        <v>1337.5687256000001</v>
      </c>
      <c r="E506">
        <v>1321.6853027</v>
      </c>
      <c r="F506">
        <v>1317.6817627</v>
      </c>
      <c r="G506">
        <v>80</v>
      </c>
      <c r="H506">
        <v>79.945960998999993</v>
      </c>
      <c r="I506">
        <v>50</v>
      </c>
      <c r="J506">
        <v>15.000425339</v>
      </c>
      <c r="K506">
        <v>2400</v>
      </c>
      <c r="L506">
        <v>0</v>
      </c>
      <c r="M506">
        <v>0</v>
      </c>
      <c r="N506">
        <v>2400</v>
      </c>
    </row>
    <row r="507" spans="1:14" x14ac:dyDescent="0.25">
      <c r="A507">
        <v>73.271011000000001</v>
      </c>
      <c r="B507" s="1">
        <f>DATE(2010,7,13) + TIME(6,30,15)</f>
        <v>40372.271006944444</v>
      </c>
      <c r="C507">
        <v>1339.8947754000001</v>
      </c>
      <c r="D507">
        <v>1337.5666504000001</v>
      </c>
      <c r="E507">
        <v>1321.6864014</v>
      </c>
      <c r="F507">
        <v>1317.6824951000001</v>
      </c>
      <c r="G507">
        <v>80</v>
      </c>
      <c r="H507">
        <v>79.945968628000003</v>
      </c>
      <c r="I507">
        <v>50</v>
      </c>
      <c r="J507">
        <v>15.000475883</v>
      </c>
      <c r="K507">
        <v>2400</v>
      </c>
      <c r="L507">
        <v>0</v>
      </c>
      <c r="M507">
        <v>0</v>
      </c>
      <c r="N507">
        <v>2400</v>
      </c>
    </row>
    <row r="508" spans="1:14" x14ac:dyDescent="0.25">
      <c r="A508">
        <v>73.522137999999998</v>
      </c>
      <c r="B508" s="1">
        <f>DATE(2010,7,13) + TIME(12,31,52)</f>
        <v>40372.522129629629</v>
      </c>
      <c r="C508">
        <v>1339.8919678</v>
      </c>
      <c r="D508">
        <v>1337.5644531</v>
      </c>
      <c r="E508">
        <v>1321.6875</v>
      </c>
      <c r="F508">
        <v>1317.6831055</v>
      </c>
      <c r="G508">
        <v>80</v>
      </c>
      <c r="H508">
        <v>79.945976256999998</v>
      </c>
      <c r="I508">
        <v>50</v>
      </c>
      <c r="J508">
        <v>15.000530243</v>
      </c>
      <c r="K508">
        <v>2400</v>
      </c>
      <c r="L508">
        <v>0</v>
      </c>
      <c r="M508">
        <v>0</v>
      </c>
      <c r="N508">
        <v>2400</v>
      </c>
    </row>
    <row r="509" spans="1:14" x14ac:dyDescent="0.25">
      <c r="A509">
        <v>73.773264999999995</v>
      </c>
      <c r="B509" s="1">
        <f>DATE(2010,7,13) + TIME(18,33,30)</f>
        <v>40372.773263888892</v>
      </c>
      <c r="C509">
        <v>1339.8891602000001</v>
      </c>
      <c r="D509">
        <v>1337.5623779</v>
      </c>
      <c r="E509">
        <v>1321.6885986</v>
      </c>
      <c r="F509">
        <v>1317.6838379000001</v>
      </c>
      <c r="G509">
        <v>80</v>
      </c>
      <c r="H509">
        <v>79.945983886999997</v>
      </c>
      <c r="I509">
        <v>50</v>
      </c>
      <c r="J509">
        <v>15.000587463</v>
      </c>
      <c r="K509">
        <v>2400</v>
      </c>
      <c r="L509">
        <v>0</v>
      </c>
      <c r="M509">
        <v>0</v>
      </c>
      <c r="N509">
        <v>2400</v>
      </c>
    </row>
    <row r="510" spans="1:14" x14ac:dyDescent="0.25">
      <c r="A510">
        <v>74.024390999999994</v>
      </c>
      <c r="B510" s="1">
        <f>DATE(2010,7,14) + TIME(0,35,7)</f>
        <v>40373.024386574078</v>
      </c>
      <c r="C510">
        <v>1339.8864745999999</v>
      </c>
      <c r="D510">
        <v>1337.5601807</v>
      </c>
      <c r="E510">
        <v>1321.6896973</v>
      </c>
      <c r="F510">
        <v>1317.6845702999999</v>
      </c>
      <c r="G510">
        <v>80</v>
      </c>
      <c r="H510">
        <v>79.945991516000007</v>
      </c>
      <c r="I510">
        <v>50</v>
      </c>
      <c r="J510">
        <v>15.000649451999999</v>
      </c>
      <c r="K510">
        <v>2400</v>
      </c>
      <c r="L510">
        <v>0</v>
      </c>
      <c r="M510">
        <v>0</v>
      </c>
      <c r="N510">
        <v>2400</v>
      </c>
    </row>
    <row r="511" spans="1:14" x14ac:dyDescent="0.25">
      <c r="A511">
        <v>74.275518000000005</v>
      </c>
      <c r="B511" s="1">
        <f>DATE(2010,7,14) + TIME(6,36,44)</f>
        <v>40373.275509259256</v>
      </c>
      <c r="C511">
        <v>1339.8836670000001</v>
      </c>
      <c r="D511">
        <v>1337.5581055</v>
      </c>
      <c r="E511">
        <v>1321.6907959</v>
      </c>
      <c r="F511">
        <v>1317.6853027</v>
      </c>
      <c r="G511">
        <v>80</v>
      </c>
      <c r="H511">
        <v>79.945999146000005</v>
      </c>
      <c r="I511">
        <v>50</v>
      </c>
      <c r="J511">
        <v>15.000715255999999</v>
      </c>
      <c r="K511">
        <v>2400</v>
      </c>
      <c r="L511">
        <v>0</v>
      </c>
      <c r="M511">
        <v>0</v>
      </c>
      <c r="N511">
        <v>2400</v>
      </c>
    </row>
    <row r="512" spans="1:14" x14ac:dyDescent="0.25">
      <c r="A512">
        <v>74.526645000000002</v>
      </c>
      <c r="B512" s="1">
        <f>DATE(2010,7,14) + TIME(12,38,22)</f>
        <v>40373.526643518519</v>
      </c>
      <c r="C512">
        <v>1339.8808594</v>
      </c>
      <c r="D512">
        <v>1337.5560303</v>
      </c>
      <c r="E512">
        <v>1321.6918945</v>
      </c>
      <c r="F512">
        <v>1317.6860352000001</v>
      </c>
      <c r="G512">
        <v>80</v>
      </c>
      <c r="H512">
        <v>79.946006775000001</v>
      </c>
      <c r="I512">
        <v>50</v>
      </c>
      <c r="J512">
        <v>15.000786781</v>
      </c>
      <c r="K512">
        <v>2400</v>
      </c>
      <c r="L512">
        <v>0</v>
      </c>
      <c r="M512">
        <v>0</v>
      </c>
      <c r="N512">
        <v>2400</v>
      </c>
    </row>
    <row r="513" spans="1:14" x14ac:dyDescent="0.25">
      <c r="A513">
        <v>74.777771999999999</v>
      </c>
      <c r="B513" s="1">
        <f>DATE(2010,7,14) + TIME(18,39,59)</f>
        <v>40373.777766203704</v>
      </c>
      <c r="C513">
        <v>1339.8781738</v>
      </c>
      <c r="D513">
        <v>1337.5538329999999</v>
      </c>
      <c r="E513">
        <v>1321.6931152</v>
      </c>
      <c r="F513">
        <v>1317.6866454999999</v>
      </c>
      <c r="G513">
        <v>80</v>
      </c>
      <c r="H513">
        <v>79.946014403999996</v>
      </c>
      <c r="I513">
        <v>50</v>
      </c>
      <c r="J513">
        <v>15.000863075</v>
      </c>
      <c r="K513">
        <v>2400</v>
      </c>
      <c r="L513">
        <v>0</v>
      </c>
      <c r="M513">
        <v>0</v>
      </c>
      <c r="N513">
        <v>2400</v>
      </c>
    </row>
    <row r="514" spans="1:14" x14ac:dyDescent="0.25">
      <c r="A514">
        <v>75.280026000000007</v>
      </c>
      <c r="B514" s="1">
        <f>DATE(2010,7,15) + TIME(6,43,14)</f>
        <v>40374.280023148145</v>
      </c>
      <c r="C514">
        <v>1339.8754882999999</v>
      </c>
      <c r="D514">
        <v>1337.5518798999999</v>
      </c>
      <c r="E514">
        <v>1321.6942139</v>
      </c>
      <c r="F514">
        <v>1317.6873779</v>
      </c>
      <c r="G514">
        <v>80</v>
      </c>
      <c r="H514">
        <v>79.946037292</v>
      </c>
      <c r="I514">
        <v>50</v>
      </c>
      <c r="J514">
        <v>15.00099659</v>
      </c>
      <c r="K514">
        <v>2400</v>
      </c>
      <c r="L514">
        <v>0</v>
      </c>
      <c r="M514">
        <v>0</v>
      </c>
      <c r="N514">
        <v>2400</v>
      </c>
    </row>
    <row r="515" spans="1:14" x14ac:dyDescent="0.25">
      <c r="A515">
        <v>75.783338999999998</v>
      </c>
      <c r="B515" s="1">
        <f>DATE(2010,7,15) + TIME(18,48,0)</f>
        <v>40374.783333333333</v>
      </c>
      <c r="C515">
        <v>1339.8699951000001</v>
      </c>
      <c r="D515">
        <v>1337.5476074000001</v>
      </c>
      <c r="E515">
        <v>1321.6965332</v>
      </c>
      <c r="F515">
        <v>1317.6888428</v>
      </c>
      <c r="G515">
        <v>80</v>
      </c>
      <c r="H515">
        <v>79.946060181000007</v>
      </c>
      <c r="I515">
        <v>50</v>
      </c>
      <c r="J515">
        <v>15.001160622</v>
      </c>
      <c r="K515">
        <v>2400</v>
      </c>
      <c r="L515">
        <v>0</v>
      </c>
      <c r="M515">
        <v>0</v>
      </c>
      <c r="N515">
        <v>2400</v>
      </c>
    </row>
    <row r="516" spans="1:14" x14ac:dyDescent="0.25">
      <c r="A516">
        <v>76.292959999999994</v>
      </c>
      <c r="B516" s="1">
        <f>DATE(2010,7,16) + TIME(7,1,51)</f>
        <v>40375.292951388888</v>
      </c>
      <c r="C516">
        <v>1339.864624</v>
      </c>
      <c r="D516">
        <v>1337.543457</v>
      </c>
      <c r="E516">
        <v>1321.6988524999999</v>
      </c>
      <c r="F516">
        <v>1317.6903076000001</v>
      </c>
      <c r="G516">
        <v>80</v>
      </c>
      <c r="H516">
        <v>79.946075438999998</v>
      </c>
      <c r="I516">
        <v>50</v>
      </c>
      <c r="J516">
        <v>15.001358032000001</v>
      </c>
      <c r="K516">
        <v>2400</v>
      </c>
      <c r="L516">
        <v>0</v>
      </c>
      <c r="M516">
        <v>0</v>
      </c>
      <c r="N516">
        <v>2400</v>
      </c>
    </row>
    <row r="517" spans="1:14" x14ac:dyDescent="0.25">
      <c r="A517">
        <v>76.810153999999997</v>
      </c>
      <c r="B517" s="1">
        <f>DATE(2010,7,16) + TIME(19,26,37)</f>
        <v>40375.810150462959</v>
      </c>
      <c r="C517">
        <v>1339.8591309000001</v>
      </c>
      <c r="D517">
        <v>1337.5393065999999</v>
      </c>
      <c r="E517">
        <v>1321.7011719</v>
      </c>
      <c r="F517">
        <v>1317.6918945</v>
      </c>
      <c r="G517">
        <v>80</v>
      </c>
      <c r="H517">
        <v>79.946098328000005</v>
      </c>
      <c r="I517">
        <v>50</v>
      </c>
      <c r="J517">
        <v>15.001591682000001</v>
      </c>
      <c r="K517">
        <v>2400</v>
      </c>
      <c r="L517">
        <v>0</v>
      </c>
      <c r="M517">
        <v>0</v>
      </c>
      <c r="N517">
        <v>2400</v>
      </c>
    </row>
    <row r="518" spans="1:14" x14ac:dyDescent="0.25">
      <c r="A518">
        <v>77.336303999999998</v>
      </c>
      <c r="B518" s="1">
        <f>DATE(2010,7,17) + TIME(8,4,16)</f>
        <v>40376.336296296293</v>
      </c>
      <c r="C518">
        <v>1339.8536377</v>
      </c>
      <c r="D518">
        <v>1337.5350341999999</v>
      </c>
      <c r="E518">
        <v>1321.7037353999999</v>
      </c>
      <c r="F518">
        <v>1317.6933594</v>
      </c>
      <c r="G518">
        <v>80</v>
      </c>
      <c r="H518">
        <v>79.946113585999996</v>
      </c>
      <c r="I518">
        <v>50</v>
      </c>
      <c r="J518">
        <v>15.001867294</v>
      </c>
      <c r="K518">
        <v>2400</v>
      </c>
      <c r="L518">
        <v>0</v>
      </c>
      <c r="M518">
        <v>0</v>
      </c>
      <c r="N518">
        <v>2400</v>
      </c>
    </row>
    <row r="519" spans="1:14" x14ac:dyDescent="0.25">
      <c r="A519">
        <v>77.867282000000003</v>
      </c>
      <c r="B519" s="1">
        <f>DATE(2010,7,17) + TIME(20,48,53)</f>
        <v>40376.867280092592</v>
      </c>
      <c r="C519">
        <v>1339.8480225000001</v>
      </c>
      <c r="D519">
        <v>1337.5307617000001</v>
      </c>
      <c r="E519">
        <v>1321.7061768000001</v>
      </c>
      <c r="F519">
        <v>1317.6949463000001</v>
      </c>
      <c r="G519">
        <v>80</v>
      </c>
      <c r="H519">
        <v>79.946136475000003</v>
      </c>
      <c r="I519">
        <v>50</v>
      </c>
      <c r="J519">
        <v>15.002188683</v>
      </c>
      <c r="K519">
        <v>2400</v>
      </c>
      <c r="L519">
        <v>0</v>
      </c>
      <c r="M519">
        <v>0</v>
      </c>
      <c r="N519">
        <v>2400</v>
      </c>
    </row>
    <row r="520" spans="1:14" x14ac:dyDescent="0.25">
      <c r="A520">
        <v>78.404115000000004</v>
      </c>
      <c r="B520" s="1">
        <f>DATE(2010,7,18) + TIME(9,41,55)</f>
        <v>40377.404108796298</v>
      </c>
      <c r="C520">
        <v>1339.8425293</v>
      </c>
      <c r="D520">
        <v>1337.5264893000001</v>
      </c>
      <c r="E520">
        <v>1321.7088623</v>
      </c>
      <c r="F520">
        <v>1317.6965332</v>
      </c>
      <c r="G520">
        <v>80</v>
      </c>
      <c r="H520">
        <v>79.946151732999994</v>
      </c>
      <c r="I520">
        <v>50</v>
      </c>
      <c r="J520">
        <v>15.002563477000001</v>
      </c>
      <c r="K520">
        <v>2400</v>
      </c>
      <c r="L520">
        <v>0</v>
      </c>
      <c r="M520">
        <v>0</v>
      </c>
      <c r="N520">
        <v>2400</v>
      </c>
    </row>
    <row r="521" spans="1:14" x14ac:dyDescent="0.25">
      <c r="A521">
        <v>78.673098999999993</v>
      </c>
      <c r="B521" s="1">
        <f>DATE(2010,7,18) + TIME(16,9,15)</f>
        <v>40377.673090277778</v>
      </c>
      <c r="C521">
        <v>1339.8369141000001</v>
      </c>
      <c r="D521">
        <v>1337.5222168</v>
      </c>
      <c r="E521">
        <v>1321.7114257999999</v>
      </c>
      <c r="F521">
        <v>1317.6982422000001</v>
      </c>
      <c r="G521">
        <v>80</v>
      </c>
      <c r="H521">
        <v>79.946159363000007</v>
      </c>
      <c r="I521">
        <v>50</v>
      </c>
      <c r="J521">
        <v>15.002832413</v>
      </c>
      <c r="K521">
        <v>2400</v>
      </c>
      <c r="L521">
        <v>0</v>
      </c>
      <c r="M521">
        <v>0</v>
      </c>
      <c r="N521">
        <v>2400</v>
      </c>
    </row>
    <row r="522" spans="1:14" x14ac:dyDescent="0.25">
      <c r="A522">
        <v>78.940808000000004</v>
      </c>
      <c r="B522" s="1">
        <f>DATE(2010,7,18) + TIME(22,34,45)</f>
        <v>40377.940798611111</v>
      </c>
      <c r="C522">
        <v>1339.8341064000001</v>
      </c>
      <c r="D522">
        <v>1337.5200195</v>
      </c>
      <c r="E522">
        <v>1321.7128906</v>
      </c>
      <c r="F522">
        <v>1317.6989745999999</v>
      </c>
      <c r="G522">
        <v>80</v>
      </c>
      <c r="H522">
        <v>79.946166992000002</v>
      </c>
      <c r="I522">
        <v>50</v>
      </c>
      <c r="J522">
        <v>15.003108025</v>
      </c>
      <c r="K522">
        <v>2400</v>
      </c>
      <c r="L522">
        <v>0</v>
      </c>
      <c r="M522">
        <v>0</v>
      </c>
      <c r="N522">
        <v>2400</v>
      </c>
    </row>
    <row r="523" spans="1:14" x14ac:dyDescent="0.25">
      <c r="A523">
        <v>79.208014000000006</v>
      </c>
      <c r="B523" s="1">
        <f>DATE(2010,7,19) + TIME(4,59,32)</f>
        <v>40378.208009259259</v>
      </c>
      <c r="C523">
        <v>1339.8314209</v>
      </c>
      <c r="D523">
        <v>1337.5179443</v>
      </c>
      <c r="E523">
        <v>1321.7142334</v>
      </c>
      <c r="F523">
        <v>1317.6998291</v>
      </c>
      <c r="G523">
        <v>80</v>
      </c>
      <c r="H523">
        <v>79.946174622000001</v>
      </c>
      <c r="I523">
        <v>50</v>
      </c>
      <c r="J523">
        <v>15.003396034</v>
      </c>
      <c r="K523">
        <v>2400</v>
      </c>
      <c r="L523">
        <v>0</v>
      </c>
      <c r="M523">
        <v>0</v>
      </c>
      <c r="N523">
        <v>2400</v>
      </c>
    </row>
    <row r="524" spans="1:14" x14ac:dyDescent="0.25">
      <c r="A524">
        <v>79.474900000000005</v>
      </c>
      <c r="B524" s="1">
        <f>DATE(2010,7,19) + TIME(11,23,51)</f>
        <v>40378.474895833337</v>
      </c>
      <c r="C524">
        <v>1339.8286132999999</v>
      </c>
      <c r="D524">
        <v>1337.5158690999999</v>
      </c>
      <c r="E524">
        <v>1321.7155762</v>
      </c>
      <c r="F524">
        <v>1317.7006836</v>
      </c>
      <c r="G524">
        <v>80</v>
      </c>
      <c r="H524">
        <v>79.946182250999996</v>
      </c>
      <c r="I524">
        <v>50</v>
      </c>
      <c r="J524">
        <v>15.003697395</v>
      </c>
      <c r="K524">
        <v>2400</v>
      </c>
      <c r="L524">
        <v>0</v>
      </c>
      <c r="M524">
        <v>0</v>
      </c>
      <c r="N524">
        <v>2400</v>
      </c>
    </row>
    <row r="525" spans="1:14" x14ac:dyDescent="0.25">
      <c r="A525">
        <v>79.741642999999996</v>
      </c>
      <c r="B525" s="1">
        <f>DATE(2010,7,19) + TIME(17,47,57)</f>
        <v>40378.741631944446</v>
      </c>
      <c r="C525">
        <v>1339.8259277</v>
      </c>
      <c r="D525">
        <v>1337.5136719</v>
      </c>
      <c r="E525">
        <v>1321.7169189000001</v>
      </c>
      <c r="F525">
        <v>1317.7015381000001</v>
      </c>
      <c r="G525">
        <v>80</v>
      </c>
      <c r="H525">
        <v>79.946189880000006</v>
      </c>
      <c r="I525">
        <v>50</v>
      </c>
      <c r="J525">
        <v>15.004015923000001</v>
      </c>
      <c r="K525">
        <v>2400</v>
      </c>
      <c r="L525">
        <v>0</v>
      </c>
      <c r="M525">
        <v>0</v>
      </c>
      <c r="N525">
        <v>2400</v>
      </c>
    </row>
    <row r="526" spans="1:14" x14ac:dyDescent="0.25">
      <c r="A526">
        <v>80.008386000000002</v>
      </c>
      <c r="B526" s="1">
        <f>DATE(2010,7,20) + TIME(0,12,4)</f>
        <v>40379.008379629631</v>
      </c>
      <c r="C526">
        <v>1339.8232422000001</v>
      </c>
      <c r="D526">
        <v>1337.5115966999999</v>
      </c>
      <c r="E526">
        <v>1321.7183838000001</v>
      </c>
      <c r="F526">
        <v>1317.7023925999999</v>
      </c>
      <c r="G526">
        <v>80</v>
      </c>
      <c r="H526">
        <v>79.946197510000005</v>
      </c>
      <c r="I526">
        <v>50</v>
      </c>
      <c r="J526">
        <v>15.004353523000001</v>
      </c>
      <c r="K526">
        <v>2400</v>
      </c>
      <c r="L526">
        <v>0</v>
      </c>
      <c r="M526">
        <v>0</v>
      </c>
      <c r="N526">
        <v>2400</v>
      </c>
    </row>
    <row r="527" spans="1:14" x14ac:dyDescent="0.25">
      <c r="A527">
        <v>80.275129000000007</v>
      </c>
      <c r="B527" s="1">
        <f>DATE(2010,7,20) + TIME(6,36,11)</f>
        <v>40379.275127314817</v>
      </c>
      <c r="C527">
        <v>1339.8205565999999</v>
      </c>
      <c r="D527">
        <v>1337.5095214999999</v>
      </c>
      <c r="E527">
        <v>1321.7197266000001</v>
      </c>
      <c r="F527">
        <v>1317.7032471</v>
      </c>
      <c r="G527">
        <v>80</v>
      </c>
      <c r="H527">
        <v>79.946205139</v>
      </c>
      <c r="I527">
        <v>50</v>
      </c>
      <c r="J527">
        <v>15.004713058</v>
      </c>
      <c r="K527">
        <v>2400</v>
      </c>
      <c r="L527">
        <v>0</v>
      </c>
      <c r="M527">
        <v>0</v>
      </c>
      <c r="N527">
        <v>2400</v>
      </c>
    </row>
    <row r="528" spans="1:14" x14ac:dyDescent="0.25">
      <c r="A528">
        <v>80.541872999999995</v>
      </c>
      <c r="B528" s="1">
        <f>DATE(2010,7,20) + TIME(13,0,17)</f>
        <v>40379.541863425926</v>
      </c>
      <c r="C528">
        <v>1339.8178711</v>
      </c>
      <c r="D528">
        <v>1337.5074463000001</v>
      </c>
      <c r="E528">
        <v>1321.7211914</v>
      </c>
      <c r="F528">
        <v>1317.7041016000001</v>
      </c>
      <c r="G528">
        <v>80</v>
      </c>
      <c r="H528">
        <v>79.946220397999994</v>
      </c>
      <c r="I528">
        <v>50</v>
      </c>
      <c r="J528">
        <v>15.005096436000001</v>
      </c>
      <c r="K528">
        <v>2400</v>
      </c>
      <c r="L528">
        <v>0</v>
      </c>
      <c r="M528">
        <v>0</v>
      </c>
      <c r="N528">
        <v>2400</v>
      </c>
    </row>
    <row r="529" spans="1:14" x14ac:dyDescent="0.25">
      <c r="A529">
        <v>80.808616000000001</v>
      </c>
      <c r="B529" s="1">
        <f>DATE(2010,7,20) + TIME(19,24,24)</f>
        <v>40379.808611111112</v>
      </c>
      <c r="C529">
        <v>1339.8151855000001</v>
      </c>
      <c r="D529">
        <v>1337.5053711</v>
      </c>
      <c r="E529">
        <v>1321.7226562000001</v>
      </c>
      <c r="F529">
        <v>1317.7050781</v>
      </c>
      <c r="G529">
        <v>80</v>
      </c>
      <c r="H529">
        <v>79.946228027000004</v>
      </c>
      <c r="I529">
        <v>50</v>
      </c>
      <c r="J529">
        <v>15.005505562</v>
      </c>
      <c r="K529">
        <v>2400</v>
      </c>
      <c r="L529">
        <v>0</v>
      </c>
      <c r="M529">
        <v>0</v>
      </c>
      <c r="N529">
        <v>2400</v>
      </c>
    </row>
    <row r="530" spans="1:14" x14ac:dyDescent="0.25">
      <c r="A530">
        <v>81.075359000000006</v>
      </c>
      <c r="B530" s="1">
        <f>DATE(2010,7,21) + TIME(1,48,31)</f>
        <v>40380.075358796297</v>
      </c>
      <c r="C530">
        <v>1339.8125</v>
      </c>
      <c r="D530">
        <v>1337.5032959</v>
      </c>
      <c r="E530">
        <v>1321.7241211</v>
      </c>
      <c r="F530">
        <v>1317.7059326000001</v>
      </c>
      <c r="G530">
        <v>80</v>
      </c>
      <c r="H530">
        <v>79.946235657000003</v>
      </c>
      <c r="I530">
        <v>50</v>
      </c>
      <c r="J530">
        <v>15.005942344999999</v>
      </c>
      <c r="K530">
        <v>2400</v>
      </c>
      <c r="L530">
        <v>0</v>
      </c>
      <c r="M530">
        <v>0</v>
      </c>
      <c r="N530">
        <v>2400</v>
      </c>
    </row>
    <row r="531" spans="1:14" x14ac:dyDescent="0.25">
      <c r="A531">
        <v>81.608846</v>
      </c>
      <c r="B531" s="1">
        <f>DATE(2010,7,21) + TIME(14,36,44)</f>
        <v>40380.608842592592</v>
      </c>
      <c r="C531">
        <v>1339.8099365</v>
      </c>
      <c r="D531">
        <v>1337.5013428</v>
      </c>
      <c r="E531">
        <v>1321.7255858999999</v>
      </c>
      <c r="F531">
        <v>1317.7067870999999</v>
      </c>
      <c r="G531">
        <v>80</v>
      </c>
      <c r="H531">
        <v>79.946266174000002</v>
      </c>
      <c r="I531">
        <v>50</v>
      </c>
      <c r="J531">
        <v>15.006697655</v>
      </c>
      <c r="K531">
        <v>2400</v>
      </c>
      <c r="L531">
        <v>0</v>
      </c>
      <c r="M531">
        <v>0</v>
      </c>
      <c r="N531">
        <v>2400</v>
      </c>
    </row>
    <row r="532" spans="1:14" x14ac:dyDescent="0.25">
      <c r="A532">
        <v>82.143308000000005</v>
      </c>
      <c r="B532" s="1">
        <f>DATE(2010,7,22) + TIME(3,26,21)</f>
        <v>40381.14329861111</v>
      </c>
      <c r="C532">
        <v>1339.8045654</v>
      </c>
      <c r="D532">
        <v>1337.4973144999999</v>
      </c>
      <c r="E532">
        <v>1321.7285156</v>
      </c>
      <c r="F532">
        <v>1317.7086182</v>
      </c>
      <c r="G532">
        <v>80</v>
      </c>
      <c r="H532">
        <v>79.946289062000005</v>
      </c>
      <c r="I532">
        <v>50</v>
      </c>
      <c r="J532">
        <v>15.007627487000001</v>
      </c>
      <c r="K532">
        <v>2400</v>
      </c>
      <c r="L532">
        <v>0</v>
      </c>
      <c r="M532">
        <v>0</v>
      </c>
      <c r="N532">
        <v>2400</v>
      </c>
    </row>
    <row r="533" spans="1:14" x14ac:dyDescent="0.25">
      <c r="A533">
        <v>82.683679999999995</v>
      </c>
      <c r="B533" s="1">
        <f>DATE(2010,7,22) + TIME(16,24,29)</f>
        <v>40381.683668981481</v>
      </c>
      <c r="C533">
        <v>1339.7993164</v>
      </c>
      <c r="D533">
        <v>1337.4931641000001</v>
      </c>
      <c r="E533">
        <v>1321.7314452999999</v>
      </c>
      <c r="F533">
        <v>1317.7104492000001</v>
      </c>
      <c r="G533">
        <v>80</v>
      </c>
      <c r="H533">
        <v>79.946311950999998</v>
      </c>
      <c r="I533">
        <v>50</v>
      </c>
      <c r="J533">
        <v>15.00873661</v>
      </c>
      <c r="K533">
        <v>2400</v>
      </c>
      <c r="L533">
        <v>0</v>
      </c>
      <c r="M533">
        <v>0</v>
      </c>
      <c r="N533">
        <v>2400</v>
      </c>
    </row>
    <row r="534" spans="1:14" x14ac:dyDescent="0.25">
      <c r="A534">
        <v>83.231347</v>
      </c>
      <c r="B534" s="1">
        <f>DATE(2010,7,23) + TIME(5,33,8)</f>
        <v>40382.231342592589</v>
      </c>
      <c r="C534">
        <v>1339.7940673999999</v>
      </c>
      <c r="D534">
        <v>1337.4891356999999</v>
      </c>
      <c r="E534">
        <v>1321.7346190999999</v>
      </c>
      <c r="F534">
        <v>1317.7122803</v>
      </c>
      <c r="G534">
        <v>80</v>
      </c>
      <c r="H534">
        <v>79.946334839000002</v>
      </c>
      <c r="I534">
        <v>50</v>
      </c>
      <c r="J534">
        <v>15.010040283</v>
      </c>
      <c r="K534">
        <v>2400</v>
      </c>
      <c r="L534">
        <v>0</v>
      </c>
      <c r="M534">
        <v>0</v>
      </c>
      <c r="N534">
        <v>2400</v>
      </c>
    </row>
    <row r="535" spans="1:14" x14ac:dyDescent="0.25">
      <c r="A535">
        <v>83.787790000000001</v>
      </c>
      <c r="B535" s="1">
        <f>DATE(2010,7,23) + TIME(18,54,25)</f>
        <v>40382.787789351853</v>
      </c>
      <c r="C535">
        <v>1339.7888184000001</v>
      </c>
      <c r="D535">
        <v>1337.4849853999999</v>
      </c>
      <c r="E535">
        <v>1321.737793</v>
      </c>
      <c r="F535">
        <v>1317.7142334</v>
      </c>
      <c r="G535">
        <v>80</v>
      </c>
      <c r="H535">
        <v>79.946357727000006</v>
      </c>
      <c r="I535">
        <v>50</v>
      </c>
      <c r="J535">
        <v>15.011564255</v>
      </c>
      <c r="K535">
        <v>2400</v>
      </c>
      <c r="L535">
        <v>0</v>
      </c>
      <c r="M535">
        <v>0</v>
      </c>
      <c r="N535">
        <v>2400</v>
      </c>
    </row>
    <row r="536" spans="1:14" x14ac:dyDescent="0.25">
      <c r="A536">
        <v>84.349254000000002</v>
      </c>
      <c r="B536" s="1">
        <f>DATE(2010,7,24) + TIME(8,22,55)</f>
        <v>40383.349247685182</v>
      </c>
      <c r="C536">
        <v>1339.7834473</v>
      </c>
      <c r="D536">
        <v>1337.4808350000001</v>
      </c>
      <c r="E536">
        <v>1321.7410889</v>
      </c>
      <c r="F536">
        <v>1317.7161865</v>
      </c>
      <c r="G536">
        <v>80</v>
      </c>
      <c r="H536">
        <v>79.946380614999995</v>
      </c>
      <c r="I536">
        <v>50</v>
      </c>
      <c r="J536">
        <v>15.013331413</v>
      </c>
      <c r="K536">
        <v>2400</v>
      </c>
      <c r="L536">
        <v>0</v>
      </c>
      <c r="M536">
        <v>0</v>
      </c>
      <c r="N536">
        <v>2400</v>
      </c>
    </row>
    <row r="537" spans="1:14" x14ac:dyDescent="0.25">
      <c r="A537">
        <v>84.915508000000003</v>
      </c>
      <c r="B537" s="1">
        <f>DATE(2010,7,24) + TIME(21,58,19)</f>
        <v>40383.915497685186</v>
      </c>
      <c r="C537">
        <v>1339.7780762</v>
      </c>
      <c r="D537">
        <v>1337.4766846</v>
      </c>
      <c r="E537">
        <v>1321.7445068</v>
      </c>
      <c r="F537">
        <v>1317.7182617000001</v>
      </c>
      <c r="G537">
        <v>80</v>
      </c>
      <c r="H537">
        <v>79.946403502999999</v>
      </c>
      <c r="I537">
        <v>50</v>
      </c>
      <c r="J537">
        <v>15.015375136999999</v>
      </c>
      <c r="K537">
        <v>2400</v>
      </c>
      <c r="L537">
        <v>0</v>
      </c>
      <c r="M537">
        <v>0</v>
      </c>
      <c r="N537">
        <v>2400</v>
      </c>
    </row>
    <row r="538" spans="1:14" x14ac:dyDescent="0.25">
      <c r="A538">
        <v>85.201777000000007</v>
      </c>
      <c r="B538" s="1">
        <f>DATE(2010,7,25) + TIME(4,50,33)</f>
        <v>40384.201770833337</v>
      </c>
      <c r="C538">
        <v>1339.7725829999999</v>
      </c>
      <c r="D538">
        <v>1337.4725341999999</v>
      </c>
      <c r="E538">
        <v>1321.7480469</v>
      </c>
      <c r="F538">
        <v>1317.7203368999999</v>
      </c>
      <c r="G538">
        <v>80</v>
      </c>
      <c r="H538">
        <v>79.946411132999998</v>
      </c>
      <c r="I538">
        <v>50</v>
      </c>
      <c r="J538">
        <v>15.016850471</v>
      </c>
      <c r="K538">
        <v>2400</v>
      </c>
      <c r="L538">
        <v>0</v>
      </c>
      <c r="M538">
        <v>0</v>
      </c>
      <c r="N538">
        <v>2400</v>
      </c>
    </row>
    <row r="539" spans="1:14" x14ac:dyDescent="0.25">
      <c r="A539">
        <v>85.487566999999999</v>
      </c>
      <c r="B539" s="1">
        <f>DATE(2010,7,25) + TIME(11,42,5)</f>
        <v>40384.487557870372</v>
      </c>
      <c r="C539">
        <v>1339.7698975000001</v>
      </c>
      <c r="D539">
        <v>1337.4704589999999</v>
      </c>
      <c r="E539">
        <v>1321.7498779</v>
      </c>
      <c r="F539">
        <v>1317.7214355000001</v>
      </c>
      <c r="G539">
        <v>80</v>
      </c>
      <c r="H539">
        <v>79.946418761999993</v>
      </c>
      <c r="I539">
        <v>50</v>
      </c>
      <c r="J539">
        <v>15.018360138</v>
      </c>
      <c r="K539">
        <v>2400</v>
      </c>
      <c r="L539">
        <v>0</v>
      </c>
      <c r="M539">
        <v>0</v>
      </c>
      <c r="N539">
        <v>2400</v>
      </c>
    </row>
    <row r="540" spans="1:14" x14ac:dyDescent="0.25">
      <c r="A540">
        <v>85.772625000000005</v>
      </c>
      <c r="B540" s="1">
        <f>DATE(2010,7,25) + TIME(18,32,34)</f>
        <v>40384.772615740738</v>
      </c>
      <c r="C540">
        <v>1339.7672118999999</v>
      </c>
      <c r="D540">
        <v>1337.4682617000001</v>
      </c>
      <c r="E540">
        <v>1321.7517089999999</v>
      </c>
      <c r="F540">
        <v>1317.7225341999999</v>
      </c>
      <c r="G540">
        <v>80</v>
      </c>
      <c r="H540">
        <v>79.946426392000006</v>
      </c>
      <c r="I540">
        <v>50</v>
      </c>
      <c r="J540">
        <v>15.019921303</v>
      </c>
      <c r="K540">
        <v>2400</v>
      </c>
      <c r="L540">
        <v>0</v>
      </c>
      <c r="M540">
        <v>0</v>
      </c>
      <c r="N540">
        <v>2400</v>
      </c>
    </row>
    <row r="541" spans="1:14" x14ac:dyDescent="0.25">
      <c r="A541">
        <v>86.057158000000001</v>
      </c>
      <c r="B541" s="1">
        <f>DATE(2010,7,26) + TIME(1,22,18)</f>
        <v>40385.057152777779</v>
      </c>
      <c r="C541">
        <v>1339.7645264</v>
      </c>
      <c r="D541">
        <v>1337.4663086</v>
      </c>
      <c r="E541">
        <v>1321.7535399999999</v>
      </c>
      <c r="F541">
        <v>1317.7236327999999</v>
      </c>
      <c r="G541">
        <v>80</v>
      </c>
      <c r="H541">
        <v>79.946434021000002</v>
      </c>
      <c r="I541">
        <v>50</v>
      </c>
      <c r="J541">
        <v>15.021551132000001</v>
      </c>
      <c r="K541">
        <v>2400</v>
      </c>
      <c r="L541">
        <v>0</v>
      </c>
      <c r="M541">
        <v>0</v>
      </c>
      <c r="N541">
        <v>2400</v>
      </c>
    </row>
    <row r="542" spans="1:14" x14ac:dyDescent="0.25">
      <c r="A542">
        <v>86.341367000000005</v>
      </c>
      <c r="B542" s="1">
        <f>DATE(2010,7,26) + TIME(8,11,34)</f>
        <v>40385.341365740744</v>
      </c>
      <c r="C542">
        <v>1339.7619629000001</v>
      </c>
      <c r="D542">
        <v>1337.4642334</v>
      </c>
      <c r="E542">
        <v>1321.7553711</v>
      </c>
      <c r="F542">
        <v>1317.7247314000001</v>
      </c>
      <c r="G542">
        <v>80</v>
      </c>
      <c r="H542">
        <v>79.946449279999996</v>
      </c>
      <c r="I542">
        <v>50</v>
      </c>
      <c r="J542">
        <v>15.023263931000001</v>
      </c>
      <c r="K542">
        <v>2400</v>
      </c>
      <c r="L542">
        <v>0</v>
      </c>
      <c r="M542">
        <v>0</v>
      </c>
      <c r="N542">
        <v>2400</v>
      </c>
    </row>
    <row r="543" spans="1:14" x14ac:dyDescent="0.25">
      <c r="A543">
        <v>86.625448000000006</v>
      </c>
      <c r="B543" s="1">
        <f>DATE(2010,7,26) + TIME(15,0,38)</f>
        <v>40385.625439814816</v>
      </c>
      <c r="C543">
        <v>1339.7592772999999</v>
      </c>
      <c r="D543">
        <v>1337.4621582</v>
      </c>
      <c r="E543">
        <v>1321.7573242000001</v>
      </c>
      <c r="F543">
        <v>1317.7258300999999</v>
      </c>
      <c r="G543">
        <v>80</v>
      </c>
      <c r="H543">
        <v>79.946456909000005</v>
      </c>
      <c r="I543">
        <v>50</v>
      </c>
      <c r="J543">
        <v>15.025073051</v>
      </c>
      <c r="K543">
        <v>2400</v>
      </c>
      <c r="L543">
        <v>0</v>
      </c>
      <c r="M543">
        <v>0</v>
      </c>
      <c r="N543">
        <v>2400</v>
      </c>
    </row>
    <row r="544" spans="1:14" x14ac:dyDescent="0.25">
      <c r="A544">
        <v>86.909529000000006</v>
      </c>
      <c r="B544" s="1">
        <f>DATE(2010,7,26) + TIME(21,49,43)</f>
        <v>40385.909525462965</v>
      </c>
      <c r="C544">
        <v>1339.7567139</v>
      </c>
      <c r="D544">
        <v>1337.4600829999999</v>
      </c>
      <c r="E544">
        <v>1321.7591553</v>
      </c>
      <c r="F544">
        <v>1317.7269286999999</v>
      </c>
      <c r="G544">
        <v>80</v>
      </c>
      <c r="H544">
        <v>79.946472168</v>
      </c>
      <c r="I544">
        <v>50</v>
      </c>
      <c r="J544">
        <v>15.026989937</v>
      </c>
      <c r="K544">
        <v>2400</v>
      </c>
      <c r="L544">
        <v>0</v>
      </c>
      <c r="M544">
        <v>0</v>
      </c>
      <c r="N544">
        <v>2400</v>
      </c>
    </row>
    <row r="545" spans="1:14" x14ac:dyDescent="0.25">
      <c r="A545">
        <v>87.193610000000007</v>
      </c>
      <c r="B545" s="1">
        <f>DATE(2010,7,27) + TIME(4,38,47)</f>
        <v>40386.193599537037</v>
      </c>
      <c r="C545">
        <v>1339.7540283000001</v>
      </c>
      <c r="D545">
        <v>1337.4580077999999</v>
      </c>
      <c r="E545">
        <v>1321.7611084</v>
      </c>
      <c r="F545">
        <v>1317.7281493999999</v>
      </c>
      <c r="G545">
        <v>80</v>
      </c>
      <c r="H545">
        <v>79.946479796999995</v>
      </c>
      <c r="I545">
        <v>50</v>
      </c>
      <c r="J545">
        <v>15.029026031000001</v>
      </c>
      <c r="K545">
        <v>2400</v>
      </c>
      <c r="L545">
        <v>0</v>
      </c>
      <c r="M545">
        <v>0</v>
      </c>
      <c r="N545">
        <v>2400</v>
      </c>
    </row>
    <row r="546" spans="1:14" x14ac:dyDescent="0.25">
      <c r="A546">
        <v>87.477690999999993</v>
      </c>
      <c r="B546" s="1">
        <f>DATE(2010,7,27) + TIME(11,27,52)</f>
        <v>40386.477685185186</v>
      </c>
      <c r="C546">
        <v>1339.7514647999999</v>
      </c>
      <c r="D546">
        <v>1337.4560547000001</v>
      </c>
      <c r="E546">
        <v>1321.7630615</v>
      </c>
      <c r="F546">
        <v>1317.7292480000001</v>
      </c>
      <c r="G546">
        <v>80</v>
      </c>
      <c r="H546">
        <v>79.946495056000003</v>
      </c>
      <c r="I546">
        <v>50</v>
      </c>
      <c r="J546">
        <v>15.031191826000001</v>
      </c>
      <c r="K546">
        <v>2400</v>
      </c>
      <c r="L546">
        <v>0</v>
      </c>
      <c r="M546">
        <v>0</v>
      </c>
      <c r="N546">
        <v>2400</v>
      </c>
    </row>
    <row r="547" spans="1:14" x14ac:dyDescent="0.25">
      <c r="A547">
        <v>87.761770999999996</v>
      </c>
      <c r="B547" s="1">
        <f>DATE(2010,7,27) + TIME(18,16,57)</f>
        <v>40386.761770833335</v>
      </c>
      <c r="C547">
        <v>1339.7489014</v>
      </c>
      <c r="D547">
        <v>1337.4539795000001</v>
      </c>
      <c r="E547">
        <v>1321.7650146000001</v>
      </c>
      <c r="F547">
        <v>1317.7304687999999</v>
      </c>
      <c r="G547">
        <v>80</v>
      </c>
      <c r="H547">
        <v>79.946510314999998</v>
      </c>
      <c r="I547">
        <v>50</v>
      </c>
      <c r="J547">
        <v>15.03349781</v>
      </c>
      <c r="K547">
        <v>2400</v>
      </c>
      <c r="L547">
        <v>0</v>
      </c>
      <c r="M547">
        <v>0</v>
      </c>
      <c r="N547">
        <v>2400</v>
      </c>
    </row>
    <row r="548" spans="1:14" x14ac:dyDescent="0.25">
      <c r="A548">
        <v>88.045851999999996</v>
      </c>
      <c r="B548" s="1">
        <f>DATE(2010,7,28) + TIME(1,6,1)</f>
        <v>40387.045844907407</v>
      </c>
      <c r="C548">
        <v>1339.7462158000001</v>
      </c>
      <c r="D548">
        <v>1337.4520264</v>
      </c>
      <c r="E548">
        <v>1321.7670897999999</v>
      </c>
      <c r="F548">
        <v>1317.7315673999999</v>
      </c>
      <c r="G548">
        <v>80</v>
      </c>
      <c r="H548">
        <v>79.946517943999993</v>
      </c>
      <c r="I548">
        <v>50</v>
      </c>
      <c r="J548">
        <v>15.035954475</v>
      </c>
      <c r="K548">
        <v>2400</v>
      </c>
      <c r="L548">
        <v>0</v>
      </c>
      <c r="M548">
        <v>0</v>
      </c>
      <c r="N548">
        <v>2400</v>
      </c>
    </row>
    <row r="549" spans="1:14" x14ac:dyDescent="0.25">
      <c r="A549">
        <v>88.614013999999997</v>
      </c>
      <c r="B549" s="1">
        <f>DATE(2010,7,28) + TIME(14,44,10)</f>
        <v>40387.614004629628</v>
      </c>
      <c r="C549">
        <v>1339.7437743999999</v>
      </c>
      <c r="D549">
        <v>1337.4500731999999</v>
      </c>
      <c r="E549">
        <v>1321.769043</v>
      </c>
      <c r="F549">
        <v>1317.7329102000001</v>
      </c>
      <c r="G549">
        <v>80</v>
      </c>
      <c r="H549">
        <v>79.946548461999996</v>
      </c>
      <c r="I549">
        <v>50</v>
      </c>
      <c r="J549">
        <v>15.040149689</v>
      </c>
      <c r="K549">
        <v>2400</v>
      </c>
      <c r="L549">
        <v>0</v>
      </c>
      <c r="M549">
        <v>0</v>
      </c>
      <c r="N549">
        <v>2400</v>
      </c>
    </row>
    <row r="550" spans="1:14" x14ac:dyDescent="0.25">
      <c r="A550">
        <v>89.182760000000002</v>
      </c>
      <c r="B550" s="1">
        <f>DATE(2010,7,29) + TIME(4,23,10)</f>
        <v>40388.182754629626</v>
      </c>
      <c r="C550">
        <v>1339.7386475000001</v>
      </c>
      <c r="D550">
        <v>1337.4460449000001</v>
      </c>
      <c r="E550">
        <v>1321.7731934000001</v>
      </c>
      <c r="F550">
        <v>1317.7352295000001</v>
      </c>
      <c r="G550">
        <v>80</v>
      </c>
      <c r="H550">
        <v>79.946578978999995</v>
      </c>
      <c r="I550">
        <v>50</v>
      </c>
      <c r="J550">
        <v>15.045313835</v>
      </c>
      <c r="K550">
        <v>2400</v>
      </c>
      <c r="L550">
        <v>0</v>
      </c>
      <c r="M550">
        <v>0</v>
      </c>
      <c r="N550">
        <v>2400</v>
      </c>
    </row>
    <row r="551" spans="1:14" x14ac:dyDescent="0.25">
      <c r="A551">
        <v>89.757999999999996</v>
      </c>
      <c r="B551" s="1">
        <f>DATE(2010,7,29) + TIME(18,11,31)</f>
        <v>40388.757997685185</v>
      </c>
      <c r="C551">
        <v>1339.7335204999999</v>
      </c>
      <c r="D551">
        <v>1337.4421387</v>
      </c>
      <c r="E551">
        <v>1321.7773437999999</v>
      </c>
      <c r="F551">
        <v>1317.737793</v>
      </c>
      <c r="G551">
        <v>80</v>
      </c>
      <c r="H551">
        <v>79.946601868000002</v>
      </c>
      <c r="I551">
        <v>50</v>
      </c>
      <c r="J551">
        <v>15.051448821999999</v>
      </c>
      <c r="K551">
        <v>2400</v>
      </c>
      <c r="L551">
        <v>0</v>
      </c>
      <c r="M551">
        <v>0</v>
      </c>
      <c r="N551">
        <v>2400</v>
      </c>
    </row>
    <row r="552" spans="1:14" x14ac:dyDescent="0.25">
      <c r="A552">
        <v>90.341226000000006</v>
      </c>
      <c r="B552" s="1">
        <f>DATE(2010,7,30) + TIME(8,11,21)</f>
        <v>40389.341215277775</v>
      </c>
      <c r="C552">
        <v>1339.7283935999999</v>
      </c>
      <c r="D552">
        <v>1337.4381103999999</v>
      </c>
      <c r="E552">
        <v>1321.7817382999999</v>
      </c>
      <c r="F552">
        <v>1317.7403564000001</v>
      </c>
      <c r="G552">
        <v>80</v>
      </c>
      <c r="H552">
        <v>79.946632385000001</v>
      </c>
      <c r="I552">
        <v>50</v>
      </c>
      <c r="J552">
        <v>15.058621407</v>
      </c>
      <c r="K552">
        <v>2400</v>
      </c>
      <c r="L552">
        <v>0</v>
      </c>
      <c r="M552">
        <v>0</v>
      </c>
      <c r="N552">
        <v>2400</v>
      </c>
    </row>
    <row r="553" spans="1:14" x14ac:dyDescent="0.25">
      <c r="A553">
        <v>90.933929000000006</v>
      </c>
      <c r="B553" s="1">
        <f>DATE(2010,7,30) + TIME(22,24,51)</f>
        <v>40389.933923611112</v>
      </c>
      <c r="C553">
        <v>1339.7231445</v>
      </c>
      <c r="D553">
        <v>1337.434082</v>
      </c>
      <c r="E553">
        <v>1321.7862548999999</v>
      </c>
      <c r="F553">
        <v>1317.7430420000001</v>
      </c>
      <c r="G553">
        <v>80</v>
      </c>
      <c r="H553">
        <v>79.946655273000005</v>
      </c>
      <c r="I553">
        <v>50</v>
      </c>
      <c r="J553">
        <v>15.066947937</v>
      </c>
      <c r="K553">
        <v>2400</v>
      </c>
      <c r="L553">
        <v>0</v>
      </c>
      <c r="M553">
        <v>0</v>
      </c>
      <c r="N553">
        <v>2400</v>
      </c>
    </row>
    <row r="554" spans="1:14" x14ac:dyDescent="0.25">
      <c r="A554">
        <v>91.531486000000001</v>
      </c>
      <c r="B554" s="1">
        <f>DATE(2010,7,31) + TIME(12,45,20)</f>
        <v>40390.531481481485</v>
      </c>
      <c r="C554">
        <v>1339.7180175999999</v>
      </c>
      <c r="D554">
        <v>1337.4300536999999</v>
      </c>
      <c r="E554">
        <v>1321.7910156</v>
      </c>
      <c r="F554">
        <v>1317.7458495999999</v>
      </c>
      <c r="G554">
        <v>80</v>
      </c>
      <c r="H554">
        <v>79.946685790999993</v>
      </c>
      <c r="I554">
        <v>50</v>
      </c>
      <c r="J554">
        <v>15.076535225000001</v>
      </c>
      <c r="K554">
        <v>2400</v>
      </c>
      <c r="L554">
        <v>0</v>
      </c>
      <c r="M554">
        <v>0</v>
      </c>
      <c r="N554">
        <v>2400</v>
      </c>
    </row>
    <row r="555" spans="1:14" x14ac:dyDescent="0.25">
      <c r="A555">
        <v>92</v>
      </c>
      <c r="B555" s="1">
        <f>DATE(2010,8,1) + TIME(0,0,0)</f>
        <v>40391</v>
      </c>
      <c r="C555">
        <v>1339.7127685999999</v>
      </c>
      <c r="D555">
        <v>1337.4259033000001</v>
      </c>
      <c r="E555">
        <v>1321.7958983999999</v>
      </c>
      <c r="F555">
        <v>1317.7487793</v>
      </c>
      <c r="G555">
        <v>80</v>
      </c>
      <c r="H555">
        <v>79.946701050000001</v>
      </c>
      <c r="I555">
        <v>50</v>
      </c>
      <c r="J555">
        <v>15.085953712</v>
      </c>
      <c r="K555">
        <v>2400</v>
      </c>
      <c r="L555">
        <v>0</v>
      </c>
      <c r="M555">
        <v>0</v>
      </c>
      <c r="N555">
        <v>2400</v>
      </c>
    </row>
    <row r="556" spans="1:14" x14ac:dyDescent="0.25">
      <c r="A556">
        <v>92.602283999999997</v>
      </c>
      <c r="B556" s="1">
        <f>DATE(2010,8,1) + TIME(14,27,17)</f>
        <v>40391.602280092593</v>
      </c>
      <c r="C556">
        <v>1339.7087402</v>
      </c>
      <c r="D556">
        <v>1337.4227295000001</v>
      </c>
      <c r="E556">
        <v>1321.7998047000001</v>
      </c>
      <c r="F556">
        <v>1317.7512207</v>
      </c>
      <c r="G556">
        <v>80</v>
      </c>
      <c r="H556">
        <v>79.946731567</v>
      </c>
      <c r="I556">
        <v>50</v>
      </c>
      <c r="J556">
        <v>15.097787857</v>
      </c>
      <c r="K556">
        <v>2400</v>
      </c>
      <c r="L556">
        <v>0</v>
      </c>
      <c r="M556">
        <v>0</v>
      </c>
      <c r="N556">
        <v>2400</v>
      </c>
    </row>
    <row r="557" spans="1:14" x14ac:dyDescent="0.25">
      <c r="A557">
        <v>92.906265000000005</v>
      </c>
      <c r="B557" s="1">
        <f>DATE(2010,8,1) + TIME(21,45,1)</f>
        <v>40391.906261574077</v>
      </c>
      <c r="C557">
        <v>1339.7034911999999</v>
      </c>
      <c r="D557">
        <v>1337.4187012</v>
      </c>
      <c r="E557">
        <v>1321.8051757999999</v>
      </c>
      <c r="F557">
        <v>1317.7541504000001</v>
      </c>
      <c r="G557">
        <v>80</v>
      </c>
      <c r="H557">
        <v>79.946739196999999</v>
      </c>
      <c r="I557">
        <v>50</v>
      </c>
      <c r="J557">
        <v>15.106445312</v>
      </c>
      <c r="K557">
        <v>2400</v>
      </c>
      <c r="L557">
        <v>0</v>
      </c>
      <c r="M557">
        <v>0</v>
      </c>
      <c r="N557">
        <v>2400</v>
      </c>
    </row>
    <row r="558" spans="1:14" x14ac:dyDescent="0.25">
      <c r="A558">
        <v>93.210139999999996</v>
      </c>
      <c r="B558" s="1">
        <f>DATE(2010,8,2) + TIME(5,2,36)</f>
        <v>40392.210138888891</v>
      </c>
      <c r="C558">
        <v>1339.7009277</v>
      </c>
      <c r="D558">
        <v>1337.416626</v>
      </c>
      <c r="E558">
        <v>1321.8078613</v>
      </c>
      <c r="F558">
        <v>1317.7558594</v>
      </c>
      <c r="G558">
        <v>80</v>
      </c>
      <c r="H558">
        <v>79.946746825999995</v>
      </c>
      <c r="I558">
        <v>50</v>
      </c>
      <c r="J558">
        <v>15.115256309999999</v>
      </c>
      <c r="K558">
        <v>2400</v>
      </c>
      <c r="L558">
        <v>0</v>
      </c>
      <c r="M558">
        <v>0</v>
      </c>
      <c r="N558">
        <v>2400</v>
      </c>
    </row>
    <row r="559" spans="1:14" x14ac:dyDescent="0.25">
      <c r="A559">
        <v>93.513605999999996</v>
      </c>
      <c r="B559" s="1">
        <f>DATE(2010,8,2) + TIME(12,19,35)</f>
        <v>40392.513599537036</v>
      </c>
      <c r="C559">
        <v>1339.6982422000001</v>
      </c>
      <c r="D559">
        <v>1337.4145507999999</v>
      </c>
      <c r="E559">
        <v>1321.8105469</v>
      </c>
      <c r="F559">
        <v>1317.7575684000001</v>
      </c>
      <c r="G559">
        <v>80</v>
      </c>
      <c r="H559">
        <v>79.946762085000003</v>
      </c>
      <c r="I559">
        <v>50</v>
      </c>
      <c r="J559">
        <v>15.124330520999999</v>
      </c>
      <c r="K559">
        <v>2400</v>
      </c>
      <c r="L559">
        <v>0</v>
      </c>
      <c r="M559">
        <v>0</v>
      </c>
      <c r="N559">
        <v>2400</v>
      </c>
    </row>
    <row r="560" spans="1:14" x14ac:dyDescent="0.25">
      <c r="A560">
        <v>93.816886999999994</v>
      </c>
      <c r="B560" s="1">
        <f>DATE(2010,8,2) + TIME(19,36,19)</f>
        <v>40392.816886574074</v>
      </c>
      <c r="C560">
        <v>1339.6956786999999</v>
      </c>
      <c r="D560">
        <v>1337.4125977000001</v>
      </c>
      <c r="E560">
        <v>1321.8133545000001</v>
      </c>
      <c r="F560">
        <v>1317.7592772999999</v>
      </c>
      <c r="G560">
        <v>80</v>
      </c>
      <c r="H560">
        <v>79.946777343999997</v>
      </c>
      <c r="I560">
        <v>50</v>
      </c>
      <c r="J560">
        <v>15.133766174</v>
      </c>
      <c r="K560">
        <v>2400</v>
      </c>
      <c r="L560">
        <v>0</v>
      </c>
      <c r="M560">
        <v>0</v>
      </c>
      <c r="N560">
        <v>2400</v>
      </c>
    </row>
    <row r="561" spans="1:14" x14ac:dyDescent="0.25">
      <c r="A561">
        <v>94.120169000000004</v>
      </c>
      <c r="B561" s="1">
        <f>DATE(2010,8,3) + TIME(2,53,2)</f>
        <v>40393.120162037034</v>
      </c>
      <c r="C561">
        <v>1339.6931152</v>
      </c>
      <c r="D561">
        <v>1337.4105225000001</v>
      </c>
      <c r="E561">
        <v>1321.8161620999999</v>
      </c>
      <c r="F561">
        <v>1317.7609863</v>
      </c>
      <c r="G561">
        <v>80</v>
      </c>
      <c r="H561">
        <v>79.946784973000007</v>
      </c>
      <c r="I561">
        <v>50</v>
      </c>
      <c r="J561">
        <v>15.143645287</v>
      </c>
      <c r="K561">
        <v>2400</v>
      </c>
      <c r="L561">
        <v>0</v>
      </c>
      <c r="M561">
        <v>0</v>
      </c>
      <c r="N561">
        <v>2400</v>
      </c>
    </row>
    <row r="562" spans="1:14" x14ac:dyDescent="0.25">
      <c r="A562">
        <v>94.423450000000003</v>
      </c>
      <c r="B562" s="1">
        <f>DATE(2010,8,3) + TIME(10,9,46)</f>
        <v>40393.423449074071</v>
      </c>
      <c r="C562">
        <v>1339.6905518000001</v>
      </c>
      <c r="D562">
        <v>1337.4085693</v>
      </c>
      <c r="E562">
        <v>1321.8189697</v>
      </c>
      <c r="F562">
        <v>1317.7626952999999</v>
      </c>
      <c r="G562">
        <v>80</v>
      </c>
      <c r="H562">
        <v>79.946800232000001</v>
      </c>
      <c r="I562">
        <v>50</v>
      </c>
      <c r="J562">
        <v>15.154037475999999</v>
      </c>
      <c r="K562">
        <v>2400</v>
      </c>
      <c r="L562">
        <v>0</v>
      </c>
      <c r="M562">
        <v>0</v>
      </c>
      <c r="N562">
        <v>2400</v>
      </c>
    </row>
    <row r="563" spans="1:14" x14ac:dyDescent="0.25">
      <c r="A563">
        <v>94.726731000000001</v>
      </c>
      <c r="B563" s="1">
        <f>DATE(2010,8,3) + TIME(17,26,29)</f>
        <v>40393.726724537039</v>
      </c>
      <c r="C563">
        <v>1339.6879882999999</v>
      </c>
      <c r="D563">
        <v>1337.4064940999999</v>
      </c>
      <c r="E563">
        <v>1321.8217772999999</v>
      </c>
      <c r="F563">
        <v>1317.7645264</v>
      </c>
      <c r="G563">
        <v>80</v>
      </c>
      <c r="H563">
        <v>79.946815490999995</v>
      </c>
      <c r="I563">
        <v>50</v>
      </c>
      <c r="J563">
        <v>15.16500473</v>
      </c>
      <c r="K563">
        <v>2400</v>
      </c>
      <c r="L563">
        <v>0</v>
      </c>
      <c r="M563">
        <v>0</v>
      </c>
      <c r="N563">
        <v>2400</v>
      </c>
    </row>
    <row r="564" spans="1:14" x14ac:dyDescent="0.25">
      <c r="A564">
        <v>95.030011999999999</v>
      </c>
      <c r="B564" s="1">
        <f>DATE(2010,8,4) + TIME(0,43,13)</f>
        <v>40394.030011574076</v>
      </c>
      <c r="C564">
        <v>1339.6854248</v>
      </c>
      <c r="D564">
        <v>1337.4045410000001</v>
      </c>
      <c r="E564">
        <v>1321.824707</v>
      </c>
      <c r="F564">
        <v>1317.7663574000001</v>
      </c>
      <c r="G564">
        <v>80</v>
      </c>
      <c r="H564">
        <v>79.946830750000004</v>
      </c>
      <c r="I564">
        <v>50</v>
      </c>
      <c r="J564">
        <v>15.176602364000001</v>
      </c>
      <c r="K564">
        <v>2400</v>
      </c>
      <c r="L564">
        <v>0</v>
      </c>
      <c r="M564">
        <v>0</v>
      </c>
      <c r="N564">
        <v>2400</v>
      </c>
    </row>
    <row r="565" spans="1:14" x14ac:dyDescent="0.25">
      <c r="A565">
        <v>95.333292999999998</v>
      </c>
      <c r="B565" s="1">
        <f>DATE(2010,8,4) + TIME(7,59,56)</f>
        <v>40394.333287037036</v>
      </c>
      <c r="C565">
        <v>1339.6829834</v>
      </c>
      <c r="D565">
        <v>1337.4025879000001</v>
      </c>
      <c r="E565">
        <v>1321.8277588000001</v>
      </c>
      <c r="F565">
        <v>1317.7681885</v>
      </c>
      <c r="G565">
        <v>80</v>
      </c>
      <c r="H565">
        <v>79.946846007999994</v>
      </c>
      <c r="I565">
        <v>50</v>
      </c>
      <c r="J565">
        <v>15.188882828000001</v>
      </c>
      <c r="K565">
        <v>2400</v>
      </c>
      <c r="L565">
        <v>0</v>
      </c>
      <c r="M565">
        <v>0</v>
      </c>
      <c r="N565">
        <v>2400</v>
      </c>
    </row>
    <row r="566" spans="1:14" x14ac:dyDescent="0.25">
      <c r="A566">
        <v>95.636573999999996</v>
      </c>
      <c r="B566" s="1">
        <f>DATE(2010,8,4) + TIME(15,16,39)</f>
        <v>40394.636562500003</v>
      </c>
      <c r="C566">
        <v>1339.6804199000001</v>
      </c>
      <c r="D566">
        <v>1337.4005127</v>
      </c>
      <c r="E566">
        <v>1321.8306885</v>
      </c>
      <c r="F566">
        <v>1317.7701416</v>
      </c>
      <c r="G566">
        <v>80</v>
      </c>
      <c r="H566">
        <v>79.946853637999993</v>
      </c>
      <c r="I566">
        <v>50</v>
      </c>
      <c r="J566">
        <v>15.201897621000001</v>
      </c>
      <c r="K566">
        <v>2400</v>
      </c>
      <c r="L566">
        <v>0</v>
      </c>
      <c r="M566">
        <v>0</v>
      </c>
      <c r="N566">
        <v>2400</v>
      </c>
    </row>
    <row r="567" spans="1:14" x14ac:dyDescent="0.25">
      <c r="A567">
        <v>96.243136000000007</v>
      </c>
      <c r="B567" s="1">
        <f>DATE(2010,8,5) + TIME(5,50,6)</f>
        <v>40395.243125000001</v>
      </c>
      <c r="C567">
        <v>1339.6779785000001</v>
      </c>
      <c r="D567">
        <v>1337.3986815999999</v>
      </c>
      <c r="E567">
        <v>1321.8334961</v>
      </c>
      <c r="F567">
        <v>1317.7722168</v>
      </c>
      <c r="G567">
        <v>80</v>
      </c>
      <c r="H567">
        <v>79.946891785000005</v>
      </c>
      <c r="I567">
        <v>50</v>
      </c>
      <c r="J567">
        <v>15.223754883</v>
      </c>
      <c r="K567">
        <v>2400</v>
      </c>
      <c r="L567">
        <v>0</v>
      </c>
      <c r="M567">
        <v>0</v>
      </c>
      <c r="N567">
        <v>2400</v>
      </c>
    </row>
    <row r="568" spans="1:14" x14ac:dyDescent="0.25">
      <c r="A568">
        <v>96.851725999999999</v>
      </c>
      <c r="B568" s="1">
        <f>DATE(2010,8,5) + TIME(20,26,29)</f>
        <v>40395.851724537039</v>
      </c>
      <c r="C568">
        <v>1339.6729736</v>
      </c>
      <c r="D568">
        <v>1337.3946533000001</v>
      </c>
      <c r="E568">
        <v>1321.8397216999999</v>
      </c>
      <c r="F568">
        <v>1317.776001</v>
      </c>
      <c r="G568">
        <v>80</v>
      </c>
      <c r="H568">
        <v>79.946922302000004</v>
      </c>
      <c r="I568">
        <v>50</v>
      </c>
      <c r="J568">
        <v>15.250703811999999</v>
      </c>
      <c r="K568">
        <v>2400</v>
      </c>
      <c r="L568">
        <v>0</v>
      </c>
      <c r="M568">
        <v>0</v>
      </c>
      <c r="N568">
        <v>2400</v>
      </c>
    </row>
    <row r="569" spans="1:14" x14ac:dyDescent="0.25">
      <c r="A569">
        <v>97.468048999999993</v>
      </c>
      <c r="B569" s="1">
        <f>DATE(2010,8,6) + TIME(11,13,59)</f>
        <v>40396.468043981484</v>
      </c>
      <c r="C569">
        <v>1339.6679687999999</v>
      </c>
      <c r="D569">
        <v>1337.3907471</v>
      </c>
      <c r="E569">
        <v>1321.8461914</v>
      </c>
      <c r="F569">
        <v>1317.7801514</v>
      </c>
      <c r="G569">
        <v>80</v>
      </c>
      <c r="H569">
        <v>79.946952820000007</v>
      </c>
      <c r="I569">
        <v>50</v>
      </c>
      <c r="J569">
        <v>15.282590866</v>
      </c>
      <c r="K569">
        <v>2400</v>
      </c>
      <c r="L569">
        <v>0</v>
      </c>
      <c r="M569">
        <v>0</v>
      </c>
      <c r="N569">
        <v>2400</v>
      </c>
    </row>
    <row r="570" spans="1:14" x14ac:dyDescent="0.25">
      <c r="A570">
        <v>98.093757999999994</v>
      </c>
      <c r="B570" s="1">
        <f>DATE(2010,8,7) + TIME(2,15,0)</f>
        <v>40397.09375</v>
      </c>
      <c r="C570">
        <v>1339.6628418</v>
      </c>
      <c r="D570">
        <v>1337.3868408000001</v>
      </c>
      <c r="E570">
        <v>1321.8527832</v>
      </c>
      <c r="F570">
        <v>1317.7845459</v>
      </c>
      <c r="G570">
        <v>80</v>
      </c>
      <c r="H570">
        <v>79.946983337000006</v>
      </c>
      <c r="I570">
        <v>50</v>
      </c>
      <c r="J570">
        <v>15.319631576999999</v>
      </c>
      <c r="K570">
        <v>2400</v>
      </c>
      <c r="L570">
        <v>0</v>
      </c>
      <c r="M570">
        <v>0</v>
      </c>
      <c r="N570">
        <v>2400</v>
      </c>
    </row>
    <row r="571" spans="1:14" x14ac:dyDescent="0.25">
      <c r="A571">
        <v>98.724345999999997</v>
      </c>
      <c r="B571" s="1">
        <f>DATE(2010,8,7) + TIME(17,23,3)</f>
        <v>40397.724340277775</v>
      </c>
      <c r="C571">
        <v>1339.6578368999999</v>
      </c>
      <c r="D571">
        <v>1337.3828125</v>
      </c>
      <c r="E571">
        <v>1321.8597411999999</v>
      </c>
      <c r="F571">
        <v>1317.7891846</v>
      </c>
      <c r="G571">
        <v>80</v>
      </c>
      <c r="H571">
        <v>79.947013854999994</v>
      </c>
      <c r="I571">
        <v>50</v>
      </c>
      <c r="J571">
        <v>15.36208725</v>
      </c>
      <c r="K571">
        <v>2400</v>
      </c>
      <c r="L571">
        <v>0</v>
      </c>
      <c r="M571">
        <v>0</v>
      </c>
      <c r="N571">
        <v>2400</v>
      </c>
    </row>
    <row r="572" spans="1:14" x14ac:dyDescent="0.25">
      <c r="A572">
        <v>99.040063000000004</v>
      </c>
      <c r="B572" s="1">
        <f>DATE(2010,8,8) + TIME(0,57,41)</f>
        <v>40398.04005787037</v>
      </c>
      <c r="C572">
        <v>1339.6527100000001</v>
      </c>
      <c r="D572">
        <v>1337.3787841999999</v>
      </c>
      <c r="E572">
        <v>1321.8679199000001</v>
      </c>
      <c r="F572">
        <v>1317.7938231999999</v>
      </c>
      <c r="G572">
        <v>80</v>
      </c>
      <c r="H572">
        <v>79.947021484000004</v>
      </c>
      <c r="I572">
        <v>50</v>
      </c>
      <c r="J572">
        <v>15.39273262</v>
      </c>
      <c r="K572">
        <v>2400</v>
      </c>
      <c r="L572">
        <v>0</v>
      </c>
      <c r="M572">
        <v>0</v>
      </c>
      <c r="N572">
        <v>2400</v>
      </c>
    </row>
    <row r="573" spans="1:14" x14ac:dyDescent="0.25">
      <c r="A573">
        <v>99.355779999999996</v>
      </c>
      <c r="B573" s="1">
        <f>DATE(2010,8,8) + TIME(8,32,19)</f>
        <v>40398.355775462966</v>
      </c>
      <c r="C573">
        <v>1339.6501464999999</v>
      </c>
      <c r="D573">
        <v>1337.3767089999999</v>
      </c>
      <c r="E573">
        <v>1321.8714600000001</v>
      </c>
      <c r="F573">
        <v>1317.7965088000001</v>
      </c>
      <c r="G573">
        <v>80</v>
      </c>
      <c r="H573">
        <v>79.947036742999998</v>
      </c>
      <c r="I573">
        <v>50</v>
      </c>
      <c r="J573">
        <v>15.423537253999999</v>
      </c>
      <c r="K573">
        <v>2400</v>
      </c>
      <c r="L573">
        <v>0</v>
      </c>
      <c r="M573">
        <v>0</v>
      </c>
      <c r="N573">
        <v>2400</v>
      </c>
    </row>
    <row r="574" spans="1:14" x14ac:dyDescent="0.25">
      <c r="A574">
        <v>99.671497000000002</v>
      </c>
      <c r="B574" s="1">
        <f>DATE(2010,8,8) + TIME(16,6,57)</f>
        <v>40398.671493055554</v>
      </c>
      <c r="C574">
        <v>1339.6475829999999</v>
      </c>
      <c r="D574">
        <v>1337.3747559000001</v>
      </c>
      <c r="E574">
        <v>1321.8751221</v>
      </c>
      <c r="F574">
        <v>1317.7991943</v>
      </c>
      <c r="G574">
        <v>80</v>
      </c>
      <c r="H574">
        <v>79.947052002000007</v>
      </c>
      <c r="I574">
        <v>50</v>
      </c>
      <c r="J574">
        <v>15.454956055</v>
      </c>
      <c r="K574">
        <v>2400</v>
      </c>
      <c r="L574">
        <v>0</v>
      </c>
      <c r="M574">
        <v>0</v>
      </c>
      <c r="N574">
        <v>2400</v>
      </c>
    </row>
    <row r="575" spans="1:14" x14ac:dyDescent="0.25">
      <c r="A575">
        <v>99.987213999999994</v>
      </c>
      <c r="B575" s="1">
        <f>DATE(2010,8,8) + TIME(23,41,35)</f>
        <v>40398.987210648149</v>
      </c>
      <c r="C575">
        <v>1339.6451416</v>
      </c>
      <c r="D575">
        <v>1337.3728027</v>
      </c>
      <c r="E575">
        <v>1321.8789062000001</v>
      </c>
      <c r="F575">
        <v>1317.8020019999999</v>
      </c>
      <c r="G575">
        <v>80</v>
      </c>
      <c r="H575">
        <v>79.947059631000002</v>
      </c>
      <c r="I575">
        <v>50</v>
      </c>
      <c r="J575">
        <v>15.487347603</v>
      </c>
      <c r="K575">
        <v>2400</v>
      </c>
      <c r="L575">
        <v>0</v>
      </c>
      <c r="M575">
        <v>0</v>
      </c>
      <c r="N575">
        <v>2400</v>
      </c>
    </row>
    <row r="576" spans="1:14" x14ac:dyDescent="0.25">
      <c r="A576">
        <v>100.302931</v>
      </c>
      <c r="B576" s="1">
        <f>DATE(2010,8,9) + TIME(7,16,13)</f>
        <v>40399.302928240744</v>
      </c>
      <c r="C576">
        <v>1339.6425781</v>
      </c>
      <c r="D576">
        <v>1337.3708495999999</v>
      </c>
      <c r="E576">
        <v>1321.8826904</v>
      </c>
      <c r="F576">
        <v>1317.8048096</v>
      </c>
      <c r="G576">
        <v>80</v>
      </c>
      <c r="H576">
        <v>79.947074889999996</v>
      </c>
      <c r="I576">
        <v>50</v>
      </c>
      <c r="J576">
        <v>15.520996093999999</v>
      </c>
      <c r="K576">
        <v>2400</v>
      </c>
      <c r="L576">
        <v>0</v>
      </c>
      <c r="M576">
        <v>0</v>
      </c>
      <c r="N576">
        <v>2400</v>
      </c>
    </row>
    <row r="577" spans="1:14" x14ac:dyDescent="0.25">
      <c r="A577">
        <v>100.61864799999999</v>
      </c>
      <c r="B577" s="1">
        <f>DATE(2010,8,9) + TIME(14,50,51)</f>
        <v>40399.618645833332</v>
      </c>
      <c r="C577">
        <v>1339.6401367000001</v>
      </c>
      <c r="D577">
        <v>1337.3688964999999</v>
      </c>
      <c r="E577">
        <v>1321.8865966999999</v>
      </c>
      <c r="F577">
        <v>1317.8077393000001</v>
      </c>
      <c r="G577">
        <v>80</v>
      </c>
      <c r="H577">
        <v>79.947090149000005</v>
      </c>
      <c r="I577">
        <v>50</v>
      </c>
      <c r="J577">
        <v>15.556138039</v>
      </c>
      <c r="K577">
        <v>2400</v>
      </c>
      <c r="L577">
        <v>0</v>
      </c>
      <c r="M577">
        <v>0</v>
      </c>
      <c r="N577">
        <v>2400</v>
      </c>
    </row>
    <row r="578" spans="1:14" x14ac:dyDescent="0.25">
      <c r="A578">
        <v>100.934365</v>
      </c>
      <c r="B578" s="1">
        <f>DATE(2010,8,9) + TIME(22,25,29)</f>
        <v>40399.934363425928</v>
      </c>
      <c r="C578">
        <v>1339.6375731999999</v>
      </c>
      <c r="D578">
        <v>1337.3668213000001</v>
      </c>
      <c r="E578">
        <v>1321.8905029</v>
      </c>
      <c r="F578">
        <v>1317.8106689000001</v>
      </c>
      <c r="G578">
        <v>80</v>
      </c>
      <c r="H578">
        <v>79.947105407999999</v>
      </c>
      <c r="I578">
        <v>50</v>
      </c>
      <c r="J578">
        <v>15.592973709000001</v>
      </c>
      <c r="K578">
        <v>2400</v>
      </c>
      <c r="L578">
        <v>0</v>
      </c>
      <c r="M578">
        <v>0</v>
      </c>
      <c r="N578">
        <v>2400</v>
      </c>
    </row>
    <row r="579" spans="1:14" x14ac:dyDescent="0.25">
      <c r="A579">
        <v>101.25008200000001</v>
      </c>
      <c r="B579" s="1">
        <f>DATE(2010,8,10) + TIME(6,0,7)</f>
        <v>40400.250081018516</v>
      </c>
      <c r="C579">
        <v>1339.6351318</v>
      </c>
      <c r="D579">
        <v>1337.3648682</v>
      </c>
      <c r="E579">
        <v>1321.8944091999999</v>
      </c>
      <c r="F579">
        <v>1317.8137207</v>
      </c>
      <c r="G579">
        <v>80</v>
      </c>
      <c r="H579">
        <v>79.947120666999993</v>
      </c>
      <c r="I579">
        <v>50</v>
      </c>
      <c r="J579">
        <v>15.631677628</v>
      </c>
      <c r="K579">
        <v>2400</v>
      </c>
      <c r="L579">
        <v>0</v>
      </c>
      <c r="M579">
        <v>0</v>
      </c>
      <c r="N579">
        <v>2400</v>
      </c>
    </row>
    <row r="580" spans="1:14" x14ac:dyDescent="0.25">
      <c r="A580">
        <v>101.565799</v>
      </c>
      <c r="B580" s="1">
        <f>DATE(2010,8,10) + TIME(13,34,45)</f>
        <v>40400.565798611111</v>
      </c>
      <c r="C580">
        <v>1339.6325684000001</v>
      </c>
      <c r="D580">
        <v>1337.3629149999999</v>
      </c>
      <c r="E580">
        <v>1321.8984375</v>
      </c>
      <c r="F580">
        <v>1317.8167725000001</v>
      </c>
      <c r="G580">
        <v>80</v>
      </c>
      <c r="H580">
        <v>79.947135924999998</v>
      </c>
      <c r="I580">
        <v>50</v>
      </c>
      <c r="J580">
        <v>15.672409058</v>
      </c>
      <c r="K580">
        <v>2400</v>
      </c>
      <c r="L580">
        <v>0</v>
      </c>
      <c r="M580">
        <v>0</v>
      </c>
      <c r="N580">
        <v>2400</v>
      </c>
    </row>
    <row r="581" spans="1:14" x14ac:dyDescent="0.25">
      <c r="A581">
        <v>101.881516</v>
      </c>
      <c r="B581" s="1">
        <f>DATE(2010,8,10) + TIME(21,9,23)</f>
        <v>40400.881516203706</v>
      </c>
      <c r="C581">
        <v>1339.6301269999999</v>
      </c>
      <c r="D581">
        <v>1337.3609618999999</v>
      </c>
      <c r="E581">
        <v>1321.9025879000001</v>
      </c>
      <c r="F581">
        <v>1317.8200684000001</v>
      </c>
      <c r="G581">
        <v>80</v>
      </c>
      <c r="H581">
        <v>79.947151184000006</v>
      </c>
      <c r="I581">
        <v>50</v>
      </c>
      <c r="J581">
        <v>15.715312003999999</v>
      </c>
      <c r="K581">
        <v>2400</v>
      </c>
      <c r="L581">
        <v>0</v>
      </c>
      <c r="M581">
        <v>0</v>
      </c>
      <c r="N581">
        <v>2400</v>
      </c>
    </row>
    <row r="582" spans="1:14" x14ac:dyDescent="0.25">
      <c r="A582">
        <v>102.197233</v>
      </c>
      <c r="B582" s="1">
        <f>DATE(2010,8,11) + TIME(4,44,0)</f>
        <v>40401.197222222225</v>
      </c>
      <c r="C582">
        <v>1339.6276855000001</v>
      </c>
      <c r="D582">
        <v>1337.3590088000001</v>
      </c>
      <c r="E582">
        <v>1321.9067382999999</v>
      </c>
      <c r="F582">
        <v>1317.8233643000001</v>
      </c>
      <c r="G582">
        <v>80</v>
      </c>
      <c r="H582">
        <v>79.947166443</v>
      </c>
      <c r="I582">
        <v>50</v>
      </c>
      <c r="J582">
        <v>15.76052475</v>
      </c>
      <c r="K582">
        <v>2400</v>
      </c>
      <c r="L582">
        <v>0</v>
      </c>
      <c r="M582">
        <v>0</v>
      </c>
      <c r="N582">
        <v>2400</v>
      </c>
    </row>
    <row r="583" spans="1:14" x14ac:dyDescent="0.25">
      <c r="A583">
        <v>102.512951</v>
      </c>
      <c r="B583" s="1">
        <f>DATE(2010,8,11) + TIME(12,18,38)</f>
        <v>40401.512939814813</v>
      </c>
      <c r="C583">
        <v>1339.6252440999999</v>
      </c>
      <c r="D583">
        <v>1337.3570557</v>
      </c>
      <c r="E583">
        <v>1321.9108887</v>
      </c>
      <c r="F583">
        <v>1317.8266602000001</v>
      </c>
      <c r="G583">
        <v>80</v>
      </c>
      <c r="H583">
        <v>79.947181701999995</v>
      </c>
      <c r="I583">
        <v>50</v>
      </c>
      <c r="J583">
        <v>15.808178902</v>
      </c>
      <c r="K583">
        <v>2400</v>
      </c>
      <c r="L583">
        <v>0</v>
      </c>
      <c r="M583">
        <v>0</v>
      </c>
      <c r="N583">
        <v>2400</v>
      </c>
    </row>
    <row r="584" spans="1:14" x14ac:dyDescent="0.25">
      <c r="A584">
        <v>102.82866799999999</v>
      </c>
      <c r="B584" s="1">
        <f>DATE(2010,8,11) + TIME(19,53,16)</f>
        <v>40401.828657407408</v>
      </c>
      <c r="C584">
        <v>1339.6228027</v>
      </c>
      <c r="D584">
        <v>1337.3552245999999</v>
      </c>
      <c r="E584">
        <v>1321.9151611</v>
      </c>
      <c r="F584">
        <v>1317.8302002</v>
      </c>
      <c r="G584">
        <v>80</v>
      </c>
      <c r="H584">
        <v>79.947196959999999</v>
      </c>
      <c r="I584">
        <v>50</v>
      </c>
      <c r="J584">
        <v>15.858399391000001</v>
      </c>
      <c r="K584">
        <v>2400</v>
      </c>
      <c r="L584">
        <v>0</v>
      </c>
      <c r="M584">
        <v>0</v>
      </c>
      <c r="N584">
        <v>2400</v>
      </c>
    </row>
    <row r="585" spans="1:14" x14ac:dyDescent="0.25">
      <c r="A585">
        <v>103.144385</v>
      </c>
      <c r="B585" s="1">
        <f>DATE(2010,8,12) + TIME(3,27,54)</f>
        <v>40402.144375000003</v>
      </c>
      <c r="C585">
        <v>1339.6203613</v>
      </c>
      <c r="D585">
        <v>1337.3532714999999</v>
      </c>
      <c r="E585">
        <v>1321.9194336</v>
      </c>
      <c r="F585">
        <v>1317.8337402</v>
      </c>
      <c r="G585">
        <v>80</v>
      </c>
      <c r="H585">
        <v>79.947212218999994</v>
      </c>
      <c r="I585">
        <v>50</v>
      </c>
      <c r="J585">
        <v>15.911310196000001</v>
      </c>
      <c r="K585">
        <v>2400</v>
      </c>
      <c r="L585">
        <v>0</v>
      </c>
      <c r="M585">
        <v>0</v>
      </c>
      <c r="N585">
        <v>2400</v>
      </c>
    </row>
    <row r="586" spans="1:14" x14ac:dyDescent="0.25">
      <c r="A586">
        <v>103.46010200000001</v>
      </c>
      <c r="B586" s="1">
        <f>DATE(2010,8,12) + TIME(11,2,32)</f>
        <v>40402.460092592592</v>
      </c>
      <c r="C586">
        <v>1339.6179199000001</v>
      </c>
      <c r="D586">
        <v>1337.3513184000001</v>
      </c>
      <c r="E586">
        <v>1321.9237060999999</v>
      </c>
      <c r="F586">
        <v>1317.8374022999999</v>
      </c>
      <c r="G586">
        <v>80</v>
      </c>
      <c r="H586">
        <v>79.947227478000002</v>
      </c>
      <c r="I586">
        <v>50</v>
      </c>
      <c r="J586">
        <v>15.967028618000001</v>
      </c>
      <c r="K586">
        <v>2400</v>
      </c>
      <c r="L586">
        <v>0</v>
      </c>
      <c r="M586">
        <v>0</v>
      </c>
      <c r="N586">
        <v>2400</v>
      </c>
    </row>
    <row r="587" spans="1:14" x14ac:dyDescent="0.25">
      <c r="A587">
        <v>103.775819</v>
      </c>
      <c r="B587" s="1">
        <f>DATE(2010,8,12) + TIME(18,37,10)</f>
        <v>40402.775810185187</v>
      </c>
      <c r="C587">
        <v>1339.6154785000001</v>
      </c>
      <c r="D587">
        <v>1337.3493652</v>
      </c>
      <c r="E587">
        <v>1321.9279785000001</v>
      </c>
      <c r="F587">
        <v>1317.8410644999999</v>
      </c>
      <c r="G587">
        <v>80</v>
      </c>
      <c r="H587">
        <v>79.947242736999996</v>
      </c>
      <c r="I587">
        <v>50</v>
      </c>
      <c r="J587">
        <v>16.025674819999999</v>
      </c>
      <c r="K587">
        <v>2400</v>
      </c>
      <c r="L587">
        <v>0</v>
      </c>
      <c r="M587">
        <v>0</v>
      </c>
      <c r="N587">
        <v>2400</v>
      </c>
    </row>
    <row r="588" spans="1:14" x14ac:dyDescent="0.25">
      <c r="A588">
        <v>104.091536</v>
      </c>
      <c r="B588" s="1">
        <f>DATE(2010,8,13) + TIME(2,11,48)</f>
        <v>40403.091527777775</v>
      </c>
      <c r="C588">
        <v>1339.6130370999999</v>
      </c>
      <c r="D588">
        <v>1337.3474120999999</v>
      </c>
      <c r="E588">
        <v>1321.9323730000001</v>
      </c>
      <c r="F588">
        <v>1317.8449707</v>
      </c>
      <c r="G588">
        <v>80</v>
      </c>
      <c r="H588">
        <v>79.947257996000005</v>
      </c>
      <c r="I588">
        <v>50</v>
      </c>
      <c r="J588">
        <v>16.087364196999999</v>
      </c>
      <c r="K588">
        <v>2400</v>
      </c>
      <c r="L588">
        <v>0</v>
      </c>
      <c r="M588">
        <v>0</v>
      </c>
      <c r="N588">
        <v>2400</v>
      </c>
    </row>
    <row r="589" spans="1:14" x14ac:dyDescent="0.25">
      <c r="A589">
        <v>104.72297</v>
      </c>
      <c r="B589" s="1">
        <f>DATE(2010,8,13) + TIME(17,21,4)</f>
        <v>40403.722962962966</v>
      </c>
      <c r="C589">
        <v>1339.6105957</v>
      </c>
      <c r="D589">
        <v>1337.3455810999999</v>
      </c>
      <c r="E589">
        <v>1321.9349365</v>
      </c>
      <c r="F589">
        <v>1317.8494873</v>
      </c>
      <c r="G589">
        <v>80</v>
      </c>
      <c r="H589">
        <v>79.947296143000003</v>
      </c>
      <c r="I589">
        <v>50</v>
      </c>
      <c r="J589">
        <v>16.188886642</v>
      </c>
      <c r="K589">
        <v>2400</v>
      </c>
      <c r="L589">
        <v>0</v>
      </c>
      <c r="M589">
        <v>0</v>
      </c>
      <c r="N589">
        <v>2400</v>
      </c>
    </row>
    <row r="590" spans="1:14" x14ac:dyDescent="0.25">
      <c r="A590">
        <v>105.357508</v>
      </c>
      <c r="B590" s="1">
        <f>DATE(2010,8,14) + TIME(8,34,48)</f>
        <v>40404.357499999998</v>
      </c>
      <c r="C590">
        <v>1339.6058350000001</v>
      </c>
      <c r="D590">
        <v>1337.3417969</v>
      </c>
      <c r="E590">
        <v>1321.9442139</v>
      </c>
      <c r="F590">
        <v>1317.8572998</v>
      </c>
      <c r="G590">
        <v>80</v>
      </c>
      <c r="H590">
        <v>79.947334290000001</v>
      </c>
      <c r="I590">
        <v>50</v>
      </c>
      <c r="J590">
        <v>16.313323974999999</v>
      </c>
      <c r="K590">
        <v>2400</v>
      </c>
      <c r="L590">
        <v>0</v>
      </c>
      <c r="M590">
        <v>0</v>
      </c>
      <c r="N590">
        <v>2400</v>
      </c>
    </row>
    <row r="591" spans="1:14" x14ac:dyDescent="0.25">
      <c r="A591">
        <v>106.00754000000001</v>
      </c>
      <c r="B591" s="1">
        <f>DATE(2010,8,15) + TIME(0,10,51)</f>
        <v>40405.007534722223</v>
      </c>
      <c r="C591">
        <v>1339.6009521000001</v>
      </c>
      <c r="D591">
        <v>1337.3378906</v>
      </c>
      <c r="E591">
        <v>1321.9533690999999</v>
      </c>
      <c r="F591">
        <v>1317.8657227000001</v>
      </c>
      <c r="G591">
        <v>80</v>
      </c>
      <c r="H591">
        <v>79.947364807</v>
      </c>
      <c r="I591">
        <v>50</v>
      </c>
      <c r="J591">
        <v>16.459230423000001</v>
      </c>
      <c r="K591">
        <v>2400</v>
      </c>
      <c r="L591">
        <v>0</v>
      </c>
      <c r="M591">
        <v>0</v>
      </c>
      <c r="N591">
        <v>2400</v>
      </c>
    </row>
    <row r="592" spans="1:14" x14ac:dyDescent="0.25">
      <c r="A592">
        <v>106.337878</v>
      </c>
      <c r="B592" s="1">
        <f>DATE(2010,8,15) + TIME(8,6,32)</f>
        <v>40405.337870370371</v>
      </c>
      <c r="C592">
        <v>1339.5960693</v>
      </c>
      <c r="D592">
        <v>1337.3339844</v>
      </c>
      <c r="E592">
        <v>1321.9655762</v>
      </c>
      <c r="F592">
        <v>1317.8742675999999</v>
      </c>
      <c r="G592">
        <v>80</v>
      </c>
      <c r="H592">
        <v>79.947380065999994</v>
      </c>
      <c r="I592">
        <v>50</v>
      </c>
      <c r="J592">
        <v>16.566732407</v>
      </c>
      <c r="K592">
        <v>2400</v>
      </c>
      <c r="L592">
        <v>0</v>
      </c>
      <c r="M592">
        <v>0</v>
      </c>
      <c r="N592">
        <v>2400</v>
      </c>
    </row>
    <row r="593" spans="1:14" x14ac:dyDescent="0.25">
      <c r="A593">
        <v>106.981933</v>
      </c>
      <c r="B593" s="1">
        <f>DATE(2010,8,15) + TIME(23,33,59)</f>
        <v>40405.981932870367</v>
      </c>
      <c r="C593">
        <v>1339.5936279</v>
      </c>
      <c r="D593">
        <v>1337.3320312000001</v>
      </c>
      <c r="E593">
        <v>1321.9670410000001</v>
      </c>
      <c r="F593">
        <v>1317.880249</v>
      </c>
      <c r="G593">
        <v>80</v>
      </c>
      <c r="H593">
        <v>79.947410583000007</v>
      </c>
      <c r="I593">
        <v>50</v>
      </c>
      <c r="J593">
        <v>16.729938507</v>
      </c>
      <c r="K593">
        <v>2400</v>
      </c>
      <c r="L593">
        <v>0</v>
      </c>
      <c r="M593">
        <v>0</v>
      </c>
      <c r="N593">
        <v>2400</v>
      </c>
    </row>
    <row r="594" spans="1:14" x14ac:dyDescent="0.25">
      <c r="A594">
        <v>107.306324</v>
      </c>
      <c r="B594" s="1">
        <f>DATE(2010,8,16) + TIME(7,21,6)</f>
        <v>40406.306319444448</v>
      </c>
      <c r="C594">
        <v>1339.5887451000001</v>
      </c>
      <c r="D594">
        <v>1337.328125</v>
      </c>
      <c r="E594">
        <v>1321.9796143000001</v>
      </c>
      <c r="F594">
        <v>1317.8892822</v>
      </c>
      <c r="G594">
        <v>80</v>
      </c>
      <c r="H594">
        <v>79.947425842000001</v>
      </c>
      <c r="I594">
        <v>50</v>
      </c>
      <c r="J594">
        <v>16.849882126000001</v>
      </c>
      <c r="K594">
        <v>2400</v>
      </c>
      <c r="L594">
        <v>0</v>
      </c>
      <c r="M594">
        <v>0</v>
      </c>
      <c r="N594">
        <v>2400</v>
      </c>
    </row>
    <row r="595" spans="1:14" x14ac:dyDescent="0.25">
      <c r="A595">
        <v>107.9395</v>
      </c>
      <c r="B595" s="1">
        <f>DATE(2010,8,16) + TIME(22,32,52)</f>
        <v>40406.93949074074</v>
      </c>
      <c r="C595">
        <v>1339.5863036999999</v>
      </c>
      <c r="D595">
        <v>1337.3262939000001</v>
      </c>
      <c r="E595">
        <v>1321.9805908000001</v>
      </c>
      <c r="F595">
        <v>1317.8957519999999</v>
      </c>
      <c r="G595">
        <v>80</v>
      </c>
      <c r="H595">
        <v>79.947463988999999</v>
      </c>
      <c r="I595">
        <v>50</v>
      </c>
      <c r="J595">
        <v>17.032205582</v>
      </c>
      <c r="K595">
        <v>2400</v>
      </c>
      <c r="L595">
        <v>0</v>
      </c>
      <c r="M595">
        <v>0</v>
      </c>
      <c r="N595">
        <v>2400</v>
      </c>
    </row>
    <row r="596" spans="1:14" x14ac:dyDescent="0.25">
      <c r="A596">
        <v>108.58513600000001</v>
      </c>
      <c r="B596" s="1">
        <f>DATE(2010,8,17) + TIME(14,2,35)</f>
        <v>40407.585127314815</v>
      </c>
      <c r="C596">
        <v>1339.5816649999999</v>
      </c>
      <c r="D596">
        <v>1337.3225098</v>
      </c>
      <c r="E596">
        <v>1321.9898682</v>
      </c>
      <c r="F596">
        <v>1317.9061279</v>
      </c>
      <c r="G596">
        <v>80</v>
      </c>
      <c r="H596">
        <v>79.947494507000002</v>
      </c>
      <c r="I596">
        <v>50</v>
      </c>
      <c r="J596">
        <v>17.240911484000002</v>
      </c>
      <c r="K596">
        <v>2400</v>
      </c>
      <c r="L596">
        <v>0</v>
      </c>
      <c r="M596">
        <v>0</v>
      </c>
      <c r="N596">
        <v>2400</v>
      </c>
    </row>
    <row r="597" spans="1:14" x14ac:dyDescent="0.25">
      <c r="A597">
        <v>109.235128</v>
      </c>
      <c r="B597" s="1">
        <f>DATE(2010,8,18) + TIME(5,38,35)</f>
        <v>40408.235127314816</v>
      </c>
      <c r="C597">
        <v>1339.5769043</v>
      </c>
      <c r="D597">
        <v>1337.3187256000001</v>
      </c>
      <c r="E597">
        <v>1321.9991454999999</v>
      </c>
      <c r="F597">
        <v>1317.9174805</v>
      </c>
      <c r="G597">
        <v>80</v>
      </c>
      <c r="H597">
        <v>79.947525024000001</v>
      </c>
      <c r="I597">
        <v>50</v>
      </c>
      <c r="J597">
        <v>17.473617554</v>
      </c>
      <c r="K597">
        <v>2400</v>
      </c>
      <c r="L597">
        <v>0</v>
      </c>
      <c r="M597">
        <v>0</v>
      </c>
      <c r="N597">
        <v>2400</v>
      </c>
    </row>
    <row r="598" spans="1:14" x14ac:dyDescent="0.25">
      <c r="A598">
        <v>109.563715</v>
      </c>
      <c r="B598" s="1">
        <f>DATE(2010,8,18) + TIME(13,31,44)</f>
        <v>40408.563703703701</v>
      </c>
      <c r="C598">
        <v>1339.5721435999999</v>
      </c>
      <c r="D598">
        <v>1337.3149414</v>
      </c>
      <c r="E598">
        <v>1322.0128173999999</v>
      </c>
      <c r="F598">
        <v>1317.9283447</v>
      </c>
      <c r="G598">
        <v>80</v>
      </c>
      <c r="H598">
        <v>79.947540282999995</v>
      </c>
      <c r="I598">
        <v>50</v>
      </c>
      <c r="J598">
        <v>17.639480591000002</v>
      </c>
      <c r="K598">
        <v>2400</v>
      </c>
      <c r="L598">
        <v>0</v>
      </c>
      <c r="M598">
        <v>0</v>
      </c>
      <c r="N598">
        <v>2400</v>
      </c>
    </row>
    <row r="599" spans="1:14" x14ac:dyDescent="0.25">
      <c r="A599">
        <v>109.892302</v>
      </c>
      <c r="B599" s="1">
        <f>DATE(2010,8,18) + TIME(21,24,54)</f>
        <v>40408.892291666663</v>
      </c>
      <c r="C599">
        <v>1339.5697021000001</v>
      </c>
      <c r="D599">
        <v>1337.3129882999999</v>
      </c>
      <c r="E599">
        <v>1322.0166016000001</v>
      </c>
      <c r="F599">
        <v>1317.9353027</v>
      </c>
      <c r="G599">
        <v>80</v>
      </c>
      <c r="H599">
        <v>79.947555542000003</v>
      </c>
      <c r="I599">
        <v>50</v>
      </c>
      <c r="J599">
        <v>17.80132103</v>
      </c>
      <c r="K599">
        <v>2400</v>
      </c>
      <c r="L599">
        <v>0</v>
      </c>
      <c r="M599">
        <v>0</v>
      </c>
      <c r="N599">
        <v>2400</v>
      </c>
    </row>
    <row r="600" spans="1:14" x14ac:dyDescent="0.25">
      <c r="A600">
        <v>110.220889</v>
      </c>
      <c r="B600" s="1">
        <f>DATE(2010,8,19) + TIME(5,18,4)</f>
        <v>40409.220879629633</v>
      </c>
      <c r="C600">
        <v>1339.5672606999999</v>
      </c>
      <c r="D600">
        <v>1337.3110352000001</v>
      </c>
      <c r="E600">
        <v>1322.0206298999999</v>
      </c>
      <c r="F600">
        <v>1317.9421387</v>
      </c>
      <c r="G600">
        <v>80</v>
      </c>
      <c r="H600">
        <v>79.947570800999998</v>
      </c>
      <c r="I600">
        <v>50</v>
      </c>
      <c r="J600">
        <v>17.962354659999999</v>
      </c>
      <c r="K600">
        <v>2400</v>
      </c>
      <c r="L600">
        <v>0</v>
      </c>
      <c r="M600">
        <v>0</v>
      </c>
      <c r="N600">
        <v>2400</v>
      </c>
    </row>
    <row r="601" spans="1:14" x14ac:dyDescent="0.25">
      <c r="A601">
        <v>110.549476</v>
      </c>
      <c r="B601" s="1">
        <f>DATE(2010,8,19) + TIME(13,11,14)</f>
        <v>40409.549467592595</v>
      </c>
      <c r="C601">
        <v>1339.5648193</v>
      </c>
      <c r="D601">
        <v>1337.309082</v>
      </c>
      <c r="E601">
        <v>1322.0247803</v>
      </c>
      <c r="F601">
        <v>1317.9490966999999</v>
      </c>
      <c r="G601">
        <v>80</v>
      </c>
      <c r="H601">
        <v>79.947586060000006</v>
      </c>
      <c r="I601">
        <v>50</v>
      </c>
      <c r="J601">
        <v>18.124656677000001</v>
      </c>
      <c r="K601">
        <v>2400</v>
      </c>
      <c r="L601">
        <v>0</v>
      </c>
      <c r="M601">
        <v>0</v>
      </c>
      <c r="N601">
        <v>2400</v>
      </c>
    </row>
    <row r="602" spans="1:14" x14ac:dyDescent="0.25">
      <c r="A602">
        <v>110.87806399999999</v>
      </c>
      <c r="B602" s="1">
        <f>DATE(2010,8,19) + TIME(21,4,24)</f>
        <v>40409.878055555557</v>
      </c>
      <c r="C602">
        <v>1339.5625</v>
      </c>
      <c r="D602">
        <v>1337.307251</v>
      </c>
      <c r="E602">
        <v>1322.0289307</v>
      </c>
      <c r="F602">
        <v>1317.9562988</v>
      </c>
      <c r="G602">
        <v>80</v>
      </c>
      <c r="H602">
        <v>79.947601317999997</v>
      </c>
      <c r="I602">
        <v>50</v>
      </c>
      <c r="J602">
        <v>18.289533615</v>
      </c>
      <c r="K602">
        <v>2400</v>
      </c>
      <c r="L602">
        <v>0</v>
      </c>
      <c r="M602">
        <v>0</v>
      </c>
      <c r="N602">
        <v>2400</v>
      </c>
    </row>
    <row r="603" spans="1:14" x14ac:dyDescent="0.25">
      <c r="A603">
        <v>111.20665099999999</v>
      </c>
      <c r="B603" s="1">
        <f>DATE(2010,8,20) + TIME(4,57,34)</f>
        <v>40410.206643518519</v>
      </c>
      <c r="C603">
        <v>1339.5601807</v>
      </c>
      <c r="D603">
        <v>1337.3052978999999</v>
      </c>
      <c r="E603">
        <v>1322.0332031</v>
      </c>
      <c r="F603">
        <v>1317.9633789</v>
      </c>
      <c r="G603">
        <v>80</v>
      </c>
      <c r="H603">
        <v>79.947616577000005</v>
      </c>
      <c r="I603">
        <v>50</v>
      </c>
      <c r="J603">
        <v>18.457777022999998</v>
      </c>
      <c r="K603">
        <v>2400</v>
      </c>
      <c r="L603">
        <v>0</v>
      </c>
      <c r="M603">
        <v>0</v>
      </c>
      <c r="N603">
        <v>2400</v>
      </c>
    </row>
    <row r="604" spans="1:14" x14ac:dyDescent="0.25">
      <c r="A604">
        <v>111.53523800000001</v>
      </c>
      <c r="B604" s="1">
        <f>DATE(2010,8,20) + TIME(12,50,44)</f>
        <v>40410.535231481481</v>
      </c>
      <c r="C604">
        <v>1339.5577393000001</v>
      </c>
      <c r="D604">
        <v>1337.3034668</v>
      </c>
      <c r="E604">
        <v>1322.0373535000001</v>
      </c>
      <c r="F604">
        <v>1317.9707031</v>
      </c>
      <c r="G604">
        <v>80</v>
      </c>
      <c r="H604">
        <v>79.947631835999999</v>
      </c>
      <c r="I604">
        <v>50</v>
      </c>
      <c r="J604">
        <v>18.629837036000001</v>
      </c>
      <c r="K604">
        <v>2400</v>
      </c>
      <c r="L604">
        <v>0</v>
      </c>
      <c r="M604">
        <v>0</v>
      </c>
      <c r="N604">
        <v>2400</v>
      </c>
    </row>
    <row r="605" spans="1:14" x14ac:dyDescent="0.25">
      <c r="A605">
        <v>111.86382500000001</v>
      </c>
      <c r="B605" s="1">
        <f>DATE(2010,8,20) + TIME(20,43,54)</f>
        <v>40410.863819444443</v>
      </c>
      <c r="C605">
        <v>1339.5554199000001</v>
      </c>
      <c r="D605">
        <v>1337.3015137</v>
      </c>
      <c r="E605">
        <v>1322.041626</v>
      </c>
      <c r="F605">
        <v>1317.9781493999999</v>
      </c>
      <c r="G605">
        <v>80</v>
      </c>
      <c r="H605">
        <v>79.947654724000003</v>
      </c>
      <c r="I605">
        <v>50</v>
      </c>
      <c r="J605">
        <v>18.805950164999999</v>
      </c>
      <c r="K605">
        <v>2400</v>
      </c>
      <c r="L605">
        <v>0</v>
      </c>
      <c r="M605">
        <v>0</v>
      </c>
      <c r="N605">
        <v>2400</v>
      </c>
    </row>
    <row r="606" spans="1:14" x14ac:dyDescent="0.25">
      <c r="A606">
        <v>112.192413</v>
      </c>
      <c r="B606" s="1">
        <f>DATE(2010,8,21) + TIME(4,37,4)</f>
        <v>40411.192407407405</v>
      </c>
      <c r="C606">
        <v>1339.5531006000001</v>
      </c>
      <c r="D606">
        <v>1337.2996826000001</v>
      </c>
      <c r="E606">
        <v>1322.0457764</v>
      </c>
      <c r="F606">
        <v>1317.9857178</v>
      </c>
      <c r="G606">
        <v>80</v>
      </c>
      <c r="H606">
        <v>79.947669982999997</v>
      </c>
      <c r="I606">
        <v>50</v>
      </c>
      <c r="J606">
        <v>18.986196518</v>
      </c>
      <c r="K606">
        <v>2400</v>
      </c>
      <c r="L606">
        <v>0</v>
      </c>
      <c r="M606">
        <v>0</v>
      </c>
      <c r="N606">
        <v>2400</v>
      </c>
    </row>
    <row r="607" spans="1:14" x14ac:dyDescent="0.25">
      <c r="A607">
        <v>112.521</v>
      </c>
      <c r="B607" s="1">
        <f>DATE(2010,8,21) + TIME(12,30,14)</f>
        <v>40411.520995370367</v>
      </c>
      <c r="C607">
        <v>1339.5506591999999</v>
      </c>
      <c r="D607">
        <v>1337.2977295000001</v>
      </c>
      <c r="E607">
        <v>1322.0499268000001</v>
      </c>
      <c r="F607">
        <v>1317.9934082</v>
      </c>
      <c r="G607">
        <v>80</v>
      </c>
      <c r="H607">
        <v>79.947685242000006</v>
      </c>
      <c r="I607">
        <v>50</v>
      </c>
      <c r="J607">
        <v>19.170564650999999</v>
      </c>
      <c r="K607">
        <v>2400</v>
      </c>
      <c r="L607">
        <v>0</v>
      </c>
      <c r="M607">
        <v>0</v>
      </c>
      <c r="N607">
        <v>2400</v>
      </c>
    </row>
    <row r="608" spans="1:14" x14ac:dyDescent="0.25">
      <c r="A608">
        <v>112.849587</v>
      </c>
      <c r="B608" s="1">
        <f>DATE(2010,8,21) + TIME(20,23,24)</f>
        <v>40411.849583333336</v>
      </c>
      <c r="C608">
        <v>1339.5483397999999</v>
      </c>
      <c r="D608">
        <v>1337.2958983999999</v>
      </c>
      <c r="E608">
        <v>1322.0540771000001</v>
      </c>
      <c r="F608">
        <v>1318.0012207</v>
      </c>
      <c r="G608">
        <v>80</v>
      </c>
      <c r="H608">
        <v>79.947700499999996</v>
      </c>
      <c r="I608">
        <v>50</v>
      </c>
      <c r="J608">
        <v>19.359029769999999</v>
      </c>
      <c r="K608">
        <v>2400</v>
      </c>
      <c r="L608">
        <v>0</v>
      </c>
      <c r="M608">
        <v>0</v>
      </c>
      <c r="N608">
        <v>2400</v>
      </c>
    </row>
    <row r="609" spans="1:14" x14ac:dyDescent="0.25">
      <c r="A609">
        <v>113.178174</v>
      </c>
      <c r="B609" s="1">
        <f>DATE(2010,8,22) + TIME(4,16,34)</f>
        <v>40412.178171296298</v>
      </c>
      <c r="C609">
        <v>1339.5460204999999</v>
      </c>
      <c r="D609">
        <v>1337.2940673999999</v>
      </c>
      <c r="E609">
        <v>1322.0581055</v>
      </c>
      <c r="F609">
        <v>1318.0091553</v>
      </c>
      <c r="G609">
        <v>80</v>
      </c>
      <c r="H609">
        <v>79.947715759000005</v>
      </c>
      <c r="I609">
        <v>50</v>
      </c>
      <c r="J609">
        <v>19.551527022999998</v>
      </c>
      <c r="K609">
        <v>2400</v>
      </c>
      <c r="L609">
        <v>0</v>
      </c>
      <c r="M609">
        <v>0</v>
      </c>
      <c r="N609">
        <v>2400</v>
      </c>
    </row>
    <row r="610" spans="1:14" x14ac:dyDescent="0.25">
      <c r="A610">
        <v>113.506761</v>
      </c>
      <c r="B610" s="1">
        <f>DATE(2010,8,22) + TIME(12,9,44)</f>
        <v>40412.50675925926</v>
      </c>
      <c r="C610">
        <v>1339.5437012</v>
      </c>
      <c r="D610">
        <v>1337.2921143000001</v>
      </c>
      <c r="E610">
        <v>1322.0621338000001</v>
      </c>
      <c r="F610">
        <v>1318.0172118999999</v>
      </c>
      <c r="G610">
        <v>80</v>
      </c>
      <c r="H610">
        <v>79.947738646999994</v>
      </c>
      <c r="I610">
        <v>50</v>
      </c>
      <c r="J610">
        <v>19.747976303000002</v>
      </c>
      <c r="K610">
        <v>2400</v>
      </c>
      <c r="L610">
        <v>0</v>
      </c>
      <c r="M610">
        <v>0</v>
      </c>
      <c r="N610">
        <v>2400</v>
      </c>
    </row>
    <row r="611" spans="1:14" x14ac:dyDescent="0.25">
      <c r="A611">
        <v>113.83534899999999</v>
      </c>
      <c r="B611" s="1">
        <f>DATE(2010,8,22) + TIME(20,2,54)</f>
        <v>40412.835347222222</v>
      </c>
      <c r="C611">
        <v>1339.5413818</v>
      </c>
      <c r="D611">
        <v>1337.2902832</v>
      </c>
      <c r="E611">
        <v>1322.0661620999999</v>
      </c>
      <c r="F611">
        <v>1318.0253906</v>
      </c>
      <c r="G611">
        <v>80</v>
      </c>
      <c r="H611">
        <v>79.947753906000003</v>
      </c>
      <c r="I611">
        <v>50</v>
      </c>
      <c r="J611">
        <v>19.948282242000001</v>
      </c>
      <c r="K611">
        <v>2400</v>
      </c>
      <c r="L611">
        <v>0</v>
      </c>
      <c r="M611">
        <v>0</v>
      </c>
      <c r="N611">
        <v>2400</v>
      </c>
    </row>
    <row r="612" spans="1:14" x14ac:dyDescent="0.25">
      <c r="A612">
        <v>114.16393600000001</v>
      </c>
      <c r="B612" s="1">
        <f>DATE(2010,8,23) + TIME(3,56,4)</f>
        <v>40413.163935185185</v>
      </c>
      <c r="C612">
        <v>1339.5390625</v>
      </c>
      <c r="D612">
        <v>1337.2884521000001</v>
      </c>
      <c r="E612">
        <v>1322.0701904</v>
      </c>
      <c r="F612">
        <v>1318.0335693</v>
      </c>
      <c r="G612">
        <v>80</v>
      </c>
      <c r="H612">
        <v>79.947769164999997</v>
      </c>
      <c r="I612">
        <v>50</v>
      </c>
      <c r="J612">
        <v>20.152528762999999</v>
      </c>
      <c r="K612">
        <v>2400</v>
      </c>
      <c r="L612">
        <v>0</v>
      </c>
      <c r="M612">
        <v>0</v>
      </c>
      <c r="N612">
        <v>2400</v>
      </c>
    </row>
    <row r="613" spans="1:14" x14ac:dyDescent="0.25">
      <c r="A613">
        <v>114.49252300000001</v>
      </c>
      <c r="B613" s="1">
        <f>DATE(2010,8,23) + TIME(11,49,13)</f>
        <v>40413.492511574077</v>
      </c>
      <c r="C613">
        <v>1339.5367432</v>
      </c>
      <c r="D613">
        <v>1337.2866211</v>
      </c>
      <c r="E613">
        <v>1322.0740966999999</v>
      </c>
      <c r="F613">
        <v>1318.0419922000001</v>
      </c>
      <c r="G613">
        <v>80</v>
      </c>
      <c r="H613">
        <v>79.947784424000005</v>
      </c>
      <c r="I613">
        <v>50</v>
      </c>
      <c r="J613">
        <v>20.360532761000002</v>
      </c>
      <c r="K613">
        <v>2400</v>
      </c>
      <c r="L613">
        <v>0</v>
      </c>
      <c r="M613">
        <v>0</v>
      </c>
      <c r="N613">
        <v>2400</v>
      </c>
    </row>
    <row r="614" spans="1:14" x14ac:dyDescent="0.25">
      <c r="A614">
        <v>114.82111</v>
      </c>
      <c r="B614" s="1">
        <f>DATE(2010,8,23) + TIME(19,42,23)</f>
        <v>40413.821099537039</v>
      </c>
      <c r="C614">
        <v>1339.5345459</v>
      </c>
      <c r="D614">
        <v>1337.2847899999999</v>
      </c>
      <c r="E614">
        <v>1322.0780029</v>
      </c>
      <c r="F614">
        <v>1318.0505370999999</v>
      </c>
      <c r="G614">
        <v>80</v>
      </c>
      <c r="H614">
        <v>79.947807311999995</v>
      </c>
      <c r="I614">
        <v>50</v>
      </c>
      <c r="J614">
        <v>20.572118758999999</v>
      </c>
      <c r="K614">
        <v>2400</v>
      </c>
      <c r="L614">
        <v>0</v>
      </c>
      <c r="M614">
        <v>0</v>
      </c>
      <c r="N614">
        <v>2400</v>
      </c>
    </row>
    <row r="615" spans="1:14" x14ac:dyDescent="0.25">
      <c r="A615">
        <v>115.149698</v>
      </c>
      <c r="B615" s="1">
        <f>DATE(2010,8,24) + TIME(3,35,33)</f>
        <v>40414.149687500001</v>
      </c>
      <c r="C615">
        <v>1339.5322266000001</v>
      </c>
      <c r="D615">
        <v>1337.2829589999999</v>
      </c>
      <c r="E615">
        <v>1322.0819091999999</v>
      </c>
      <c r="F615">
        <v>1318.059082</v>
      </c>
      <c r="G615">
        <v>80</v>
      </c>
      <c r="H615">
        <v>79.947822571000003</v>
      </c>
      <c r="I615">
        <v>50</v>
      </c>
      <c r="J615">
        <v>20.787166594999999</v>
      </c>
      <c r="K615">
        <v>2400</v>
      </c>
      <c r="L615">
        <v>0</v>
      </c>
      <c r="M615">
        <v>0</v>
      </c>
      <c r="N615">
        <v>2400</v>
      </c>
    </row>
    <row r="616" spans="1:14" x14ac:dyDescent="0.25">
      <c r="A616">
        <v>115.478285</v>
      </c>
      <c r="B616" s="1">
        <f>DATE(2010,8,24) + TIME(11,28,43)</f>
        <v>40414.478275462963</v>
      </c>
      <c r="C616">
        <v>1339.5299072</v>
      </c>
      <c r="D616">
        <v>1337.2811279</v>
      </c>
      <c r="E616">
        <v>1322.0856934000001</v>
      </c>
      <c r="F616">
        <v>1318.0678711</v>
      </c>
      <c r="G616">
        <v>80</v>
      </c>
      <c r="H616">
        <v>79.947837829999997</v>
      </c>
      <c r="I616">
        <v>50</v>
      </c>
      <c r="J616">
        <v>21.005548477000001</v>
      </c>
      <c r="K616">
        <v>2400</v>
      </c>
      <c r="L616">
        <v>0</v>
      </c>
      <c r="M616">
        <v>0</v>
      </c>
      <c r="N616">
        <v>2400</v>
      </c>
    </row>
    <row r="617" spans="1:14" x14ac:dyDescent="0.25">
      <c r="A617">
        <v>116.135459</v>
      </c>
      <c r="B617" s="1">
        <f>DATE(2010,8,25) + TIME(3,15,3)</f>
        <v>40415.135451388887</v>
      </c>
      <c r="C617">
        <v>1339.5277100000001</v>
      </c>
      <c r="D617">
        <v>1337.2792969</v>
      </c>
      <c r="E617">
        <v>1322.0843506000001</v>
      </c>
      <c r="F617">
        <v>1318.078125</v>
      </c>
      <c r="G617">
        <v>80</v>
      </c>
      <c r="H617">
        <v>79.947875976999995</v>
      </c>
      <c r="I617">
        <v>50</v>
      </c>
      <c r="J617">
        <v>21.343202591000001</v>
      </c>
      <c r="K617">
        <v>2400</v>
      </c>
      <c r="L617">
        <v>0</v>
      </c>
      <c r="M617">
        <v>0</v>
      </c>
      <c r="N617">
        <v>2400</v>
      </c>
    </row>
    <row r="618" spans="1:14" x14ac:dyDescent="0.25">
      <c r="A618">
        <v>116.795536</v>
      </c>
      <c r="B618" s="1">
        <f>DATE(2010,8,25) + TIME(19,5,34)</f>
        <v>40415.795532407406</v>
      </c>
      <c r="C618">
        <v>1339.5231934000001</v>
      </c>
      <c r="D618">
        <v>1337.2757568</v>
      </c>
      <c r="E618">
        <v>1322.0936279</v>
      </c>
      <c r="F618">
        <v>1318.0944824000001</v>
      </c>
      <c r="G618">
        <v>80</v>
      </c>
      <c r="H618">
        <v>79.947914123999993</v>
      </c>
      <c r="I618">
        <v>50</v>
      </c>
      <c r="J618">
        <v>21.740310668999999</v>
      </c>
      <c r="K618">
        <v>2400</v>
      </c>
      <c r="L618">
        <v>0</v>
      </c>
      <c r="M618">
        <v>0</v>
      </c>
      <c r="N618">
        <v>2400</v>
      </c>
    </row>
    <row r="619" spans="1:14" x14ac:dyDescent="0.25">
      <c r="A619">
        <v>117.48620699999999</v>
      </c>
      <c r="B619" s="1">
        <f>DATE(2010,8,26) + TIME(11,40,8)</f>
        <v>40416.486203703702</v>
      </c>
      <c r="C619">
        <v>1339.5186768000001</v>
      </c>
      <c r="D619">
        <v>1337.2720947</v>
      </c>
      <c r="E619">
        <v>1322.1016846</v>
      </c>
      <c r="F619">
        <v>1318.1119385</v>
      </c>
      <c r="G619">
        <v>80</v>
      </c>
      <c r="H619">
        <v>79.947952271000005</v>
      </c>
      <c r="I619">
        <v>50</v>
      </c>
      <c r="J619">
        <v>22.177623748999999</v>
      </c>
      <c r="K619">
        <v>2400</v>
      </c>
      <c r="L619">
        <v>0</v>
      </c>
      <c r="M619">
        <v>0</v>
      </c>
      <c r="N619">
        <v>2400</v>
      </c>
    </row>
    <row r="620" spans="1:14" x14ac:dyDescent="0.25">
      <c r="A620">
        <v>118.209011</v>
      </c>
      <c r="B620" s="1">
        <f>DATE(2010,8,27) + TIME(5,0,58)</f>
        <v>40417.209004629629</v>
      </c>
      <c r="C620">
        <v>1339.5140381000001</v>
      </c>
      <c r="D620">
        <v>1337.2684326000001</v>
      </c>
      <c r="E620">
        <v>1322.1098632999999</v>
      </c>
      <c r="F620">
        <v>1318.1307373</v>
      </c>
      <c r="G620">
        <v>80</v>
      </c>
      <c r="H620">
        <v>79.947990417</v>
      </c>
      <c r="I620">
        <v>50</v>
      </c>
      <c r="J620">
        <v>22.651525497000002</v>
      </c>
      <c r="K620">
        <v>2400</v>
      </c>
      <c r="L620">
        <v>0</v>
      </c>
      <c r="M620">
        <v>0</v>
      </c>
      <c r="N620">
        <v>2400</v>
      </c>
    </row>
    <row r="621" spans="1:14" x14ac:dyDescent="0.25">
      <c r="A621">
        <v>118.935146</v>
      </c>
      <c r="B621" s="1">
        <f>DATE(2010,8,27) + TIME(22,26,36)</f>
        <v>40417.93513888889</v>
      </c>
      <c r="C621">
        <v>1339.5092772999999</v>
      </c>
      <c r="D621">
        <v>1337.2645264</v>
      </c>
      <c r="E621">
        <v>1322.1187743999999</v>
      </c>
      <c r="F621">
        <v>1318.1507568</v>
      </c>
      <c r="G621">
        <v>80</v>
      </c>
      <c r="H621">
        <v>79.948028563999998</v>
      </c>
      <c r="I621">
        <v>50</v>
      </c>
      <c r="J621">
        <v>23.153261185000002</v>
      </c>
      <c r="K621">
        <v>2400</v>
      </c>
      <c r="L621">
        <v>0</v>
      </c>
      <c r="M621">
        <v>0</v>
      </c>
      <c r="N621">
        <v>2400</v>
      </c>
    </row>
    <row r="622" spans="1:14" x14ac:dyDescent="0.25">
      <c r="A622">
        <v>119.66633</v>
      </c>
      <c r="B622" s="1">
        <f>DATE(2010,8,28) + TIME(15,59,30)</f>
        <v>40418.666319444441</v>
      </c>
      <c r="C622">
        <v>1339.5043945</v>
      </c>
      <c r="D622">
        <v>1337.2606201000001</v>
      </c>
      <c r="E622">
        <v>1322.1273193</v>
      </c>
      <c r="F622">
        <v>1318.1713867000001</v>
      </c>
      <c r="G622">
        <v>80</v>
      </c>
      <c r="H622">
        <v>79.948066710999996</v>
      </c>
      <c r="I622">
        <v>50</v>
      </c>
      <c r="J622">
        <v>23.678178787</v>
      </c>
      <c r="K622">
        <v>2400</v>
      </c>
      <c r="L622">
        <v>0</v>
      </c>
      <c r="M622">
        <v>0</v>
      </c>
      <c r="N622">
        <v>2400</v>
      </c>
    </row>
    <row r="623" spans="1:14" x14ac:dyDescent="0.25">
      <c r="A623">
        <v>120.41118899999999</v>
      </c>
      <c r="B623" s="1">
        <f>DATE(2010,8,29) + TIME(9,52,6)</f>
        <v>40419.411180555559</v>
      </c>
      <c r="C623">
        <v>1339.4996338000001</v>
      </c>
      <c r="D623">
        <v>1337.2568358999999</v>
      </c>
      <c r="E623">
        <v>1322.1357422000001</v>
      </c>
      <c r="F623">
        <v>1318.1926269999999</v>
      </c>
      <c r="G623">
        <v>80</v>
      </c>
      <c r="H623">
        <v>79.948104857999994</v>
      </c>
      <c r="I623">
        <v>50</v>
      </c>
      <c r="J623">
        <v>24.225427627999998</v>
      </c>
      <c r="K623">
        <v>2400</v>
      </c>
      <c r="L623">
        <v>0</v>
      </c>
      <c r="M623">
        <v>0</v>
      </c>
      <c r="N623">
        <v>2400</v>
      </c>
    </row>
    <row r="624" spans="1:14" x14ac:dyDescent="0.25">
      <c r="A624">
        <v>121.16216900000001</v>
      </c>
      <c r="B624" s="1">
        <f>DATE(2010,8,30) + TIME(3,53,31)</f>
        <v>40420.162164351852</v>
      </c>
      <c r="C624">
        <v>1339.494751</v>
      </c>
      <c r="D624">
        <v>1337.2529297000001</v>
      </c>
      <c r="E624">
        <v>1322.1441649999999</v>
      </c>
      <c r="F624">
        <v>1318.2145995999999</v>
      </c>
      <c r="G624">
        <v>80</v>
      </c>
      <c r="H624">
        <v>79.948150635000005</v>
      </c>
      <c r="I624">
        <v>50</v>
      </c>
      <c r="J624">
        <v>24.790090561</v>
      </c>
      <c r="K624">
        <v>2400</v>
      </c>
      <c r="L624">
        <v>0</v>
      </c>
      <c r="M624">
        <v>0</v>
      </c>
      <c r="N624">
        <v>2400</v>
      </c>
    </row>
    <row r="625" spans="1:14" x14ac:dyDescent="0.25">
      <c r="A625">
        <v>121.91976200000001</v>
      </c>
      <c r="B625" s="1">
        <f>DATE(2010,8,30) + TIME(22,4,27)</f>
        <v>40420.919756944444</v>
      </c>
      <c r="C625">
        <v>1339.4898682</v>
      </c>
      <c r="D625">
        <v>1337.2490233999999</v>
      </c>
      <c r="E625">
        <v>1322.1524658000001</v>
      </c>
      <c r="F625">
        <v>1318.2370605000001</v>
      </c>
      <c r="G625">
        <v>80</v>
      </c>
      <c r="H625">
        <v>79.948188782000003</v>
      </c>
      <c r="I625">
        <v>50</v>
      </c>
      <c r="J625">
        <v>25.367902755999999</v>
      </c>
      <c r="K625">
        <v>2400</v>
      </c>
      <c r="L625">
        <v>0</v>
      </c>
      <c r="M625">
        <v>0</v>
      </c>
      <c r="N625">
        <v>2400</v>
      </c>
    </row>
    <row r="626" spans="1:14" x14ac:dyDescent="0.25">
      <c r="A626">
        <v>122.682751</v>
      </c>
      <c r="B626" s="1">
        <f>DATE(2010,8,31) + TIME(16,23,9)</f>
        <v>40421.682743055557</v>
      </c>
      <c r="C626">
        <v>1339.4851074000001</v>
      </c>
      <c r="D626">
        <v>1337.2451172000001</v>
      </c>
      <c r="E626">
        <v>1322.1606445</v>
      </c>
      <c r="F626">
        <v>1318.2597656</v>
      </c>
      <c r="G626">
        <v>80</v>
      </c>
      <c r="H626">
        <v>79.948226929</v>
      </c>
      <c r="I626">
        <v>50</v>
      </c>
      <c r="J626">
        <v>25.953016281</v>
      </c>
      <c r="K626">
        <v>2400</v>
      </c>
      <c r="L626">
        <v>0</v>
      </c>
      <c r="M626">
        <v>0</v>
      </c>
      <c r="N626">
        <v>2400</v>
      </c>
    </row>
    <row r="627" spans="1:14" x14ac:dyDescent="0.25">
      <c r="A627">
        <v>123</v>
      </c>
      <c r="B627" s="1">
        <f>DATE(2010,9,1) + TIME(0,0,0)</f>
        <v>40422</v>
      </c>
      <c r="C627">
        <v>1339.4802245999999</v>
      </c>
      <c r="D627">
        <v>1337.2413329999999</v>
      </c>
      <c r="E627">
        <v>1322.1774902</v>
      </c>
      <c r="F627">
        <v>1318.2795410000001</v>
      </c>
      <c r="G627">
        <v>80</v>
      </c>
      <c r="H627">
        <v>79.948242187999995</v>
      </c>
      <c r="I627">
        <v>50</v>
      </c>
      <c r="J627">
        <v>26.307188033999999</v>
      </c>
      <c r="K627">
        <v>2400</v>
      </c>
      <c r="L627">
        <v>0</v>
      </c>
      <c r="M627">
        <v>0</v>
      </c>
      <c r="N627">
        <v>2400</v>
      </c>
    </row>
    <row r="628" spans="1:14" x14ac:dyDescent="0.25">
      <c r="A628">
        <v>123.768395</v>
      </c>
      <c r="B628" s="1">
        <f>DATE(2010,9,1) + TIME(18,26,29)</f>
        <v>40422.768391203703</v>
      </c>
      <c r="C628">
        <v>1339.4782714999999</v>
      </c>
      <c r="D628">
        <v>1337.2397461</v>
      </c>
      <c r="E628">
        <v>1322.1708983999999</v>
      </c>
      <c r="F628">
        <v>1318.2938231999999</v>
      </c>
      <c r="G628">
        <v>80</v>
      </c>
      <c r="H628">
        <v>79.948280334000003</v>
      </c>
      <c r="I628">
        <v>50</v>
      </c>
      <c r="J628">
        <v>26.830581665</v>
      </c>
      <c r="K628">
        <v>2400</v>
      </c>
      <c r="L628">
        <v>0</v>
      </c>
      <c r="M628">
        <v>0</v>
      </c>
      <c r="N628">
        <v>2400</v>
      </c>
    </row>
    <row r="629" spans="1:14" x14ac:dyDescent="0.25">
      <c r="A629">
        <v>124.548371</v>
      </c>
      <c r="B629" s="1">
        <f>DATE(2010,9,2) + TIME(13,9,39)</f>
        <v>40423.548368055555</v>
      </c>
      <c r="C629">
        <v>1339.4735106999999</v>
      </c>
      <c r="D629">
        <v>1337.2359618999999</v>
      </c>
      <c r="E629">
        <v>1322.1801757999999</v>
      </c>
      <c r="F629">
        <v>1318.3161620999999</v>
      </c>
      <c r="G629">
        <v>80</v>
      </c>
      <c r="H629">
        <v>79.948326111</v>
      </c>
      <c r="I629">
        <v>50</v>
      </c>
      <c r="J629">
        <v>27.382312774999999</v>
      </c>
      <c r="K629">
        <v>2400</v>
      </c>
      <c r="L629">
        <v>0</v>
      </c>
      <c r="M629">
        <v>0</v>
      </c>
      <c r="N629">
        <v>2400</v>
      </c>
    </row>
    <row r="630" spans="1:14" x14ac:dyDescent="0.25">
      <c r="A630">
        <v>125.339302</v>
      </c>
      <c r="B630" s="1">
        <f>DATE(2010,9,3) + TIME(8,8,35)</f>
        <v>40424.33929398148</v>
      </c>
      <c r="C630">
        <v>1339.46875</v>
      </c>
      <c r="D630">
        <v>1337.2320557</v>
      </c>
      <c r="E630">
        <v>1322.1894531</v>
      </c>
      <c r="F630">
        <v>1318.3389893000001</v>
      </c>
      <c r="G630">
        <v>80</v>
      </c>
      <c r="H630">
        <v>79.948371886999993</v>
      </c>
      <c r="I630">
        <v>50</v>
      </c>
      <c r="J630">
        <v>27.943067550999999</v>
      </c>
      <c r="K630">
        <v>2400</v>
      </c>
      <c r="L630">
        <v>0</v>
      </c>
      <c r="M630">
        <v>0</v>
      </c>
      <c r="N630">
        <v>2400</v>
      </c>
    </row>
    <row r="631" spans="1:14" x14ac:dyDescent="0.25">
      <c r="A631">
        <v>125.74057500000001</v>
      </c>
      <c r="B631" s="1">
        <f>DATE(2010,9,3) + TIME(17,46,25)</f>
        <v>40424.740567129629</v>
      </c>
      <c r="C631">
        <v>1339.4638672000001</v>
      </c>
      <c r="D631">
        <v>1337.2282714999999</v>
      </c>
      <c r="E631">
        <v>1322.2049560999999</v>
      </c>
      <c r="F631">
        <v>1318.3597411999999</v>
      </c>
      <c r="G631">
        <v>80</v>
      </c>
      <c r="H631">
        <v>79.948387146000002</v>
      </c>
      <c r="I631">
        <v>50</v>
      </c>
      <c r="J631">
        <v>28.331663131999999</v>
      </c>
      <c r="K631">
        <v>2400</v>
      </c>
      <c r="L631">
        <v>0</v>
      </c>
      <c r="M631">
        <v>0</v>
      </c>
      <c r="N631">
        <v>2400</v>
      </c>
    </row>
    <row r="632" spans="1:14" x14ac:dyDescent="0.25">
      <c r="A632">
        <v>126.141677</v>
      </c>
      <c r="B632" s="1">
        <f>DATE(2010,9,4) + TIME(3,24,0)</f>
        <v>40425.14166666667</v>
      </c>
      <c r="C632">
        <v>1339.4614257999999</v>
      </c>
      <c r="D632">
        <v>1337.2263184000001</v>
      </c>
      <c r="E632">
        <v>1322.2078856999999</v>
      </c>
      <c r="F632">
        <v>1318.3732910000001</v>
      </c>
      <c r="G632">
        <v>80</v>
      </c>
      <c r="H632">
        <v>79.948402404999996</v>
      </c>
      <c r="I632">
        <v>50</v>
      </c>
      <c r="J632">
        <v>28.675407409999998</v>
      </c>
      <c r="K632">
        <v>2400</v>
      </c>
      <c r="L632">
        <v>0</v>
      </c>
      <c r="M632">
        <v>0</v>
      </c>
      <c r="N632">
        <v>2400</v>
      </c>
    </row>
    <row r="633" spans="1:14" x14ac:dyDescent="0.25">
      <c r="A633">
        <v>126.54194699999999</v>
      </c>
      <c r="B633" s="1">
        <f>DATE(2010,9,4) + TIME(13,0,24)</f>
        <v>40425.541944444441</v>
      </c>
      <c r="C633">
        <v>1339.4591064000001</v>
      </c>
      <c r="D633">
        <v>1337.2244873</v>
      </c>
      <c r="E633">
        <v>1322.2116699000001</v>
      </c>
      <c r="F633">
        <v>1318.3861084</v>
      </c>
      <c r="G633">
        <v>80</v>
      </c>
      <c r="H633">
        <v>79.948425293</v>
      </c>
      <c r="I633">
        <v>50</v>
      </c>
      <c r="J633">
        <v>28.989498137999998</v>
      </c>
      <c r="K633">
        <v>2400</v>
      </c>
      <c r="L633">
        <v>0</v>
      </c>
      <c r="M633">
        <v>0</v>
      </c>
      <c r="N633">
        <v>2400</v>
      </c>
    </row>
    <row r="634" spans="1:14" x14ac:dyDescent="0.25">
      <c r="A634">
        <v>126.94148300000001</v>
      </c>
      <c r="B634" s="1">
        <f>DATE(2010,9,4) + TIME(22,35,44)</f>
        <v>40425.941481481481</v>
      </c>
      <c r="C634">
        <v>1339.4566649999999</v>
      </c>
      <c r="D634">
        <v>1337.2225341999999</v>
      </c>
      <c r="E634">
        <v>1322.2159423999999</v>
      </c>
      <c r="F634">
        <v>1318.3985596</v>
      </c>
      <c r="G634">
        <v>80</v>
      </c>
      <c r="H634">
        <v>79.948440551999994</v>
      </c>
      <c r="I634">
        <v>50</v>
      </c>
      <c r="J634">
        <v>29.283649445000002</v>
      </c>
      <c r="K634">
        <v>2400</v>
      </c>
      <c r="L634">
        <v>0</v>
      </c>
      <c r="M634">
        <v>0</v>
      </c>
      <c r="N634">
        <v>2400</v>
      </c>
    </row>
    <row r="635" spans="1:14" x14ac:dyDescent="0.25">
      <c r="A635">
        <v>127.34057</v>
      </c>
      <c r="B635" s="1">
        <f>DATE(2010,9,5) + TIME(8,10,25)</f>
        <v>40426.340567129628</v>
      </c>
      <c r="C635">
        <v>1339.4543457</v>
      </c>
      <c r="D635">
        <v>1337.2207031</v>
      </c>
      <c r="E635">
        <v>1322.2205810999999</v>
      </c>
      <c r="F635">
        <v>1318.4106445</v>
      </c>
      <c r="G635">
        <v>80</v>
      </c>
      <c r="H635">
        <v>79.948463439999998</v>
      </c>
      <c r="I635">
        <v>50</v>
      </c>
      <c r="J635">
        <v>29.564002990999999</v>
      </c>
      <c r="K635">
        <v>2400</v>
      </c>
      <c r="L635">
        <v>0</v>
      </c>
      <c r="M635">
        <v>0</v>
      </c>
      <c r="N635">
        <v>2400</v>
      </c>
    </row>
    <row r="636" spans="1:14" x14ac:dyDescent="0.25">
      <c r="A636">
        <v>127.73951700000001</v>
      </c>
      <c r="B636" s="1">
        <f>DATE(2010,9,5) + TIME(17,44,54)</f>
        <v>40426.73951388889</v>
      </c>
      <c r="C636">
        <v>1339.4520264</v>
      </c>
      <c r="D636">
        <v>1337.2188721</v>
      </c>
      <c r="E636">
        <v>1322.2254639</v>
      </c>
      <c r="F636">
        <v>1318.4224853999999</v>
      </c>
      <c r="G636">
        <v>80</v>
      </c>
      <c r="H636">
        <v>79.948486328000001</v>
      </c>
      <c r="I636">
        <v>50</v>
      </c>
      <c r="J636">
        <v>29.834461212000001</v>
      </c>
      <c r="K636">
        <v>2400</v>
      </c>
      <c r="L636">
        <v>0</v>
      </c>
      <c r="M636">
        <v>0</v>
      </c>
      <c r="N636">
        <v>2400</v>
      </c>
    </row>
    <row r="637" spans="1:14" x14ac:dyDescent="0.25">
      <c r="A637">
        <v>128.138464</v>
      </c>
      <c r="B637" s="1">
        <f>DATE(2010,9,6) + TIME(3,19,23)</f>
        <v>40427.138460648152</v>
      </c>
      <c r="C637">
        <v>1339.449707</v>
      </c>
      <c r="D637">
        <v>1337.2169189000001</v>
      </c>
      <c r="E637">
        <v>1322.2305908000001</v>
      </c>
      <c r="F637">
        <v>1318.4343262</v>
      </c>
      <c r="G637">
        <v>80</v>
      </c>
      <c r="H637">
        <v>79.948509216000005</v>
      </c>
      <c r="I637">
        <v>50</v>
      </c>
      <c r="J637">
        <v>30.097507477000001</v>
      </c>
      <c r="K637">
        <v>2400</v>
      </c>
      <c r="L637">
        <v>0</v>
      </c>
      <c r="M637">
        <v>0</v>
      </c>
      <c r="N637">
        <v>2400</v>
      </c>
    </row>
    <row r="638" spans="1:14" x14ac:dyDescent="0.25">
      <c r="A638">
        <v>128.53741199999999</v>
      </c>
      <c r="B638" s="1">
        <f>DATE(2010,9,6) + TIME(12,53,52)</f>
        <v>40427.537407407406</v>
      </c>
      <c r="C638">
        <v>1339.4473877</v>
      </c>
      <c r="D638">
        <v>1337.2150879000001</v>
      </c>
      <c r="E638">
        <v>1322.2357178</v>
      </c>
      <c r="F638">
        <v>1318.4459228999999</v>
      </c>
      <c r="G638">
        <v>80</v>
      </c>
      <c r="H638">
        <v>79.948532103999995</v>
      </c>
      <c r="I638">
        <v>50</v>
      </c>
      <c r="J638">
        <v>30.354700089000001</v>
      </c>
      <c r="K638">
        <v>2400</v>
      </c>
      <c r="L638">
        <v>0</v>
      </c>
      <c r="M638">
        <v>0</v>
      </c>
      <c r="N638">
        <v>2400</v>
      </c>
    </row>
    <row r="639" spans="1:14" x14ac:dyDescent="0.25">
      <c r="A639">
        <v>128.93635900000001</v>
      </c>
      <c r="B639" s="1">
        <f>DATE(2010,9,6) + TIME(22,28,21)</f>
        <v>40427.936354166668</v>
      </c>
      <c r="C639">
        <v>1339.4450684000001</v>
      </c>
      <c r="D639">
        <v>1337.2132568</v>
      </c>
      <c r="E639">
        <v>1322.2410889</v>
      </c>
      <c r="F639">
        <v>1318.4576416</v>
      </c>
      <c r="G639">
        <v>80</v>
      </c>
      <c r="H639">
        <v>79.948547363000003</v>
      </c>
      <c r="I639">
        <v>50</v>
      </c>
      <c r="J639">
        <v>30.606967925999999</v>
      </c>
      <c r="K639">
        <v>2400</v>
      </c>
      <c r="L639">
        <v>0</v>
      </c>
      <c r="M639">
        <v>0</v>
      </c>
      <c r="N639">
        <v>2400</v>
      </c>
    </row>
    <row r="640" spans="1:14" x14ac:dyDescent="0.25">
      <c r="A640">
        <v>129.335307</v>
      </c>
      <c r="B640" s="1">
        <f>DATE(2010,9,7) + TIME(8,2,50)</f>
        <v>40428.335300925923</v>
      </c>
      <c r="C640">
        <v>1339.442749</v>
      </c>
      <c r="D640">
        <v>1337.2115478999999</v>
      </c>
      <c r="E640">
        <v>1322.2464600000001</v>
      </c>
      <c r="F640">
        <v>1318.4691161999999</v>
      </c>
      <c r="G640">
        <v>80</v>
      </c>
      <c r="H640">
        <v>79.948570251000007</v>
      </c>
      <c r="I640">
        <v>50</v>
      </c>
      <c r="J640">
        <v>30.854940414000001</v>
      </c>
      <c r="K640">
        <v>2400</v>
      </c>
      <c r="L640">
        <v>0</v>
      </c>
      <c r="M640">
        <v>0</v>
      </c>
      <c r="N640">
        <v>2400</v>
      </c>
    </row>
    <row r="641" spans="1:14" x14ac:dyDescent="0.25">
      <c r="A641">
        <v>130.13320100000001</v>
      </c>
      <c r="B641" s="1">
        <f>DATE(2010,9,8) + TIME(3,11,48)</f>
        <v>40429.133194444446</v>
      </c>
      <c r="C641">
        <v>1339.4405518000001</v>
      </c>
      <c r="D641">
        <v>1337.2097168</v>
      </c>
      <c r="E641">
        <v>1322.2484131000001</v>
      </c>
      <c r="F641">
        <v>1318.4824219</v>
      </c>
      <c r="G641">
        <v>80</v>
      </c>
      <c r="H641">
        <v>79.948623656999999</v>
      </c>
      <c r="I641">
        <v>50</v>
      </c>
      <c r="J641">
        <v>31.204534531</v>
      </c>
      <c r="K641">
        <v>2400</v>
      </c>
      <c r="L641">
        <v>0</v>
      </c>
      <c r="M641">
        <v>0</v>
      </c>
      <c r="N641">
        <v>2400</v>
      </c>
    </row>
    <row r="642" spans="1:14" x14ac:dyDescent="0.25">
      <c r="A642">
        <v>130.93129400000001</v>
      </c>
      <c r="B642" s="1">
        <f>DATE(2010,9,8) + TIME(22,21,3)</f>
        <v>40429.931284722225</v>
      </c>
      <c r="C642">
        <v>1339.4360352000001</v>
      </c>
      <c r="D642">
        <v>1337.2061768000001</v>
      </c>
      <c r="E642">
        <v>1322.2609863</v>
      </c>
      <c r="F642">
        <v>1318.5031738</v>
      </c>
      <c r="G642">
        <v>80</v>
      </c>
      <c r="H642">
        <v>79.948661803999997</v>
      </c>
      <c r="I642">
        <v>50</v>
      </c>
      <c r="J642">
        <v>31.621992111000001</v>
      </c>
      <c r="K642">
        <v>2400</v>
      </c>
      <c r="L642">
        <v>0</v>
      </c>
      <c r="M642">
        <v>0</v>
      </c>
      <c r="N642">
        <v>2400</v>
      </c>
    </row>
    <row r="643" spans="1:14" x14ac:dyDescent="0.25">
      <c r="A643">
        <v>131.739487</v>
      </c>
      <c r="B643" s="1">
        <f>DATE(2010,9,9) + TIME(17,44,51)</f>
        <v>40430.739479166667</v>
      </c>
      <c r="C643">
        <v>1339.4315185999999</v>
      </c>
      <c r="D643">
        <v>1337.2026367000001</v>
      </c>
      <c r="E643">
        <v>1322.2728271000001</v>
      </c>
      <c r="F643">
        <v>1318.5250243999999</v>
      </c>
      <c r="G643">
        <v>80</v>
      </c>
      <c r="H643">
        <v>79.948707580999994</v>
      </c>
      <c r="I643">
        <v>50</v>
      </c>
      <c r="J643">
        <v>32.064697266000003</v>
      </c>
      <c r="K643">
        <v>2400</v>
      </c>
      <c r="L643">
        <v>0</v>
      </c>
      <c r="M643">
        <v>0</v>
      </c>
      <c r="N643">
        <v>2400</v>
      </c>
    </row>
    <row r="644" spans="1:14" x14ac:dyDescent="0.25">
      <c r="A644">
        <v>132.558989</v>
      </c>
      <c r="B644" s="1">
        <f>DATE(2010,9,10) + TIME(13,24,56)</f>
        <v>40431.558981481481</v>
      </c>
      <c r="C644">
        <v>1339.427124</v>
      </c>
      <c r="D644">
        <v>1337.1990966999999</v>
      </c>
      <c r="E644">
        <v>1322.284668</v>
      </c>
      <c r="F644">
        <v>1318.5476074000001</v>
      </c>
      <c r="G644">
        <v>80</v>
      </c>
      <c r="H644">
        <v>79.948753357000001</v>
      </c>
      <c r="I644">
        <v>50</v>
      </c>
      <c r="J644">
        <v>32.51530838</v>
      </c>
      <c r="K644">
        <v>2400</v>
      </c>
      <c r="L644">
        <v>0</v>
      </c>
      <c r="M644">
        <v>0</v>
      </c>
      <c r="N644">
        <v>2400</v>
      </c>
    </row>
    <row r="645" spans="1:14" x14ac:dyDescent="0.25">
      <c r="A645">
        <v>133.38827000000001</v>
      </c>
      <c r="B645" s="1">
        <f>DATE(2010,9,11) + TIME(9,19,6)</f>
        <v>40432.38826388889</v>
      </c>
      <c r="C645">
        <v>1339.4226074000001</v>
      </c>
      <c r="D645">
        <v>1337.1955565999999</v>
      </c>
      <c r="E645">
        <v>1322.2967529</v>
      </c>
      <c r="F645">
        <v>1318.5706786999999</v>
      </c>
      <c r="G645">
        <v>80</v>
      </c>
      <c r="H645">
        <v>79.948799132999994</v>
      </c>
      <c r="I645">
        <v>50</v>
      </c>
      <c r="J645">
        <v>32.965812683000003</v>
      </c>
      <c r="K645">
        <v>2400</v>
      </c>
      <c r="L645">
        <v>0</v>
      </c>
      <c r="M645">
        <v>0</v>
      </c>
      <c r="N645">
        <v>2400</v>
      </c>
    </row>
    <row r="646" spans="1:14" x14ac:dyDescent="0.25">
      <c r="A646">
        <v>134.23005900000001</v>
      </c>
      <c r="B646" s="1">
        <f>DATE(2010,9,12) + TIME(5,31,17)</f>
        <v>40433.230057870373</v>
      </c>
      <c r="C646">
        <v>1339.4180908000001</v>
      </c>
      <c r="D646">
        <v>1337.1920166</v>
      </c>
      <c r="E646">
        <v>1322.309082</v>
      </c>
      <c r="F646">
        <v>1318.5941161999999</v>
      </c>
      <c r="G646">
        <v>80</v>
      </c>
      <c r="H646">
        <v>79.948844910000005</v>
      </c>
      <c r="I646">
        <v>50</v>
      </c>
      <c r="J646">
        <v>33.413024901999997</v>
      </c>
      <c r="K646">
        <v>2400</v>
      </c>
      <c r="L646">
        <v>0</v>
      </c>
      <c r="M646">
        <v>0</v>
      </c>
      <c r="N646">
        <v>2400</v>
      </c>
    </row>
    <row r="647" spans="1:14" x14ac:dyDescent="0.25">
      <c r="A647">
        <v>135.08184800000001</v>
      </c>
      <c r="B647" s="1">
        <f>DATE(2010,9,13) + TIME(1,57,51)</f>
        <v>40434.08184027778</v>
      </c>
      <c r="C647">
        <v>1339.4135742000001</v>
      </c>
      <c r="D647">
        <v>1337.1884766000001</v>
      </c>
      <c r="E647">
        <v>1322.3217772999999</v>
      </c>
      <c r="F647">
        <v>1318.6179199000001</v>
      </c>
      <c r="G647">
        <v>80</v>
      </c>
      <c r="H647">
        <v>79.948890685999999</v>
      </c>
      <c r="I647">
        <v>50</v>
      </c>
      <c r="J647">
        <v>33.855232239000003</v>
      </c>
      <c r="K647">
        <v>2400</v>
      </c>
      <c r="L647">
        <v>0</v>
      </c>
      <c r="M647">
        <v>0</v>
      </c>
      <c r="N647">
        <v>2400</v>
      </c>
    </row>
    <row r="648" spans="1:14" x14ac:dyDescent="0.25">
      <c r="A648">
        <v>135.513181</v>
      </c>
      <c r="B648" s="1">
        <f>DATE(2010,9,13) + TIME(12,18,58)</f>
        <v>40434.513171296298</v>
      </c>
      <c r="C648">
        <v>1339.4090576000001</v>
      </c>
      <c r="D648">
        <v>1337.1849365</v>
      </c>
      <c r="E648">
        <v>1322.3387451000001</v>
      </c>
      <c r="F648">
        <v>1318.6395264</v>
      </c>
      <c r="G648">
        <v>80</v>
      </c>
      <c r="H648">
        <v>79.948905945000007</v>
      </c>
      <c r="I648">
        <v>50</v>
      </c>
      <c r="J648">
        <v>34.166431426999999</v>
      </c>
      <c r="K648">
        <v>2400</v>
      </c>
      <c r="L648">
        <v>0</v>
      </c>
      <c r="M648">
        <v>0</v>
      </c>
      <c r="N648">
        <v>2400</v>
      </c>
    </row>
    <row r="649" spans="1:14" x14ac:dyDescent="0.25">
      <c r="A649">
        <v>135.944514</v>
      </c>
      <c r="B649" s="1">
        <f>DATE(2010,9,13) + TIME(22,40,6)</f>
        <v>40434.944513888891</v>
      </c>
      <c r="C649">
        <v>1339.4068603999999</v>
      </c>
      <c r="D649">
        <v>1337.1831055</v>
      </c>
      <c r="E649">
        <v>1322.3442382999999</v>
      </c>
      <c r="F649">
        <v>1318.6536865</v>
      </c>
      <c r="G649">
        <v>80</v>
      </c>
      <c r="H649">
        <v>79.948928832999997</v>
      </c>
      <c r="I649">
        <v>50</v>
      </c>
      <c r="J649">
        <v>34.435222625999998</v>
      </c>
      <c r="K649">
        <v>2400</v>
      </c>
      <c r="L649">
        <v>0</v>
      </c>
      <c r="M649">
        <v>0</v>
      </c>
      <c r="N649">
        <v>2400</v>
      </c>
    </row>
    <row r="650" spans="1:14" x14ac:dyDescent="0.25">
      <c r="A650">
        <v>136.37584699999999</v>
      </c>
      <c r="B650" s="1">
        <f>DATE(2010,9,14) + TIME(9,1,13)</f>
        <v>40435.375844907408</v>
      </c>
      <c r="C650">
        <v>1339.4045410000001</v>
      </c>
      <c r="D650">
        <v>1337.1813964999999</v>
      </c>
      <c r="E650">
        <v>1322.3503418</v>
      </c>
      <c r="F650">
        <v>1318.6669922000001</v>
      </c>
      <c r="G650">
        <v>80</v>
      </c>
      <c r="H650">
        <v>79.948951721</v>
      </c>
      <c r="I650">
        <v>50</v>
      </c>
      <c r="J650">
        <v>34.678333281999997</v>
      </c>
      <c r="K650">
        <v>2400</v>
      </c>
      <c r="L650">
        <v>0</v>
      </c>
      <c r="M650">
        <v>0</v>
      </c>
      <c r="N650">
        <v>2400</v>
      </c>
    </row>
    <row r="651" spans="1:14" x14ac:dyDescent="0.25">
      <c r="A651">
        <v>136.80717999999999</v>
      </c>
      <c r="B651" s="1">
        <f>DATE(2010,9,14) + TIME(19,22,20)</f>
        <v>40435.807175925926</v>
      </c>
      <c r="C651">
        <v>1339.4023437999999</v>
      </c>
      <c r="D651">
        <v>1337.1795654</v>
      </c>
      <c r="E651">
        <v>1322.3568115</v>
      </c>
      <c r="F651">
        <v>1318.6799315999999</v>
      </c>
      <c r="G651">
        <v>80</v>
      </c>
      <c r="H651">
        <v>79.948974609000004</v>
      </c>
      <c r="I651">
        <v>50</v>
      </c>
      <c r="J651">
        <v>34.905487061000002</v>
      </c>
      <c r="K651">
        <v>2400</v>
      </c>
      <c r="L651">
        <v>0</v>
      </c>
      <c r="M651">
        <v>0</v>
      </c>
      <c r="N651">
        <v>2400</v>
      </c>
    </row>
    <row r="652" spans="1:14" x14ac:dyDescent="0.25">
      <c r="A652">
        <v>137.23826</v>
      </c>
      <c r="B652" s="1">
        <f>DATE(2010,9,15) + TIME(5,43,5)</f>
        <v>40436.238252314812</v>
      </c>
      <c r="C652">
        <v>1339.4001464999999</v>
      </c>
      <c r="D652">
        <v>1337.1778564000001</v>
      </c>
      <c r="E652">
        <v>1322.3634033000001</v>
      </c>
      <c r="F652">
        <v>1318.6925048999999</v>
      </c>
      <c r="G652">
        <v>80</v>
      </c>
      <c r="H652">
        <v>79.948997497999997</v>
      </c>
      <c r="I652">
        <v>50</v>
      </c>
      <c r="J652">
        <v>35.122234343999999</v>
      </c>
      <c r="K652">
        <v>2400</v>
      </c>
      <c r="L652">
        <v>0</v>
      </c>
      <c r="M652">
        <v>0</v>
      </c>
      <c r="N652">
        <v>2400</v>
      </c>
    </row>
    <row r="653" spans="1:14" x14ac:dyDescent="0.25">
      <c r="A653">
        <v>137.669341</v>
      </c>
      <c r="B653" s="1">
        <f>DATE(2010,9,15) + TIME(16,3,51)</f>
        <v>40436.669340277775</v>
      </c>
      <c r="C653">
        <v>1339.3979492000001</v>
      </c>
      <c r="D653">
        <v>1337.1761475000001</v>
      </c>
      <c r="E653">
        <v>1322.3701172000001</v>
      </c>
      <c r="F653">
        <v>1318.7050781</v>
      </c>
      <c r="G653">
        <v>80</v>
      </c>
      <c r="H653">
        <v>79.949020386000001</v>
      </c>
      <c r="I653">
        <v>50</v>
      </c>
      <c r="J653">
        <v>35.331909179999997</v>
      </c>
      <c r="K653">
        <v>2400</v>
      </c>
      <c r="L653">
        <v>0</v>
      </c>
      <c r="M653">
        <v>0</v>
      </c>
      <c r="N653">
        <v>2400</v>
      </c>
    </row>
    <row r="654" spans="1:14" x14ac:dyDescent="0.25">
      <c r="A654">
        <v>138.10042100000001</v>
      </c>
      <c r="B654" s="1">
        <f>DATE(2010,9,16) + TIME(2,24,36)</f>
        <v>40437.100416666668</v>
      </c>
      <c r="C654">
        <v>1339.3957519999999</v>
      </c>
      <c r="D654">
        <v>1337.1744385</v>
      </c>
      <c r="E654">
        <v>1322.3769531</v>
      </c>
      <c r="F654">
        <v>1318.7174072</v>
      </c>
      <c r="G654">
        <v>80</v>
      </c>
      <c r="H654">
        <v>79.949043274000005</v>
      </c>
      <c r="I654">
        <v>50</v>
      </c>
      <c r="J654">
        <v>35.536449431999998</v>
      </c>
      <c r="K654">
        <v>2400</v>
      </c>
      <c r="L654">
        <v>0</v>
      </c>
      <c r="M654">
        <v>0</v>
      </c>
      <c r="N654">
        <v>2400</v>
      </c>
    </row>
    <row r="655" spans="1:14" x14ac:dyDescent="0.25">
      <c r="A655">
        <v>138.53150099999999</v>
      </c>
      <c r="B655" s="1">
        <f>DATE(2010,9,16) + TIME(12,45,21)</f>
        <v>40437.531493055554</v>
      </c>
      <c r="C655">
        <v>1339.3935547000001</v>
      </c>
      <c r="D655">
        <v>1337.1727295000001</v>
      </c>
      <c r="E655">
        <v>1322.3839111</v>
      </c>
      <c r="F655">
        <v>1318.7297363</v>
      </c>
      <c r="G655">
        <v>80</v>
      </c>
      <c r="H655">
        <v>79.949066161999994</v>
      </c>
      <c r="I655">
        <v>50</v>
      </c>
      <c r="J655">
        <v>35.737033844000003</v>
      </c>
      <c r="K655">
        <v>2400</v>
      </c>
      <c r="L655">
        <v>0</v>
      </c>
      <c r="M655">
        <v>0</v>
      </c>
      <c r="N655">
        <v>2400</v>
      </c>
    </row>
    <row r="656" spans="1:14" x14ac:dyDescent="0.25">
      <c r="A656">
        <v>138.962581</v>
      </c>
      <c r="B656" s="1">
        <f>DATE(2010,9,16) + TIME(23,6,7)</f>
        <v>40437.962581018517</v>
      </c>
      <c r="C656">
        <v>1339.3913574000001</v>
      </c>
      <c r="D656">
        <v>1337.1710204999999</v>
      </c>
      <c r="E656">
        <v>1322.3907471</v>
      </c>
      <c r="F656">
        <v>1318.7419434000001</v>
      </c>
      <c r="G656">
        <v>80</v>
      </c>
      <c r="H656">
        <v>79.949089049999998</v>
      </c>
      <c r="I656">
        <v>50</v>
      </c>
      <c r="J656">
        <v>35.934379577999998</v>
      </c>
      <c r="K656">
        <v>2400</v>
      </c>
      <c r="L656">
        <v>0</v>
      </c>
      <c r="M656">
        <v>0</v>
      </c>
      <c r="N656">
        <v>2400</v>
      </c>
    </row>
    <row r="657" spans="1:14" x14ac:dyDescent="0.25">
      <c r="A657">
        <v>139.39366200000001</v>
      </c>
      <c r="B657" s="1">
        <f>DATE(2010,9,17) + TIME(9,26,52)</f>
        <v>40438.393657407411</v>
      </c>
      <c r="C657">
        <v>1339.3892822</v>
      </c>
      <c r="D657">
        <v>1337.1693115</v>
      </c>
      <c r="E657">
        <v>1322.3978271000001</v>
      </c>
      <c r="F657">
        <v>1318.7541504000001</v>
      </c>
      <c r="G657">
        <v>80</v>
      </c>
      <c r="H657">
        <v>79.949111938000001</v>
      </c>
      <c r="I657">
        <v>50</v>
      </c>
      <c r="J657">
        <v>36.128944396999998</v>
      </c>
      <c r="K657">
        <v>2400</v>
      </c>
      <c r="L657">
        <v>0</v>
      </c>
      <c r="M657">
        <v>0</v>
      </c>
      <c r="N657">
        <v>2400</v>
      </c>
    </row>
    <row r="658" spans="1:14" x14ac:dyDescent="0.25">
      <c r="A658">
        <v>139.82474199999999</v>
      </c>
      <c r="B658" s="1">
        <f>DATE(2010,9,17) + TIME(19,47,37)</f>
        <v>40438.824733796297</v>
      </c>
      <c r="C658">
        <v>1339.3870850000001</v>
      </c>
      <c r="D658">
        <v>1337.1676024999999</v>
      </c>
      <c r="E658">
        <v>1322.4047852000001</v>
      </c>
      <c r="F658">
        <v>1318.7664795000001</v>
      </c>
      <c r="G658">
        <v>80</v>
      </c>
      <c r="H658">
        <v>79.949134826999995</v>
      </c>
      <c r="I658">
        <v>50</v>
      </c>
      <c r="J658">
        <v>36.321048736999998</v>
      </c>
      <c r="K658">
        <v>2400</v>
      </c>
      <c r="L658">
        <v>0</v>
      </c>
      <c r="M658">
        <v>0</v>
      </c>
      <c r="N658">
        <v>2400</v>
      </c>
    </row>
    <row r="659" spans="1:14" x14ac:dyDescent="0.25">
      <c r="A659">
        <v>140.686902</v>
      </c>
      <c r="B659" s="1">
        <f>DATE(2010,9,18) + TIME(16,29,8)</f>
        <v>40439.686898148146</v>
      </c>
      <c r="C659">
        <v>1339.3850098</v>
      </c>
      <c r="D659">
        <v>1337.1660156</v>
      </c>
      <c r="E659">
        <v>1322.409668</v>
      </c>
      <c r="F659">
        <v>1318.7803954999999</v>
      </c>
      <c r="G659">
        <v>80</v>
      </c>
      <c r="H659">
        <v>79.949188231999997</v>
      </c>
      <c r="I659">
        <v>50</v>
      </c>
      <c r="J659">
        <v>36.586139678999999</v>
      </c>
      <c r="K659">
        <v>2400</v>
      </c>
      <c r="L659">
        <v>0</v>
      </c>
      <c r="M659">
        <v>0</v>
      </c>
      <c r="N659">
        <v>2400</v>
      </c>
    </row>
    <row r="660" spans="1:14" x14ac:dyDescent="0.25">
      <c r="A660">
        <v>141.549181</v>
      </c>
      <c r="B660" s="1">
        <f>DATE(2010,9,19) + TIME(13,10,49)</f>
        <v>40440.549178240741</v>
      </c>
      <c r="C660">
        <v>1339.3807373</v>
      </c>
      <c r="D660">
        <v>1337.1627197</v>
      </c>
      <c r="E660">
        <v>1322.4243164</v>
      </c>
      <c r="F660">
        <v>1318.8022461</v>
      </c>
      <c r="G660">
        <v>80</v>
      </c>
      <c r="H660">
        <v>79.949234008999994</v>
      </c>
      <c r="I660">
        <v>50</v>
      </c>
      <c r="J660">
        <v>36.914413451999998</v>
      </c>
      <c r="K660">
        <v>2400</v>
      </c>
      <c r="L660">
        <v>0</v>
      </c>
      <c r="M660">
        <v>0</v>
      </c>
      <c r="N660">
        <v>2400</v>
      </c>
    </row>
    <row r="661" spans="1:14" x14ac:dyDescent="0.25">
      <c r="A661">
        <v>142.42341099999999</v>
      </c>
      <c r="B661" s="1">
        <f>DATE(2010,9,20) + TIME(10,9,42)</f>
        <v>40441.423402777778</v>
      </c>
      <c r="C661">
        <v>1339.3765868999999</v>
      </c>
      <c r="D661">
        <v>1337.1594238</v>
      </c>
      <c r="E661">
        <v>1322.4385986</v>
      </c>
      <c r="F661">
        <v>1318.8255615</v>
      </c>
      <c r="G661">
        <v>80</v>
      </c>
      <c r="H661">
        <v>79.949279785000002</v>
      </c>
      <c r="I661">
        <v>50</v>
      </c>
      <c r="J661">
        <v>37.265552520999996</v>
      </c>
      <c r="K661">
        <v>2400</v>
      </c>
      <c r="L661">
        <v>0</v>
      </c>
      <c r="M661">
        <v>0</v>
      </c>
      <c r="N661">
        <v>2400</v>
      </c>
    </row>
    <row r="662" spans="1:14" x14ac:dyDescent="0.25">
      <c r="A662">
        <v>143.31234799999999</v>
      </c>
      <c r="B662" s="1">
        <f>DATE(2010,9,21) + TIME(7,29,46)</f>
        <v>40442.312337962961</v>
      </c>
      <c r="C662">
        <v>1339.3724365</v>
      </c>
      <c r="D662">
        <v>1337.1561279</v>
      </c>
      <c r="E662">
        <v>1322.4530029</v>
      </c>
      <c r="F662">
        <v>1318.8497314000001</v>
      </c>
      <c r="G662">
        <v>80</v>
      </c>
      <c r="H662">
        <v>79.949333190999994</v>
      </c>
      <c r="I662">
        <v>50</v>
      </c>
      <c r="J662">
        <v>37.625453948999997</v>
      </c>
      <c r="K662">
        <v>2400</v>
      </c>
      <c r="L662">
        <v>0</v>
      </c>
      <c r="M662">
        <v>0</v>
      </c>
      <c r="N662">
        <v>2400</v>
      </c>
    </row>
    <row r="663" spans="1:14" x14ac:dyDescent="0.25">
      <c r="A663">
        <v>144.21481600000001</v>
      </c>
      <c r="B663" s="1">
        <f>DATE(2010,9,22) + TIME(5,9,20)</f>
        <v>40443.214814814812</v>
      </c>
      <c r="C663">
        <v>1339.3681641000001</v>
      </c>
      <c r="D663">
        <v>1337.152832</v>
      </c>
      <c r="E663">
        <v>1322.4676514</v>
      </c>
      <c r="F663">
        <v>1318.8746338000001</v>
      </c>
      <c r="G663">
        <v>80</v>
      </c>
      <c r="H663">
        <v>79.949378967000001</v>
      </c>
      <c r="I663">
        <v>50</v>
      </c>
      <c r="J663">
        <v>37.988609314000001</v>
      </c>
      <c r="K663">
        <v>2400</v>
      </c>
      <c r="L663">
        <v>0</v>
      </c>
      <c r="M663">
        <v>0</v>
      </c>
      <c r="N663">
        <v>2400</v>
      </c>
    </row>
    <row r="664" spans="1:14" x14ac:dyDescent="0.25">
      <c r="A664">
        <v>145.128523</v>
      </c>
      <c r="B664" s="1">
        <f>DATE(2010,9,23) + TIME(3,5,4)</f>
        <v>40444.128518518519</v>
      </c>
      <c r="C664">
        <v>1339.3638916</v>
      </c>
      <c r="D664">
        <v>1337.1495361</v>
      </c>
      <c r="E664">
        <v>1322.4825439000001</v>
      </c>
      <c r="F664">
        <v>1318.8999022999999</v>
      </c>
      <c r="G664">
        <v>80</v>
      </c>
      <c r="H664">
        <v>79.949424743999998</v>
      </c>
      <c r="I664">
        <v>50</v>
      </c>
      <c r="J664">
        <v>38.352321625000002</v>
      </c>
      <c r="K664">
        <v>2400</v>
      </c>
      <c r="L664">
        <v>0</v>
      </c>
      <c r="M664">
        <v>0</v>
      </c>
      <c r="N664">
        <v>2400</v>
      </c>
    </row>
    <row r="665" spans="1:14" x14ac:dyDescent="0.25">
      <c r="A665">
        <v>146.05210199999999</v>
      </c>
      <c r="B665" s="1">
        <f>DATE(2010,9,24) + TIME(1,15,1)</f>
        <v>40445.052094907405</v>
      </c>
      <c r="C665">
        <v>1339.3597411999999</v>
      </c>
      <c r="D665">
        <v>1337.1462402</v>
      </c>
      <c r="E665">
        <v>1322.4976807</v>
      </c>
      <c r="F665">
        <v>1318.9254149999999</v>
      </c>
      <c r="G665">
        <v>80</v>
      </c>
      <c r="H665">
        <v>79.949478149000001</v>
      </c>
      <c r="I665">
        <v>50</v>
      </c>
      <c r="J665">
        <v>38.715015411000003</v>
      </c>
      <c r="K665">
        <v>2400</v>
      </c>
      <c r="L665">
        <v>0</v>
      </c>
      <c r="M665">
        <v>0</v>
      </c>
      <c r="N665">
        <v>2400</v>
      </c>
    </row>
    <row r="666" spans="1:14" x14ac:dyDescent="0.25">
      <c r="A666">
        <v>146.984735</v>
      </c>
      <c r="B666" s="1">
        <f>DATE(2010,9,24) + TIME(23,38,1)</f>
        <v>40445.984733796293</v>
      </c>
      <c r="C666">
        <v>1339.3554687999999</v>
      </c>
      <c r="D666">
        <v>1337.1430664</v>
      </c>
      <c r="E666">
        <v>1322.5129394999999</v>
      </c>
      <c r="F666">
        <v>1318.9511719</v>
      </c>
      <c r="G666">
        <v>80</v>
      </c>
      <c r="H666">
        <v>79.949523925999998</v>
      </c>
      <c r="I666">
        <v>50</v>
      </c>
      <c r="J666">
        <v>39.075714111000003</v>
      </c>
      <c r="K666">
        <v>2400</v>
      </c>
      <c r="L666">
        <v>0</v>
      </c>
      <c r="M666">
        <v>0</v>
      </c>
      <c r="N666">
        <v>2400</v>
      </c>
    </row>
    <row r="667" spans="1:14" x14ac:dyDescent="0.25">
      <c r="A667">
        <v>147.451078</v>
      </c>
      <c r="B667" s="1">
        <f>DATE(2010,9,25) + TIME(10,49,33)</f>
        <v>40446.45107638889</v>
      </c>
      <c r="C667">
        <v>1339.3513184000001</v>
      </c>
      <c r="D667">
        <v>1337.1397704999999</v>
      </c>
      <c r="E667">
        <v>1322.5308838000001</v>
      </c>
      <c r="F667">
        <v>1318.9746094</v>
      </c>
      <c r="G667">
        <v>80</v>
      </c>
      <c r="H667">
        <v>79.949546814000001</v>
      </c>
      <c r="I667">
        <v>50</v>
      </c>
      <c r="J667">
        <v>39.336277008000003</v>
      </c>
      <c r="K667">
        <v>2400</v>
      </c>
      <c r="L667">
        <v>0</v>
      </c>
      <c r="M667">
        <v>0</v>
      </c>
      <c r="N667">
        <v>2400</v>
      </c>
    </row>
    <row r="668" spans="1:14" x14ac:dyDescent="0.25">
      <c r="A668">
        <v>147.915798</v>
      </c>
      <c r="B668" s="1">
        <f>DATE(2010,9,25) + TIME(21,58,44)</f>
        <v>40446.91578703704</v>
      </c>
      <c r="C668">
        <v>1339.3492432</v>
      </c>
      <c r="D668">
        <v>1337.1381836</v>
      </c>
      <c r="E668">
        <v>1322.5380858999999</v>
      </c>
      <c r="F668">
        <v>1318.9898682</v>
      </c>
      <c r="G668">
        <v>80</v>
      </c>
      <c r="H668">
        <v>79.949569702000005</v>
      </c>
      <c r="I668">
        <v>50</v>
      </c>
      <c r="J668">
        <v>39.556751251000001</v>
      </c>
      <c r="K668">
        <v>2400</v>
      </c>
      <c r="L668">
        <v>0</v>
      </c>
      <c r="M668">
        <v>0</v>
      </c>
      <c r="N668">
        <v>2400</v>
      </c>
    </row>
    <row r="669" spans="1:14" x14ac:dyDescent="0.25">
      <c r="A669">
        <v>148.380518</v>
      </c>
      <c r="B669" s="1">
        <f>DATE(2010,9,26) + TIME(9,7,56)</f>
        <v>40447.380509259259</v>
      </c>
      <c r="C669">
        <v>1339.347168</v>
      </c>
      <c r="D669">
        <v>1337.1365966999999</v>
      </c>
      <c r="E669">
        <v>1322.5455322</v>
      </c>
      <c r="F669">
        <v>1319.0040283000001</v>
      </c>
      <c r="G669">
        <v>80</v>
      </c>
      <c r="H669">
        <v>79.949592589999995</v>
      </c>
      <c r="I669">
        <v>50</v>
      </c>
      <c r="J669">
        <v>39.755012512</v>
      </c>
      <c r="K669">
        <v>2400</v>
      </c>
      <c r="L669">
        <v>0</v>
      </c>
      <c r="M669">
        <v>0</v>
      </c>
      <c r="N669">
        <v>2400</v>
      </c>
    </row>
    <row r="670" spans="1:14" x14ac:dyDescent="0.25">
      <c r="A670">
        <v>148.845237</v>
      </c>
      <c r="B670" s="1">
        <f>DATE(2010,9,26) + TIME(20,17,8)</f>
        <v>40447.845231481479</v>
      </c>
      <c r="C670">
        <v>1339.3450928</v>
      </c>
      <c r="D670">
        <v>1337.1350098</v>
      </c>
      <c r="E670">
        <v>1322.5529785000001</v>
      </c>
      <c r="F670">
        <v>1319.0174560999999</v>
      </c>
      <c r="G670">
        <v>80</v>
      </c>
      <c r="H670">
        <v>79.949615479000002</v>
      </c>
      <c r="I670">
        <v>50</v>
      </c>
      <c r="J670">
        <v>39.940509796000001</v>
      </c>
      <c r="K670">
        <v>2400</v>
      </c>
      <c r="L670">
        <v>0</v>
      </c>
      <c r="M670">
        <v>0</v>
      </c>
      <c r="N670">
        <v>2400</v>
      </c>
    </row>
    <row r="671" spans="1:14" x14ac:dyDescent="0.25">
      <c r="A671">
        <v>149.309957</v>
      </c>
      <c r="B671" s="1">
        <f>DATE(2010,9,27) + TIME(7,26,20)</f>
        <v>40448.309953703705</v>
      </c>
      <c r="C671">
        <v>1339.3430175999999</v>
      </c>
      <c r="D671">
        <v>1337.1334228999999</v>
      </c>
      <c r="E671">
        <v>1322.5605469</v>
      </c>
      <c r="F671">
        <v>1319.0306396000001</v>
      </c>
      <c r="G671">
        <v>80</v>
      </c>
      <c r="H671">
        <v>79.949638367000006</v>
      </c>
      <c r="I671">
        <v>50</v>
      </c>
      <c r="J671">
        <v>40.118389129999997</v>
      </c>
      <c r="K671">
        <v>2400</v>
      </c>
      <c r="L671">
        <v>0</v>
      </c>
      <c r="M671">
        <v>0</v>
      </c>
      <c r="N671">
        <v>2400</v>
      </c>
    </row>
    <row r="672" spans="1:14" x14ac:dyDescent="0.25">
      <c r="A672">
        <v>149.774677</v>
      </c>
      <c r="B672" s="1">
        <f>DATE(2010,9,27) + TIME(18,35,32)</f>
        <v>40448.774675925924</v>
      </c>
      <c r="C672">
        <v>1339.3410644999999</v>
      </c>
      <c r="D672">
        <v>1337.1318358999999</v>
      </c>
      <c r="E672">
        <v>1322.5681152</v>
      </c>
      <c r="F672">
        <v>1319.0435791</v>
      </c>
      <c r="G672">
        <v>80</v>
      </c>
      <c r="H672">
        <v>79.949668884000005</v>
      </c>
      <c r="I672">
        <v>50</v>
      </c>
      <c r="J672">
        <v>40.291393280000001</v>
      </c>
      <c r="K672">
        <v>2400</v>
      </c>
      <c r="L672">
        <v>0</v>
      </c>
      <c r="M672">
        <v>0</v>
      </c>
      <c r="N672">
        <v>2400</v>
      </c>
    </row>
    <row r="673" spans="1:14" x14ac:dyDescent="0.25">
      <c r="A673">
        <v>150.239397</v>
      </c>
      <c r="B673" s="1">
        <f>DATE(2010,9,28) + TIME(5,44,43)</f>
        <v>40449.239386574074</v>
      </c>
      <c r="C673">
        <v>1339.3389893000001</v>
      </c>
      <c r="D673">
        <v>1337.130249</v>
      </c>
      <c r="E673">
        <v>1322.5756836</v>
      </c>
      <c r="F673">
        <v>1319.0562743999999</v>
      </c>
      <c r="G673">
        <v>80</v>
      </c>
      <c r="H673">
        <v>79.949691771999994</v>
      </c>
      <c r="I673">
        <v>50</v>
      </c>
      <c r="J673">
        <v>40.460998535000002</v>
      </c>
      <c r="K673">
        <v>2400</v>
      </c>
      <c r="L673">
        <v>0</v>
      </c>
      <c r="M673">
        <v>0</v>
      </c>
      <c r="N673">
        <v>2400</v>
      </c>
    </row>
    <row r="674" spans="1:14" x14ac:dyDescent="0.25">
      <c r="A674">
        <v>151.168837</v>
      </c>
      <c r="B674" s="1">
        <f>DATE(2010,9,29) + TIME(4,3,7)</f>
        <v>40450.16883101852</v>
      </c>
      <c r="C674">
        <v>1339.3370361</v>
      </c>
      <c r="D674">
        <v>1337.1287841999999</v>
      </c>
      <c r="E674">
        <v>1322.5816649999999</v>
      </c>
      <c r="F674">
        <v>1319.0703125</v>
      </c>
      <c r="G674">
        <v>80</v>
      </c>
      <c r="H674">
        <v>79.949745178000001</v>
      </c>
      <c r="I674">
        <v>50</v>
      </c>
      <c r="J674">
        <v>40.689441680999998</v>
      </c>
      <c r="K674">
        <v>2400</v>
      </c>
      <c r="L674">
        <v>0</v>
      </c>
      <c r="M674">
        <v>0</v>
      </c>
      <c r="N674">
        <v>2400</v>
      </c>
    </row>
    <row r="675" spans="1:14" x14ac:dyDescent="0.25">
      <c r="A675">
        <v>152.09857199999999</v>
      </c>
      <c r="B675" s="1">
        <f>DATE(2010,9,30) + TIME(2,21,56)</f>
        <v>40451.098564814813</v>
      </c>
      <c r="C675">
        <v>1339.3331298999999</v>
      </c>
      <c r="D675">
        <v>1337.1257324000001</v>
      </c>
      <c r="E675">
        <v>1322.5966797000001</v>
      </c>
      <c r="F675">
        <v>1319.0922852000001</v>
      </c>
      <c r="G675">
        <v>80</v>
      </c>
      <c r="H675">
        <v>79.949798584000007</v>
      </c>
      <c r="I675">
        <v>50</v>
      </c>
      <c r="J675">
        <v>40.978492737000003</v>
      </c>
      <c r="K675">
        <v>2400</v>
      </c>
      <c r="L675">
        <v>0</v>
      </c>
      <c r="M675">
        <v>0</v>
      </c>
      <c r="N675">
        <v>2400</v>
      </c>
    </row>
    <row r="676" spans="1:14" x14ac:dyDescent="0.25">
      <c r="A676">
        <v>153</v>
      </c>
      <c r="B676" s="1">
        <f>DATE(2010,10,1) + TIME(0,0,0)</f>
        <v>40452</v>
      </c>
      <c r="C676">
        <v>1339.3292236</v>
      </c>
      <c r="D676">
        <v>1337.1226807</v>
      </c>
      <c r="E676">
        <v>1322.6115723</v>
      </c>
      <c r="F676">
        <v>1319.1154785000001</v>
      </c>
      <c r="G676">
        <v>80</v>
      </c>
      <c r="H676">
        <v>79.94984436</v>
      </c>
      <c r="I676">
        <v>50</v>
      </c>
      <c r="J676">
        <v>41.282268524000003</v>
      </c>
      <c r="K676">
        <v>2400</v>
      </c>
      <c r="L676">
        <v>0</v>
      </c>
      <c r="M676">
        <v>0</v>
      </c>
      <c r="N676">
        <v>2400</v>
      </c>
    </row>
    <row r="677" spans="1:14" x14ac:dyDescent="0.25">
      <c r="A677">
        <v>153.940316</v>
      </c>
      <c r="B677" s="1">
        <f>DATE(2010,10,1) + TIME(22,34,3)</f>
        <v>40452.940312500003</v>
      </c>
      <c r="C677">
        <v>1339.3254394999999</v>
      </c>
      <c r="D677">
        <v>1337.1198730000001</v>
      </c>
      <c r="E677">
        <v>1322.6257324000001</v>
      </c>
      <c r="F677">
        <v>1319.1387939000001</v>
      </c>
      <c r="G677">
        <v>80</v>
      </c>
      <c r="H677">
        <v>79.949897766000007</v>
      </c>
      <c r="I677">
        <v>50</v>
      </c>
      <c r="J677">
        <v>41.589759827000002</v>
      </c>
      <c r="K677">
        <v>2400</v>
      </c>
      <c r="L677">
        <v>0</v>
      </c>
      <c r="M677">
        <v>0</v>
      </c>
      <c r="N677">
        <v>2400</v>
      </c>
    </row>
    <row r="678" spans="1:14" x14ac:dyDescent="0.25">
      <c r="A678">
        <v>154.90951699999999</v>
      </c>
      <c r="B678" s="1">
        <f>DATE(2010,10,2) + TIME(21,49,42)</f>
        <v>40453.909513888888</v>
      </c>
      <c r="C678">
        <v>1339.3215332</v>
      </c>
      <c r="D678">
        <v>1337.1168213000001</v>
      </c>
      <c r="E678">
        <v>1322.6405029</v>
      </c>
      <c r="F678">
        <v>1319.1627197</v>
      </c>
      <c r="G678">
        <v>80</v>
      </c>
      <c r="H678">
        <v>79.949951171999999</v>
      </c>
      <c r="I678">
        <v>50</v>
      </c>
      <c r="J678">
        <v>41.901699065999999</v>
      </c>
      <c r="K678">
        <v>2400</v>
      </c>
      <c r="L678">
        <v>0</v>
      </c>
      <c r="M678">
        <v>0</v>
      </c>
      <c r="N678">
        <v>2400</v>
      </c>
    </row>
    <row r="679" spans="1:14" x14ac:dyDescent="0.25">
      <c r="A679">
        <v>155.888025</v>
      </c>
      <c r="B679" s="1">
        <f>DATE(2010,10,3) + TIME(21,18,45)</f>
        <v>40454.888020833336</v>
      </c>
      <c r="C679">
        <v>1339.3176269999999</v>
      </c>
      <c r="D679">
        <v>1337.1138916</v>
      </c>
      <c r="E679">
        <v>1322.6557617000001</v>
      </c>
      <c r="F679">
        <v>1319.1870117000001</v>
      </c>
      <c r="G679">
        <v>80</v>
      </c>
      <c r="H679">
        <v>79.950004578000005</v>
      </c>
      <c r="I679">
        <v>50</v>
      </c>
      <c r="J679">
        <v>42.214920044000003</v>
      </c>
      <c r="K679">
        <v>2400</v>
      </c>
      <c r="L679">
        <v>0</v>
      </c>
      <c r="M679">
        <v>0</v>
      </c>
      <c r="N679">
        <v>2400</v>
      </c>
    </row>
    <row r="680" spans="1:14" x14ac:dyDescent="0.25">
      <c r="A680">
        <v>156.87702899999999</v>
      </c>
      <c r="B680" s="1">
        <f>DATE(2010,10,4) + TIME(21,2,55)</f>
        <v>40455.877025462964</v>
      </c>
      <c r="C680">
        <v>1339.3137207</v>
      </c>
      <c r="D680">
        <v>1337.1108397999999</v>
      </c>
      <c r="E680">
        <v>1322.6708983999999</v>
      </c>
      <c r="F680">
        <v>1319.2114257999999</v>
      </c>
      <c r="G680">
        <v>80</v>
      </c>
      <c r="H680">
        <v>79.950057982999994</v>
      </c>
      <c r="I680">
        <v>50</v>
      </c>
      <c r="J680">
        <v>42.526393890000001</v>
      </c>
      <c r="K680">
        <v>2400</v>
      </c>
      <c r="L680">
        <v>0</v>
      </c>
      <c r="M680">
        <v>0</v>
      </c>
      <c r="N680">
        <v>2400</v>
      </c>
    </row>
    <row r="681" spans="1:14" x14ac:dyDescent="0.25">
      <c r="A681">
        <v>157.879648</v>
      </c>
      <c r="B681" s="1">
        <f>DATE(2010,10,5) + TIME(21,6,41)</f>
        <v>40456.879641203705</v>
      </c>
      <c r="C681">
        <v>1339.3098144999999</v>
      </c>
      <c r="D681">
        <v>1337.1079102000001</v>
      </c>
      <c r="E681">
        <v>1322.6861572</v>
      </c>
      <c r="F681">
        <v>1319.2358397999999</v>
      </c>
      <c r="G681">
        <v>80</v>
      </c>
      <c r="H681">
        <v>79.950111389</v>
      </c>
      <c r="I681">
        <v>50</v>
      </c>
      <c r="J681">
        <v>42.835426331000001</v>
      </c>
      <c r="K681">
        <v>2400</v>
      </c>
      <c r="L681">
        <v>0</v>
      </c>
      <c r="M681">
        <v>0</v>
      </c>
      <c r="N681">
        <v>2400</v>
      </c>
    </row>
    <row r="682" spans="1:14" x14ac:dyDescent="0.25">
      <c r="A682">
        <v>158.38261199999999</v>
      </c>
      <c r="B682" s="1">
        <f>DATE(2010,10,6) + TIME(9,10,57)</f>
        <v>40457.382604166669</v>
      </c>
      <c r="C682">
        <v>1339.3059082</v>
      </c>
      <c r="D682">
        <v>1337.1049805</v>
      </c>
      <c r="E682">
        <v>1322.7032471</v>
      </c>
      <c r="F682">
        <v>1319.2583007999999</v>
      </c>
      <c r="G682">
        <v>80</v>
      </c>
      <c r="H682">
        <v>79.950126647999994</v>
      </c>
      <c r="I682">
        <v>50</v>
      </c>
      <c r="J682">
        <v>43.062892914000003</v>
      </c>
      <c r="K682">
        <v>2400</v>
      </c>
      <c r="L682">
        <v>0</v>
      </c>
      <c r="M682">
        <v>0</v>
      </c>
      <c r="N682">
        <v>2400</v>
      </c>
    </row>
    <row r="683" spans="1:14" x14ac:dyDescent="0.25">
      <c r="A683">
        <v>158.883847</v>
      </c>
      <c r="B683" s="1">
        <f>DATE(2010,10,6) + TIME(21,12,44)</f>
        <v>40457.883842592593</v>
      </c>
      <c r="C683">
        <v>1339.3039550999999</v>
      </c>
      <c r="D683">
        <v>1337.1033935999999</v>
      </c>
      <c r="E683">
        <v>1322.7108154</v>
      </c>
      <c r="F683">
        <v>1319.2727050999999</v>
      </c>
      <c r="G683">
        <v>80</v>
      </c>
      <c r="H683">
        <v>79.950157165999997</v>
      </c>
      <c r="I683">
        <v>50</v>
      </c>
      <c r="J683">
        <v>43.251724242999998</v>
      </c>
      <c r="K683">
        <v>2400</v>
      </c>
      <c r="L683">
        <v>0</v>
      </c>
      <c r="M683">
        <v>0</v>
      </c>
      <c r="N683">
        <v>2400</v>
      </c>
    </row>
    <row r="684" spans="1:14" x14ac:dyDescent="0.25">
      <c r="A684">
        <v>159.384703</v>
      </c>
      <c r="B684" s="1">
        <f>DATE(2010,10,7) + TIME(9,13,58)</f>
        <v>40458.384699074071</v>
      </c>
      <c r="C684">
        <v>1339.3020019999999</v>
      </c>
      <c r="D684">
        <v>1337.1020507999999</v>
      </c>
      <c r="E684">
        <v>1322.7183838000001</v>
      </c>
      <c r="F684">
        <v>1319.2860106999999</v>
      </c>
      <c r="G684">
        <v>80</v>
      </c>
      <c r="H684">
        <v>79.950180054</v>
      </c>
      <c r="I684">
        <v>50</v>
      </c>
      <c r="J684">
        <v>43.420055388999998</v>
      </c>
      <c r="K684">
        <v>2400</v>
      </c>
      <c r="L684">
        <v>0</v>
      </c>
      <c r="M684">
        <v>0</v>
      </c>
      <c r="N684">
        <v>2400</v>
      </c>
    </row>
    <row r="685" spans="1:14" x14ac:dyDescent="0.25">
      <c r="A685">
        <v>159.885559</v>
      </c>
      <c r="B685" s="1">
        <f>DATE(2010,10,7) + TIME(21,15,12)</f>
        <v>40458.885555555556</v>
      </c>
      <c r="C685">
        <v>1339.3001709</v>
      </c>
      <c r="D685">
        <v>1337.1005858999999</v>
      </c>
      <c r="E685">
        <v>1322.7259521000001</v>
      </c>
      <c r="F685">
        <v>1319.2987060999999</v>
      </c>
      <c r="G685">
        <v>80</v>
      </c>
      <c r="H685">
        <v>79.950202942000004</v>
      </c>
      <c r="I685">
        <v>50</v>
      </c>
      <c r="J685">
        <v>43.577091217000003</v>
      </c>
      <c r="K685">
        <v>2400</v>
      </c>
      <c r="L685">
        <v>0</v>
      </c>
      <c r="M685">
        <v>0</v>
      </c>
      <c r="N685">
        <v>2400</v>
      </c>
    </row>
    <row r="686" spans="1:14" x14ac:dyDescent="0.25">
      <c r="A686">
        <v>160.386414</v>
      </c>
      <c r="B686" s="1">
        <f>DATE(2010,10,8) + TIME(9,16,26)</f>
        <v>40459.386412037034</v>
      </c>
      <c r="C686">
        <v>1339.2982178</v>
      </c>
      <c r="D686">
        <v>1337.0991211</v>
      </c>
      <c r="E686">
        <v>1322.7335204999999</v>
      </c>
      <c r="F686">
        <v>1319.3109131000001</v>
      </c>
      <c r="G686">
        <v>80</v>
      </c>
      <c r="H686">
        <v>79.950233459000003</v>
      </c>
      <c r="I686">
        <v>50</v>
      </c>
      <c r="J686">
        <v>43.727523804</v>
      </c>
      <c r="K686">
        <v>2400</v>
      </c>
      <c r="L686">
        <v>0</v>
      </c>
      <c r="M686">
        <v>0</v>
      </c>
      <c r="N686">
        <v>2400</v>
      </c>
    </row>
    <row r="687" spans="1:14" x14ac:dyDescent="0.25">
      <c r="A687">
        <v>161.388126</v>
      </c>
      <c r="B687" s="1">
        <f>DATE(2010,10,9) + TIME(9,18,54)</f>
        <v>40460.388124999998</v>
      </c>
      <c r="C687">
        <v>1339.2963867000001</v>
      </c>
      <c r="D687">
        <v>1337.0976562000001</v>
      </c>
      <c r="E687">
        <v>1322.7398682</v>
      </c>
      <c r="F687">
        <v>1319.3242187999999</v>
      </c>
      <c r="G687">
        <v>80</v>
      </c>
      <c r="H687">
        <v>79.950294494999994</v>
      </c>
      <c r="I687">
        <v>50</v>
      </c>
      <c r="J687">
        <v>43.923885345000002</v>
      </c>
      <c r="K687">
        <v>2400</v>
      </c>
      <c r="L687">
        <v>0</v>
      </c>
      <c r="M687">
        <v>0</v>
      </c>
      <c r="N687">
        <v>2400</v>
      </c>
    </row>
    <row r="688" spans="1:14" x14ac:dyDescent="0.25">
      <c r="A688">
        <v>162.38996399999999</v>
      </c>
      <c r="B688" s="1">
        <f>DATE(2010,10,10) + TIME(9,21,32)</f>
        <v>40461.389953703707</v>
      </c>
      <c r="C688">
        <v>1339.2926024999999</v>
      </c>
      <c r="D688">
        <v>1337.0948486</v>
      </c>
      <c r="E688">
        <v>1322.7543945</v>
      </c>
      <c r="F688">
        <v>1319.3448486</v>
      </c>
      <c r="G688">
        <v>80</v>
      </c>
      <c r="H688">
        <v>79.950347899999997</v>
      </c>
      <c r="I688">
        <v>50</v>
      </c>
      <c r="J688">
        <v>44.175148010000001</v>
      </c>
      <c r="K688">
        <v>2400</v>
      </c>
      <c r="L688">
        <v>0</v>
      </c>
      <c r="M688">
        <v>0</v>
      </c>
      <c r="N688">
        <v>2400</v>
      </c>
    </row>
    <row r="689" spans="1:14" x14ac:dyDescent="0.25">
      <c r="A689">
        <v>163.40094999999999</v>
      </c>
      <c r="B689" s="1">
        <f>DATE(2010,10,11) + TIME(9,37,22)</f>
        <v>40462.400949074072</v>
      </c>
      <c r="C689">
        <v>1339.2889404</v>
      </c>
      <c r="D689">
        <v>1337.0920410000001</v>
      </c>
      <c r="E689">
        <v>1322.769043</v>
      </c>
      <c r="F689">
        <v>1319.3666992000001</v>
      </c>
      <c r="G689">
        <v>80</v>
      </c>
      <c r="H689">
        <v>79.950401306000003</v>
      </c>
      <c r="I689">
        <v>50</v>
      </c>
      <c r="J689">
        <v>44.441875457999998</v>
      </c>
      <c r="K689">
        <v>2400</v>
      </c>
      <c r="L689">
        <v>0</v>
      </c>
      <c r="M689">
        <v>0</v>
      </c>
      <c r="N689">
        <v>2400</v>
      </c>
    </row>
    <row r="690" spans="1:14" x14ac:dyDescent="0.25">
      <c r="A690">
        <v>164.42223100000001</v>
      </c>
      <c r="B690" s="1">
        <f>DATE(2010,10,12) + TIME(10,8,0)</f>
        <v>40463.422222222223</v>
      </c>
      <c r="C690">
        <v>1339.2852783000001</v>
      </c>
      <c r="D690">
        <v>1337.0893555</v>
      </c>
      <c r="E690">
        <v>1322.7836914</v>
      </c>
      <c r="F690">
        <v>1319.3891602000001</v>
      </c>
      <c r="G690">
        <v>80</v>
      </c>
      <c r="H690">
        <v>79.950454711999996</v>
      </c>
      <c r="I690">
        <v>50</v>
      </c>
      <c r="J690">
        <v>44.711677551000001</v>
      </c>
      <c r="K690">
        <v>2400</v>
      </c>
      <c r="L690">
        <v>0</v>
      </c>
      <c r="M690">
        <v>0</v>
      </c>
      <c r="N690">
        <v>2400</v>
      </c>
    </row>
    <row r="691" spans="1:14" x14ac:dyDescent="0.25">
      <c r="A691">
        <v>165.45453800000001</v>
      </c>
      <c r="B691" s="1">
        <f>DATE(2010,10,13) + TIME(10,54,32)</f>
        <v>40464.45453703704</v>
      </c>
      <c r="C691">
        <v>1339.2816161999999</v>
      </c>
      <c r="D691">
        <v>1337.0865478999999</v>
      </c>
      <c r="E691">
        <v>1322.7983397999999</v>
      </c>
      <c r="F691">
        <v>1319.4118652</v>
      </c>
      <c r="G691">
        <v>80</v>
      </c>
      <c r="H691">
        <v>79.950508118000002</v>
      </c>
      <c r="I691">
        <v>50</v>
      </c>
      <c r="J691">
        <v>44.980457305999998</v>
      </c>
      <c r="K691">
        <v>2400</v>
      </c>
      <c r="L691">
        <v>0</v>
      </c>
      <c r="M691">
        <v>0</v>
      </c>
      <c r="N691">
        <v>2400</v>
      </c>
    </row>
    <row r="692" spans="1:14" x14ac:dyDescent="0.25">
      <c r="A692">
        <v>166.49525199999999</v>
      </c>
      <c r="B692" s="1">
        <f>DATE(2010,10,14) + TIME(11,53,9)</f>
        <v>40465.495243055557</v>
      </c>
      <c r="C692">
        <v>1339.2779541</v>
      </c>
      <c r="D692">
        <v>1337.0837402</v>
      </c>
      <c r="E692">
        <v>1322.8132324000001</v>
      </c>
      <c r="F692">
        <v>1319.4345702999999</v>
      </c>
      <c r="G692">
        <v>80</v>
      </c>
      <c r="H692">
        <v>79.950561523000005</v>
      </c>
      <c r="I692">
        <v>50</v>
      </c>
      <c r="J692">
        <v>45.246669769</v>
      </c>
      <c r="K692">
        <v>2400</v>
      </c>
      <c r="L692">
        <v>0</v>
      </c>
      <c r="M692">
        <v>0</v>
      </c>
      <c r="N692">
        <v>2400</v>
      </c>
    </row>
    <row r="693" spans="1:14" x14ac:dyDescent="0.25">
      <c r="A693">
        <v>167.54792</v>
      </c>
      <c r="B693" s="1">
        <f>DATE(2010,10,15) + TIME(13,9,0)</f>
        <v>40466.54791666667</v>
      </c>
      <c r="C693">
        <v>1339.2742920000001</v>
      </c>
      <c r="D693">
        <v>1337.0810547000001</v>
      </c>
      <c r="E693">
        <v>1322.8280029</v>
      </c>
      <c r="F693">
        <v>1319.4572754000001</v>
      </c>
      <c r="G693">
        <v>80</v>
      </c>
      <c r="H693">
        <v>79.950622558999996</v>
      </c>
      <c r="I693">
        <v>50</v>
      </c>
      <c r="J693">
        <v>45.509891510000003</v>
      </c>
      <c r="K693">
        <v>2400</v>
      </c>
      <c r="L693">
        <v>0</v>
      </c>
      <c r="M693">
        <v>0</v>
      </c>
      <c r="N693">
        <v>2400</v>
      </c>
    </row>
    <row r="694" spans="1:14" x14ac:dyDescent="0.25">
      <c r="A694">
        <v>168.61326800000001</v>
      </c>
      <c r="B694" s="1">
        <f>DATE(2010,10,16) + TIME(14,43,6)</f>
        <v>40467.613263888888</v>
      </c>
      <c r="C694">
        <v>1339.2706298999999</v>
      </c>
      <c r="D694">
        <v>1337.0783690999999</v>
      </c>
      <c r="E694">
        <v>1322.8428954999999</v>
      </c>
      <c r="F694">
        <v>1319.4799805</v>
      </c>
      <c r="G694">
        <v>80</v>
      </c>
      <c r="H694">
        <v>79.950675963999998</v>
      </c>
      <c r="I694">
        <v>50</v>
      </c>
      <c r="J694">
        <v>45.770370483000001</v>
      </c>
      <c r="K694">
        <v>2400</v>
      </c>
      <c r="L694">
        <v>0</v>
      </c>
      <c r="M694">
        <v>0</v>
      </c>
      <c r="N694">
        <v>2400</v>
      </c>
    </row>
    <row r="695" spans="1:14" x14ac:dyDescent="0.25">
      <c r="A695">
        <v>169.68816000000001</v>
      </c>
      <c r="B695" s="1">
        <f>DATE(2010,10,17) + TIME(16,30,57)</f>
        <v>40468.688159722224</v>
      </c>
      <c r="C695">
        <v>1339.2669678</v>
      </c>
      <c r="D695">
        <v>1337.0755615</v>
      </c>
      <c r="E695">
        <v>1322.8579102000001</v>
      </c>
      <c r="F695">
        <v>1319.5026855000001</v>
      </c>
      <c r="G695">
        <v>80</v>
      </c>
      <c r="H695">
        <v>79.950737000000004</v>
      </c>
      <c r="I695">
        <v>50</v>
      </c>
      <c r="J695">
        <v>46.028045654000003</v>
      </c>
      <c r="K695">
        <v>2400</v>
      </c>
      <c r="L695">
        <v>0</v>
      </c>
      <c r="M695">
        <v>0</v>
      </c>
      <c r="N695">
        <v>2400</v>
      </c>
    </row>
    <row r="696" spans="1:14" x14ac:dyDescent="0.25">
      <c r="A696">
        <v>170.23183900000001</v>
      </c>
      <c r="B696" s="1">
        <f>DATE(2010,10,18) + TIME(5,33,50)</f>
        <v>40469.231828703705</v>
      </c>
      <c r="C696">
        <v>1339.2633057</v>
      </c>
      <c r="D696">
        <v>1337.072876</v>
      </c>
      <c r="E696">
        <v>1322.8742675999999</v>
      </c>
      <c r="F696">
        <v>1319.5236815999999</v>
      </c>
      <c r="G696">
        <v>80</v>
      </c>
      <c r="H696">
        <v>79.950759887999993</v>
      </c>
      <c r="I696">
        <v>50</v>
      </c>
      <c r="J696">
        <v>46.221248627000001</v>
      </c>
      <c r="K696">
        <v>2400</v>
      </c>
      <c r="L696">
        <v>0</v>
      </c>
      <c r="M696">
        <v>0</v>
      </c>
      <c r="N696">
        <v>2400</v>
      </c>
    </row>
    <row r="697" spans="1:14" x14ac:dyDescent="0.25">
      <c r="A697">
        <v>170.77324400000001</v>
      </c>
      <c r="B697" s="1">
        <f>DATE(2010,10,18) + TIME(18,33,28)</f>
        <v>40469.773240740738</v>
      </c>
      <c r="C697">
        <v>1339.2614745999999</v>
      </c>
      <c r="D697">
        <v>1337.0715332</v>
      </c>
      <c r="E697">
        <v>1322.8819579999999</v>
      </c>
      <c r="F697">
        <v>1319.5374756000001</v>
      </c>
      <c r="G697">
        <v>80</v>
      </c>
      <c r="H697">
        <v>79.950782775999997</v>
      </c>
      <c r="I697">
        <v>50</v>
      </c>
      <c r="J697">
        <v>46.379051208</v>
      </c>
      <c r="K697">
        <v>2400</v>
      </c>
      <c r="L697">
        <v>0</v>
      </c>
      <c r="M697">
        <v>0</v>
      </c>
      <c r="N697">
        <v>2400</v>
      </c>
    </row>
    <row r="698" spans="1:14" x14ac:dyDescent="0.25">
      <c r="A698">
        <v>171.31387699999999</v>
      </c>
      <c r="B698" s="1">
        <f>DATE(2010,10,19) + TIME(7,31,59)</f>
        <v>40470.313877314817</v>
      </c>
      <c r="C698">
        <v>1339.2596435999999</v>
      </c>
      <c r="D698">
        <v>1337.0701904</v>
      </c>
      <c r="E698">
        <v>1322.8896483999999</v>
      </c>
      <c r="F698">
        <v>1319.5500488</v>
      </c>
      <c r="G698">
        <v>80</v>
      </c>
      <c r="H698">
        <v>79.950805664000001</v>
      </c>
      <c r="I698">
        <v>50</v>
      </c>
      <c r="J698">
        <v>46.519050598</v>
      </c>
      <c r="K698">
        <v>2400</v>
      </c>
      <c r="L698">
        <v>0</v>
      </c>
      <c r="M698">
        <v>0</v>
      </c>
      <c r="N698">
        <v>2400</v>
      </c>
    </row>
    <row r="699" spans="1:14" x14ac:dyDescent="0.25">
      <c r="A699">
        <v>171.85423599999999</v>
      </c>
      <c r="B699" s="1">
        <f>DATE(2010,10,19) + TIME(20,30,5)</f>
        <v>40470.854224537034</v>
      </c>
      <c r="C699">
        <v>1339.2579346</v>
      </c>
      <c r="D699">
        <v>1337.0688477000001</v>
      </c>
      <c r="E699">
        <v>1322.8972168</v>
      </c>
      <c r="F699">
        <v>1319.5618896000001</v>
      </c>
      <c r="G699">
        <v>80</v>
      </c>
      <c r="H699">
        <v>79.950836182000003</v>
      </c>
      <c r="I699">
        <v>50</v>
      </c>
      <c r="J699">
        <v>46.649711609000001</v>
      </c>
      <c r="K699">
        <v>2400</v>
      </c>
      <c r="L699">
        <v>0</v>
      </c>
      <c r="M699">
        <v>0</v>
      </c>
      <c r="N699">
        <v>2400</v>
      </c>
    </row>
    <row r="700" spans="1:14" x14ac:dyDescent="0.25">
      <c r="A700">
        <v>172.39459400000001</v>
      </c>
      <c r="B700" s="1">
        <f>DATE(2010,10,20) + TIME(9,28,12)</f>
        <v>40471.394583333335</v>
      </c>
      <c r="C700">
        <v>1339.2561035000001</v>
      </c>
      <c r="D700">
        <v>1337.0675048999999</v>
      </c>
      <c r="E700">
        <v>1322.9046631000001</v>
      </c>
      <c r="F700">
        <v>1319.5734863</v>
      </c>
      <c r="G700">
        <v>80</v>
      </c>
      <c r="H700">
        <v>79.950866699000002</v>
      </c>
      <c r="I700">
        <v>50</v>
      </c>
      <c r="J700">
        <v>46.775161742999998</v>
      </c>
      <c r="K700">
        <v>2400</v>
      </c>
      <c r="L700">
        <v>0</v>
      </c>
      <c r="M700">
        <v>0</v>
      </c>
      <c r="N700">
        <v>2400</v>
      </c>
    </row>
    <row r="701" spans="1:14" x14ac:dyDescent="0.25">
      <c r="A701">
        <v>172.93495200000001</v>
      </c>
      <c r="B701" s="1">
        <f>DATE(2010,10,20) + TIME(22,26,19)</f>
        <v>40471.934942129628</v>
      </c>
      <c r="C701">
        <v>1339.2543945</v>
      </c>
      <c r="D701">
        <v>1337.0662841999999</v>
      </c>
      <c r="E701">
        <v>1322.9122314000001</v>
      </c>
      <c r="F701">
        <v>1319.5848389</v>
      </c>
      <c r="G701">
        <v>80</v>
      </c>
      <c r="H701">
        <v>79.950889587000006</v>
      </c>
      <c r="I701">
        <v>50</v>
      </c>
      <c r="J701">
        <v>46.897415160999998</v>
      </c>
      <c r="K701">
        <v>2400</v>
      </c>
      <c r="L701">
        <v>0</v>
      </c>
      <c r="M701">
        <v>0</v>
      </c>
      <c r="N701">
        <v>2400</v>
      </c>
    </row>
    <row r="702" spans="1:14" x14ac:dyDescent="0.25">
      <c r="A702">
        <v>174.015669</v>
      </c>
      <c r="B702" s="1">
        <f>DATE(2010,10,22) + TIME(0,22,33)</f>
        <v>40473.015659722223</v>
      </c>
      <c r="C702">
        <v>1339.2525635</v>
      </c>
      <c r="D702">
        <v>1337.0649414</v>
      </c>
      <c r="E702">
        <v>1322.9189452999999</v>
      </c>
      <c r="F702">
        <v>1319.597168</v>
      </c>
      <c r="G702">
        <v>80</v>
      </c>
      <c r="H702">
        <v>79.950958252000007</v>
      </c>
      <c r="I702">
        <v>50</v>
      </c>
      <c r="J702">
        <v>47.055831908999998</v>
      </c>
      <c r="K702">
        <v>2400</v>
      </c>
      <c r="L702">
        <v>0</v>
      </c>
      <c r="M702">
        <v>0</v>
      </c>
      <c r="N702">
        <v>2400</v>
      </c>
    </row>
    <row r="703" spans="1:14" x14ac:dyDescent="0.25">
      <c r="A703">
        <v>175.097092</v>
      </c>
      <c r="B703" s="1">
        <f>DATE(2010,10,23) + TIME(2,19,48)</f>
        <v>40474.097083333334</v>
      </c>
      <c r="C703">
        <v>1339.2491454999999</v>
      </c>
      <c r="D703">
        <v>1337.0623779</v>
      </c>
      <c r="E703">
        <v>1322.9331055</v>
      </c>
      <c r="F703">
        <v>1319.6165771000001</v>
      </c>
      <c r="G703">
        <v>80</v>
      </c>
      <c r="H703">
        <v>79.951011657999999</v>
      </c>
      <c r="I703">
        <v>50</v>
      </c>
      <c r="J703">
        <v>47.264896393000001</v>
      </c>
      <c r="K703">
        <v>2400</v>
      </c>
      <c r="L703">
        <v>0</v>
      </c>
      <c r="M703">
        <v>0</v>
      </c>
      <c r="N703">
        <v>2400</v>
      </c>
    </row>
    <row r="704" spans="1:14" x14ac:dyDescent="0.25">
      <c r="A704">
        <v>176.189773</v>
      </c>
      <c r="B704" s="1">
        <f>DATE(2010,10,24) + TIME(4,33,16)</f>
        <v>40475.189768518518</v>
      </c>
      <c r="C704">
        <v>1339.2457274999999</v>
      </c>
      <c r="D704">
        <v>1337.0598144999999</v>
      </c>
      <c r="E704">
        <v>1322.9473877</v>
      </c>
      <c r="F704">
        <v>1319.6374512</v>
      </c>
      <c r="G704">
        <v>80</v>
      </c>
      <c r="H704">
        <v>79.951072693</v>
      </c>
      <c r="I704">
        <v>50</v>
      </c>
      <c r="J704">
        <v>47.487506865999997</v>
      </c>
      <c r="K704">
        <v>2400</v>
      </c>
      <c r="L704">
        <v>0</v>
      </c>
      <c r="M704">
        <v>0</v>
      </c>
      <c r="N704">
        <v>2400</v>
      </c>
    </row>
    <row r="705" spans="1:14" x14ac:dyDescent="0.25">
      <c r="A705">
        <v>177.296649</v>
      </c>
      <c r="B705" s="1">
        <f>DATE(2010,10,25) + TIME(7,7,10)</f>
        <v>40476.296643518515</v>
      </c>
      <c r="C705">
        <v>1339.2421875</v>
      </c>
      <c r="D705">
        <v>1337.057251</v>
      </c>
      <c r="E705">
        <v>1322.9620361</v>
      </c>
      <c r="F705">
        <v>1319.6588135</v>
      </c>
      <c r="G705">
        <v>80</v>
      </c>
      <c r="H705">
        <v>79.951133728000002</v>
      </c>
      <c r="I705">
        <v>50</v>
      </c>
      <c r="J705">
        <v>47.712978362999998</v>
      </c>
      <c r="K705">
        <v>2400</v>
      </c>
      <c r="L705">
        <v>0</v>
      </c>
      <c r="M705">
        <v>0</v>
      </c>
      <c r="N705">
        <v>2400</v>
      </c>
    </row>
    <row r="706" spans="1:14" x14ac:dyDescent="0.25">
      <c r="A706">
        <v>178.41452899999999</v>
      </c>
      <c r="B706" s="1">
        <f>DATE(2010,10,26) + TIME(9,56,55)</f>
        <v>40477.414525462962</v>
      </c>
      <c r="C706">
        <v>1339.2387695</v>
      </c>
      <c r="D706">
        <v>1337.0546875</v>
      </c>
      <c r="E706">
        <v>1322.9766846</v>
      </c>
      <c r="F706">
        <v>1319.6806641000001</v>
      </c>
      <c r="G706">
        <v>80</v>
      </c>
      <c r="H706">
        <v>79.951187133999994</v>
      </c>
      <c r="I706">
        <v>50</v>
      </c>
      <c r="J706">
        <v>47.937870025999999</v>
      </c>
      <c r="K706">
        <v>2400</v>
      </c>
      <c r="L706">
        <v>0</v>
      </c>
      <c r="M706">
        <v>0</v>
      </c>
      <c r="N706">
        <v>2400</v>
      </c>
    </row>
    <row r="707" spans="1:14" x14ac:dyDescent="0.25">
      <c r="A707">
        <v>179.54490799999999</v>
      </c>
      <c r="B707" s="1">
        <f>DATE(2010,10,27) + TIME(13,4,40)</f>
        <v>40478.544907407406</v>
      </c>
      <c r="C707">
        <v>1339.2353516000001</v>
      </c>
      <c r="D707">
        <v>1337.0522461</v>
      </c>
      <c r="E707">
        <v>1322.9915771000001</v>
      </c>
      <c r="F707">
        <v>1319.7025146000001</v>
      </c>
      <c r="G707">
        <v>80</v>
      </c>
      <c r="H707">
        <v>79.951248168999996</v>
      </c>
      <c r="I707">
        <v>50</v>
      </c>
      <c r="J707">
        <v>48.160858154000003</v>
      </c>
      <c r="K707">
        <v>2400</v>
      </c>
      <c r="L707">
        <v>0</v>
      </c>
      <c r="M707">
        <v>0</v>
      </c>
      <c r="N707">
        <v>2400</v>
      </c>
    </row>
    <row r="708" spans="1:14" x14ac:dyDescent="0.25">
      <c r="A708">
        <v>180.68563700000001</v>
      </c>
      <c r="B708" s="1">
        <f>DATE(2010,10,28) + TIME(16,27,19)</f>
        <v>40479.685636574075</v>
      </c>
      <c r="C708">
        <v>1339.2319336</v>
      </c>
      <c r="D708">
        <v>1337.0496826000001</v>
      </c>
      <c r="E708">
        <v>1323.0064697</v>
      </c>
      <c r="F708">
        <v>1319.7243652</v>
      </c>
      <c r="G708">
        <v>80</v>
      </c>
      <c r="H708">
        <v>79.951309203999998</v>
      </c>
      <c r="I708">
        <v>50</v>
      </c>
      <c r="J708">
        <v>48.381515503000003</v>
      </c>
      <c r="K708">
        <v>2400</v>
      </c>
      <c r="L708">
        <v>0</v>
      </c>
      <c r="M708">
        <v>0</v>
      </c>
      <c r="N708">
        <v>2400</v>
      </c>
    </row>
    <row r="709" spans="1:14" x14ac:dyDescent="0.25">
      <c r="A709">
        <v>181.84079199999999</v>
      </c>
      <c r="B709" s="1">
        <f>DATE(2010,10,29) + TIME(20,10,44)</f>
        <v>40480.840787037036</v>
      </c>
      <c r="C709">
        <v>1339.2285156</v>
      </c>
      <c r="D709">
        <v>1337.0472411999999</v>
      </c>
      <c r="E709">
        <v>1323.0213623</v>
      </c>
      <c r="F709">
        <v>1319.7463379000001</v>
      </c>
      <c r="G709">
        <v>80</v>
      </c>
      <c r="H709">
        <v>79.951362610000004</v>
      </c>
      <c r="I709">
        <v>50</v>
      </c>
      <c r="J709">
        <v>48.599956511999999</v>
      </c>
      <c r="K709">
        <v>2400</v>
      </c>
      <c r="L709">
        <v>0</v>
      </c>
      <c r="M709">
        <v>0</v>
      </c>
      <c r="N709">
        <v>2400</v>
      </c>
    </row>
    <row r="710" spans="1:14" x14ac:dyDescent="0.25">
      <c r="A710">
        <v>183.009693</v>
      </c>
      <c r="B710" s="1">
        <f>DATE(2010,10,31) + TIME(0,13,57)</f>
        <v>40482.009687500002</v>
      </c>
      <c r="C710">
        <v>1339.2250977000001</v>
      </c>
      <c r="D710">
        <v>1337.0446777</v>
      </c>
      <c r="E710">
        <v>1323.0363769999999</v>
      </c>
      <c r="F710">
        <v>1319.7683105000001</v>
      </c>
      <c r="G710">
        <v>80</v>
      </c>
      <c r="H710">
        <v>79.951423645000006</v>
      </c>
      <c r="I710">
        <v>50</v>
      </c>
      <c r="J710">
        <v>48.816528320000003</v>
      </c>
      <c r="K710">
        <v>2400</v>
      </c>
      <c r="L710">
        <v>0</v>
      </c>
      <c r="M710">
        <v>0</v>
      </c>
      <c r="N710">
        <v>2400</v>
      </c>
    </row>
    <row r="711" spans="1:14" x14ac:dyDescent="0.25">
      <c r="A711">
        <v>184</v>
      </c>
      <c r="B711" s="1">
        <f>DATE(2010,11,1) + TIME(0,0,0)</f>
        <v>40483</v>
      </c>
      <c r="C711">
        <v>1339.2216797000001</v>
      </c>
      <c r="D711">
        <v>1337.0422363</v>
      </c>
      <c r="E711">
        <v>1323.0515137</v>
      </c>
      <c r="F711">
        <v>1319.7900391000001</v>
      </c>
      <c r="G711">
        <v>80</v>
      </c>
      <c r="H711">
        <v>79.951477050999998</v>
      </c>
      <c r="I711">
        <v>50</v>
      </c>
      <c r="J711">
        <v>49.019565581999998</v>
      </c>
      <c r="K711">
        <v>2400</v>
      </c>
      <c r="L711">
        <v>0</v>
      </c>
      <c r="M711">
        <v>0</v>
      </c>
      <c r="N711">
        <v>2400</v>
      </c>
    </row>
    <row r="712" spans="1:14" x14ac:dyDescent="0.25">
      <c r="A712">
        <v>184.000001</v>
      </c>
      <c r="B712" s="1">
        <f>DATE(2010,11,1) + TIME(0,0,0)</f>
        <v>40483</v>
      </c>
      <c r="C712">
        <v>1336.3972168</v>
      </c>
      <c r="D712">
        <v>1335.7944336</v>
      </c>
      <c r="E712">
        <v>1327.2192382999999</v>
      </c>
      <c r="F712">
        <v>1324.1483154</v>
      </c>
      <c r="G712">
        <v>80</v>
      </c>
      <c r="H712">
        <v>79.951385497999993</v>
      </c>
      <c r="I712">
        <v>50</v>
      </c>
      <c r="J712">
        <v>49.019710541000002</v>
      </c>
      <c r="K712">
        <v>0</v>
      </c>
      <c r="L712">
        <v>2400</v>
      </c>
      <c r="M712">
        <v>2400</v>
      </c>
      <c r="N712">
        <v>0</v>
      </c>
    </row>
    <row r="713" spans="1:14" x14ac:dyDescent="0.25">
      <c r="A713">
        <v>184.00000399999999</v>
      </c>
      <c r="B713" s="1">
        <f>DATE(2010,11,1) + TIME(0,0,0)</f>
        <v>40483</v>
      </c>
      <c r="C713">
        <v>1335.536499</v>
      </c>
      <c r="D713">
        <v>1334.9261475000001</v>
      </c>
      <c r="E713">
        <v>1328.6258545000001</v>
      </c>
      <c r="F713">
        <v>1325.7935791</v>
      </c>
      <c r="G713">
        <v>80</v>
      </c>
      <c r="H713">
        <v>79.951263428000004</v>
      </c>
      <c r="I713">
        <v>50</v>
      </c>
      <c r="J713">
        <v>49.019920349000003</v>
      </c>
      <c r="K713">
        <v>0</v>
      </c>
      <c r="L713">
        <v>2400</v>
      </c>
      <c r="M713">
        <v>2400</v>
      </c>
      <c r="N713">
        <v>0</v>
      </c>
    </row>
    <row r="714" spans="1:14" x14ac:dyDescent="0.25">
      <c r="A714">
        <v>184.000013</v>
      </c>
      <c r="B714" s="1">
        <f>DATE(2010,11,1) + TIME(0,0,1)</f>
        <v>40483.000011574077</v>
      </c>
      <c r="C714">
        <v>1334.6411132999999</v>
      </c>
      <c r="D714">
        <v>1333.9964600000001</v>
      </c>
      <c r="E714">
        <v>1330.5013428</v>
      </c>
      <c r="F714">
        <v>1327.682251</v>
      </c>
      <c r="G714">
        <v>80</v>
      </c>
      <c r="H714">
        <v>79.951133728000002</v>
      </c>
      <c r="I714">
        <v>50</v>
      </c>
      <c r="J714">
        <v>49.020172119000001</v>
      </c>
      <c r="K714">
        <v>0</v>
      </c>
      <c r="L714">
        <v>2400</v>
      </c>
      <c r="M714">
        <v>2400</v>
      </c>
      <c r="N714">
        <v>0</v>
      </c>
    </row>
    <row r="715" spans="1:14" x14ac:dyDescent="0.25">
      <c r="A715">
        <v>184.00004000000001</v>
      </c>
      <c r="B715" s="1">
        <f>DATE(2010,11,1) + TIME(0,0,3)</f>
        <v>40483.000034722223</v>
      </c>
      <c r="C715">
        <v>1333.7521973</v>
      </c>
      <c r="D715">
        <v>1333.0605469</v>
      </c>
      <c r="E715">
        <v>1332.4997559000001</v>
      </c>
      <c r="F715">
        <v>1329.6331786999999</v>
      </c>
      <c r="G715">
        <v>80</v>
      </c>
      <c r="H715">
        <v>79.951004028</v>
      </c>
      <c r="I715">
        <v>50</v>
      </c>
      <c r="J715">
        <v>49.020458220999998</v>
      </c>
      <c r="K715">
        <v>0</v>
      </c>
      <c r="L715">
        <v>2400</v>
      </c>
      <c r="M715">
        <v>2400</v>
      </c>
      <c r="N715">
        <v>0</v>
      </c>
    </row>
    <row r="716" spans="1:14" x14ac:dyDescent="0.25">
      <c r="A716">
        <v>184.00012100000001</v>
      </c>
      <c r="B716" s="1">
        <f>DATE(2010,11,1) + TIME(0,0,10)</f>
        <v>40483.000115740739</v>
      </c>
      <c r="C716">
        <v>1332.8231201000001</v>
      </c>
      <c r="D716">
        <v>1332.0717772999999</v>
      </c>
      <c r="E716">
        <v>1334.4842529</v>
      </c>
      <c r="F716">
        <v>1331.5749512</v>
      </c>
      <c r="G716">
        <v>80</v>
      </c>
      <c r="H716">
        <v>79.950851439999994</v>
      </c>
      <c r="I716">
        <v>50</v>
      </c>
      <c r="J716">
        <v>49.020835876</v>
      </c>
      <c r="K716">
        <v>0</v>
      </c>
      <c r="L716">
        <v>2400</v>
      </c>
      <c r="M716">
        <v>2400</v>
      </c>
      <c r="N716">
        <v>0</v>
      </c>
    </row>
    <row r="717" spans="1:14" x14ac:dyDescent="0.25">
      <c r="A717">
        <v>184.00036399999999</v>
      </c>
      <c r="B717" s="1">
        <f>DATE(2010,11,1) + TIME(0,0,31)</f>
        <v>40483.000358796293</v>
      </c>
      <c r="C717">
        <v>1331.8139647999999</v>
      </c>
      <c r="D717">
        <v>1330.9967041</v>
      </c>
      <c r="E717">
        <v>1336.4251709</v>
      </c>
      <c r="F717">
        <v>1333.4587402</v>
      </c>
      <c r="G717">
        <v>80</v>
      </c>
      <c r="H717">
        <v>79.950660705999994</v>
      </c>
      <c r="I717">
        <v>50</v>
      </c>
      <c r="J717">
        <v>49.021476745999998</v>
      </c>
      <c r="K717">
        <v>0</v>
      </c>
      <c r="L717">
        <v>2400</v>
      </c>
      <c r="M717">
        <v>2400</v>
      </c>
      <c r="N717">
        <v>0</v>
      </c>
    </row>
    <row r="718" spans="1:14" x14ac:dyDescent="0.25">
      <c r="A718">
        <v>184.001093</v>
      </c>
      <c r="B718" s="1">
        <f>DATE(2010,11,1) + TIME(0,1,34)</f>
        <v>40483.001087962963</v>
      </c>
      <c r="C718">
        <v>1330.7960204999999</v>
      </c>
      <c r="D718">
        <v>1329.9208983999999</v>
      </c>
      <c r="E718">
        <v>1338.1741943</v>
      </c>
      <c r="F718">
        <v>1335.1335449000001</v>
      </c>
      <c r="G718">
        <v>80</v>
      </c>
      <c r="H718">
        <v>79.950355529999996</v>
      </c>
      <c r="I718">
        <v>50</v>
      </c>
      <c r="J718">
        <v>49.022933960000003</v>
      </c>
      <c r="K718">
        <v>0</v>
      </c>
      <c r="L718">
        <v>2400</v>
      </c>
      <c r="M718">
        <v>2400</v>
      </c>
      <c r="N718">
        <v>0</v>
      </c>
    </row>
    <row r="719" spans="1:14" x14ac:dyDescent="0.25">
      <c r="A719">
        <v>184.00327999999999</v>
      </c>
      <c r="B719" s="1">
        <f>DATE(2010,11,1) + TIME(0,4,43)</f>
        <v>40483.003275462965</v>
      </c>
      <c r="C719">
        <v>1329.9958495999999</v>
      </c>
      <c r="D719">
        <v>1329.0870361</v>
      </c>
      <c r="E719">
        <v>1339.4045410000001</v>
      </c>
      <c r="F719">
        <v>1336.3020019999999</v>
      </c>
      <c r="G719">
        <v>80</v>
      </c>
      <c r="H719">
        <v>79.949745178000001</v>
      </c>
      <c r="I719">
        <v>50</v>
      </c>
      <c r="J719">
        <v>49.026885986000003</v>
      </c>
      <c r="K719">
        <v>0</v>
      </c>
      <c r="L719">
        <v>2400</v>
      </c>
      <c r="M719">
        <v>2400</v>
      </c>
      <c r="N719">
        <v>0</v>
      </c>
    </row>
    <row r="720" spans="1:14" x14ac:dyDescent="0.25">
      <c r="A720">
        <v>184.00984099999999</v>
      </c>
      <c r="B720" s="1">
        <f>DATE(2010,11,1) + TIME(0,14,10)</f>
        <v>40483.009837962964</v>
      </c>
      <c r="C720">
        <v>1329.6083983999999</v>
      </c>
      <c r="D720">
        <v>1328.6878661999999</v>
      </c>
      <c r="E720">
        <v>1339.9143065999999</v>
      </c>
      <c r="F720">
        <v>1336.7912598</v>
      </c>
      <c r="G720">
        <v>80</v>
      </c>
      <c r="H720">
        <v>79.948204040999997</v>
      </c>
      <c r="I720">
        <v>50</v>
      </c>
      <c r="J720">
        <v>49.038299561000002</v>
      </c>
      <c r="K720">
        <v>0</v>
      </c>
      <c r="L720">
        <v>2400</v>
      </c>
      <c r="M720">
        <v>2400</v>
      </c>
      <c r="N720">
        <v>0</v>
      </c>
    </row>
    <row r="721" spans="1:14" x14ac:dyDescent="0.25">
      <c r="A721">
        <v>184.02952400000001</v>
      </c>
      <c r="B721" s="1">
        <f>DATE(2010,11,1) + TIME(0,42,30)</f>
        <v>40483.029513888891</v>
      </c>
      <c r="C721">
        <v>1329.5183105000001</v>
      </c>
      <c r="D721">
        <v>1328.5944824000001</v>
      </c>
      <c r="E721">
        <v>1339.9556885</v>
      </c>
      <c r="F721">
        <v>1336.8530272999999</v>
      </c>
      <c r="G721">
        <v>80</v>
      </c>
      <c r="H721">
        <v>79.943778992000006</v>
      </c>
      <c r="I721">
        <v>50</v>
      </c>
      <c r="J721">
        <v>49.070945739999999</v>
      </c>
      <c r="K721">
        <v>0</v>
      </c>
      <c r="L721">
        <v>2400</v>
      </c>
      <c r="M721">
        <v>2400</v>
      </c>
      <c r="N721">
        <v>0</v>
      </c>
    </row>
    <row r="722" spans="1:14" x14ac:dyDescent="0.25">
      <c r="A722">
        <v>184.059403</v>
      </c>
      <c r="B722" s="1">
        <f>DATE(2010,11,1) + TIME(1,25,32)</f>
        <v>40483.059398148151</v>
      </c>
      <c r="C722">
        <v>1329.5062256000001</v>
      </c>
      <c r="D722">
        <v>1328.5802002</v>
      </c>
      <c r="E722">
        <v>1339.8885498</v>
      </c>
      <c r="F722">
        <v>1336.8183594</v>
      </c>
      <c r="G722">
        <v>80</v>
      </c>
      <c r="H722">
        <v>79.937164307000003</v>
      </c>
      <c r="I722">
        <v>50</v>
      </c>
      <c r="J722">
        <v>49.117393493999998</v>
      </c>
      <c r="K722">
        <v>0</v>
      </c>
      <c r="L722">
        <v>2400</v>
      </c>
      <c r="M722">
        <v>2400</v>
      </c>
      <c r="N722">
        <v>0</v>
      </c>
    </row>
    <row r="723" spans="1:14" x14ac:dyDescent="0.25">
      <c r="A723">
        <v>184.09008900000001</v>
      </c>
      <c r="B723" s="1">
        <f>DATE(2010,11,1) + TIME(2,9,43)</f>
        <v>40483.090081018519</v>
      </c>
      <c r="C723">
        <v>1329.5003661999999</v>
      </c>
      <c r="D723">
        <v>1328.5717772999999</v>
      </c>
      <c r="E723">
        <v>1339.8300781</v>
      </c>
      <c r="F723">
        <v>1336.786499</v>
      </c>
      <c r="G723">
        <v>80</v>
      </c>
      <c r="H723">
        <v>79.930412292</v>
      </c>
      <c r="I723">
        <v>50</v>
      </c>
      <c r="J723">
        <v>49.162155151</v>
      </c>
      <c r="K723">
        <v>0</v>
      </c>
      <c r="L723">
        <v>2400</v>
      </c>
      <c r="M723">
        <v>2400</v>
      </c>
      <c r="N723">
        <v>0</v>
      </c>
    </row>
    <row r="724" spans="1:14" x14ac:dyDescent="0.25">
      <c r="A724">
        <v>184.12161699999999</v>
      </c>
      <c r="B724" s="1">
        <f>DATE(2010,11,1) + TIME(2,55,7)</f>
        <v>40483.121608796297</v>
      </c>
      <c r="C724">
        <v>1329.4951172000001</v>
      </c>
      <c r="D724">
        <v>1328.5637207</v>
      </c>
      <c r="E724">
        <v>1339.7757568</v>
      </c>
      <c r="F724">
        <v>1336.7570800999999</v>
      </c>
      <c r="G724">
        <v>80</v>
      </c>
      <c r="H724">
        <v>79.923522949000002</v>
      </c>
      <c r="I724">
        <v>50</v>
      </c>
      <c r="J724">
        <v>49.205287933000001</v>
      </c>
      <c r="K724">
        <v>0</v>
      </c>
      <c r="L724">
        <v>2400</v>
      </c>
      <c r="M724">
        <v>2400</v>
      </c>
      <c r="N724">
        <v>0</v>
      </c>
    </row>
    <row r="725" spans="1:14" x14ac:dyDescent="0.25">
      <c r="A725">
        <v>184.15401199999999</v>
      </c>
      <c r="B725" s="1">
        <f>DATE(2010,11,1) + TIME(3,41,46)</f>
        <v>40483.154004629629</v>
      </c>
      <c r="C725">
        <v>1329.4898682</v>
      </c>
      <c r="D725">
        <v>1328.5557861</v>
      </c>
      <c r="E725">
        <v>1339.7258300999999</v>
      </c>
      <c r="F725">
        <v>1336.7302245999999</v>
      </c>
      <c r="G725">
        <v>80</v>
      </c>
      <c r="H725">
        <v>79.916488646999994</v>
      </c>
      <c r="I725">
        <v>50</v>
      </c>
      <c r="J725">
        <v>49.246829986999998</v>
      </c>
      <c r="K725">
        <v>0</v>
      </c>
      <c r="L725">
        <v>2400</v>
      </c>
      <c r="M725">
        <v>2400</v>
      </c>
      <c r="N725">
        <v>0</v>
      </c>
    </row>
    <row r="726" spans="1:14" x14ac:dyDescent="0.25">
      <c r="A726">
        <v>184.18731199999999</v>
      </c>
      <c r="B726" s="1">
        <f>DATE(2010,11,1) + TIME(4,29,43)</f>
        <v>40483.187303240738</v>
      </c>
      <c r="C726">
        <v>1329.4844971</v>
      </c>
      <c r="D726">
        <v>1328.5477295000001</v>
      </c>
      <c r="E726">
        <v>1339.6798096</v>
      </c>
      <c r="F726">
        <v>1336.7055664</v>
      </c>
      <c r="G726">
        <v>80</v>
      </c>
      <c r="H726">
        <v>79.909301757999998</v>
      </c>
      <c r="I726">
        <v>50</v>
      </c>
      <c r="J726">
        <v>49.286663054999998</v>
      </c>
      <c r="K726">
        <v>0</v>
      </c>
      <c r="L726">
        <v>2400</v>
      </c>
      <c r="M726">
        <v>2400</v>
      </c>
      <c r="N726">
        <v>0</v>
      </c>
    </row>
    <row r="727" spans="1:14" x14ac:dyDescent="0.25">
      <c r="A727">
        <v>184.22154499999999</v>
      </c>
      <c r="B727" s="1">
        <f>DATE(2010,11,1) + TIME(5,19,1)</f>
        <v>40483.221539351849</v>
      </c>
      <c r="C727">
        <v>1329.479126</v>
      </c>
      <c r="D727">
        <v>1328.5396728999999</v>
      </c>
      <c r="E727">
        <v>1339.6379394999999</v>
      </c>
      <c r="F727">
        <v>1336.6832274999999</v>
      </c>
      <c r="G727">
        <v>80</v>
      </c>
      <c r="H727">
        <v>79.901962280000006</v>
      </c>
      <c r="I727">
        <v>50</v>
      </c>
      <c r="J727">
        <v>49.324764252000001</v>
      </c>
      <c r="K727">
        <v>0</v>
      </c>
      <c r="L727">
        <v>2400</v>
      </c>
      <c r="M727">
        <v>2400</v>
      </c>
      <c r="N727">
        <v>0</v>
      </c>
    </row>
    <row r="728" spans="1:14" x14ac:dyDescent="0.25">
      <c r="A728">
        <v>184.25677899999999</v>
      </c>
      <c r="B728" s="1">
        <f>DATE(2010,11,1) + TIME(6,9,45)</f>
        <v>40483.25677083333</v>
      </c>
      <c r="C728">
        <v>1329.4737548999999</v>
      </c>
      <c r="D728">
        <v>1328.5314940999999</v>
      </c>
      <c r="E728">
        <v>1339.5997314000001</v>
      </c>
      <c r="F728">
        <v>1336.6632079999999</v>
      </c>
      <c r="G728">
        <v>80</v>
      </c>
      <c r="H728">
        <v>79.894462584999999</v>
      </c>
      <c r="I728">
        <v>50</v>
      </c>
      <c r="J728">
        <v>49.361232758</v>
      </c>
      <c r="K728">
        <v>0</v>
      </c>
      <c r="L728">
        <v>2400</v>
      </c>
      <c r="M728">
        <v>2400</v>
      </c>
      <c r="N728">
        <v>0</v>
      </c>
    </row>
    <row r="729" spans="1:14" x14ac:dyDescent="0.25">
      <c r="A729">
        <v>184.29308800000001</v>
      </c>
      <c r="B729" s="1">
        <f>DATE(2010,11,1) + TIME(7,2,2)</f>
        <v>40483.293078703704</v>
      </c>
      <c r="C729">
        <v>1329.4683838000001</v>
      </c>
      <c r="D729">
        <v>1328.5233154</v>
      </c>
      <c r="E729">
        <v>1339.5653076000001</v>
      </c>
      <c r="F729">
        <v>1336.6452637</v>
      </c>
      <c r="G729">
        <v>80</v>
      </c>
      <c r="H729">
        <v>79.886787415000001</v>
      </c>
      <c r="I729">
        <v>50</v>
      </c>
      <c r="J729">
        <v>49.396156310999999</v>
      </c>
      <c r="K729">
        <v>0</v>
      </c>
      <c r="L729">
        <v>2400</v>
      </c>
      <c r="M729">
        <v>2400</v>
      </c>
      <c r="N729">
        <v>0</v>
      </c>
    </row>
    <row r="730" spans="1:14" x14ac:dyDescent="0.25">
      <c r="A730">
        <v>184.330556</v>
      </c>
      <c r="B730" s="1">
        <f>DATE(2010,11,1) + TIME(7,56,0)</f>
        <v>40483.330555555556</v>
      </c>
      <c r="C730">
        <v>1329.4628906</v>
      </c>
      <c r="D730">
        <v>1328.5151367000001</v>
      </c>
      <c r="E730">
        <v>1339.5341797000001</v>
      </c>
      <c r="F730">
        <v>1336.6293945</v>
      </c>
      <c r="G730">
        <v>80</v>
      </c>
      <c r="H730">
        <v>79.878929138000004</v>
      </c>
      <c r="I730">
        <v>50</v>
      </c>
      <c r="J730">
        <v>49.429618834999999</v>
      </c>
      <c r="K730">
        <v>0</v>
      </c>
      <c r="L730">
        <v>2400</v>
      </c>
      <c r="M730">
        <v>2400</v>
      </c>
      <c r="N730">
        <v>0</v>
      </c>
    </row>
    <row r="731" spans="1:14" x14ac:dyDescent="0.25">
      <c r="A731">
        <v>184.36927</v>
      </c>
      <c r="B731" s="1">
        <f>DATE(2010,11,1) + TIME(8,51,44)</f>
        <v>40483.369259259256</v>
      </c>
      <c r="C731">
        <v>1329.4573975000001</v>
      </c>
      <c r="D731">
        <v>1328.5067139</v>
      </c>
      <c r="E731">
        <v>1339.5064697</v>
      </c>
      <c r="F731">
        <v>1336.6156006000001</v>
      </c>
      <c r="G731">
        <v>80</v>
      </c>
      <c r="H731">
        <v>79.870857239000003</v>
      </c>
      <c r="I731">
        <v>50</v>
      </c>
      <c r="J731">
        <v>49.461700438999998</v>
      </c>
      <c r="K731">
        <v>0</v>
      </c>
      <c r="L731">
        <v>2400</v>
      </c>
      <c r="M731">
        <v>2400</v>
      </c>
      <c r="N731">
        <v>0</v>
      </c>
    </row>
    <row r="732" spans="1:14" x14ac:dyDescent="0.25">
      <c r="A732">
        <v>184.40930900000001</v>
      </c>
      <c r="B732" s="1">
        <f>DATE(2010,11,1) + TIME(9,49,24)</f>
        <v>40483.409305555557</v>
      </c>
      <c r="C732">
        <v>1329.4517822</v>
      </c>
      <c r="D732">
        <v>1328.4982910000001</v>
      </c>
      <c r="E732">
        <v>1339.4818115</v>
      </c>
      <c r="F732">
        <v>1336.6036377</v>
      </c>
      <c r="G732">
        <v>80</v>
      </c>
      <c r="H732">
        <v>79.862579346000004</v>
      </c>
      <c r="I732">
        <v>50</v>
      </c>
      <c r="J732">
        <v>49.492450714</v>
      </c>
      <c r="K732">
        <v>0</v>
      </c>
      <c r="L732">
        <v>2400</v>
      </c>
      <c r="M732">
        <v>2400</v>
      </c>
      <c r="N732">
        <v>0</v>
      </c>
    </row>
    <row r="733" spans="1:14" x14ac:dyDescent="0.25">
      <c r="A733">
        <v>184.45080899999999</v>
      </c>
      <c r="B733" s="1">
        <f>DATE(2010,11,1) + TIME(10,49,9)</f>
        <v>40483.450798611113</v>
      </c>
      <c r="C733">
        <v>1329.4461670000001</v>
      </c>
      <c r="D733">
        <v>1328.4897461</v>
      </c>
      <c r="E733">
        <v>1339.4602050999999</v>
      </c>
      <c r="F733">
        <v>1336.5933838000001</v>
      </c>
      <c r="G733">
        <v>80</v>
      </c>
      <c r="H733">
        <v>79.854057311999995</v>
      </c>
      <c r="I733">
        <v>50</v>
      </c>
      <c r="J733">
        <v>49.521961212000001</v>
      </c>
      <c r="K733">
        <v>0</v>
      </c>
      <c r="L733">
        <v>2400</v>
      </c>
      <c r="M733">
        <v>2400</v>
      </c>
      <c r="N733">
        <v>0</v>
      </c>
    </row>
    <row r="734" spans="1:14" x14ac:dyDescent="0.25">
      <c r="A734">
        <v>184.493899</v>
      </c>
      <c r="B734" s="1">
        <f>DATE(2010,11,1) + TIME(11,51,12)</f>
        <v>40483.493888888886</v>
      </c>
      <c r="C734">
        <v>1329.4404297000001</v>
      </c>
      <c r="D734">
        <v>1328.4810791</v>
      </c>
      <c r="E734">
        <v>1339.4414062000001</v>
      </c>
      <c r="F734">
        <v>1336.5849608999999</v>
      </c>
      <c r="G734">
        <v>80</v>
      </c>
      <c r="H734">
        <v>79.845283507999994</v>
      </c>
      <c r="I734">
        <v>50</v>
      </c>
      <c r="J734">
        <v>49.550289153999998</v>
      </c>
      <c r="K734">
        <v>0</v>
      </c>
      <c r="L734">
        <v>2400</v>
      </c>
      <c r="M734">
        <v>2400</v>
      </c>
      <c r="N734">
        <v>0</v>
      </c>
    </row>
    <row r="735" spans="1:14" x14ac:dyDescent="0.25">
      <c r="A735">
        <v>184.53872100000001</v>
      </c>
      <c r="B735" s="1">
        <f>DATE(2010,11,1) + TIME(12,55,45)</f>
        <v>40483.538715277777</v>
      </c>
      <c r="C735">
        <v>1329.4345702999999</v>
      </c>
      <c r="D735">
        <v>1328.472168</v>
      </c>
      <c r="E735">
        <v>1339.4251709</v>
      </c>
      <c r="F735">
        <v>1336.578125</v>
      </c>
      <c r="G735">
        <v>80</v>
      </c>
      <c r="H735">
        <v>79.836235045999999</v>
      </c>
      <c r="I735">
        <v>50</v>
      </c>
      <c r="J735">
        <v>49.577495575</v>
      </c>
      <c r="K735">
        <v>0</v>
      </c>
      <c r="L735">
        <v>2400</v>
      </c>
      <c r="M735">
        <v>2400</v>
      </c>
      <c r="N735">
        <v>0</v>
      </c>
    </row>
    <row r="736" spans="1:14" x14ac:dyDescent="0.25">
      <c r="A736">
        <v>184.585441</v>
      </c>
      <c r="B736" s="1">
        <f>DATE(2010,11,1) + TIME(14,3,2)</f>
        <v>40483.585439814815</v>
      </c>
      <c r="C736">
        <v>1329.4285889</v>
      </c>
      <c r="D736">
        <v>1328.4631348</v>
      </c>
      <c r="E736">
        <v>1339.4116211</v>
      </c>
      <c r="F736">
        <v>1336.5727539</v>
      </c>
      <c r="G736">
        <v>80</v>
      </c>
      <c r="H736">
        <v>79.826873778999996</v>
      </c>
      <c r="I736">
        <v>50</v>
      </c>
      <c r="J736">
        <v>49.603630066000001</v>
      </c>
      <c r="K736">
        <v>0</v>
      </c>
      <c r="L736">
        <v>2400</v>
      </c>
      <c r="M736">
        <v>2400</v>
      </c>
      <c r="N736">
        <v>0</v>
      </c>
    </row>
    <row r="737" spans="1:14" x14ac:dyDescent="0.25">
      <c r="A737">
        <v>184.63423599999999</v>
      </c>
      <c r="B737" s="1">
        <f>DATE(2010,11,1) + TIME(15,13,17)</f>
        <v>40483.63422453704</v>
      </c>
      <c r="C737">
        <v>1329.4224853999999</v>
      </c>
      <c r="D737">
        <v>1328.4539795000001</v>
      </c>
      <c r="E737">
        <v>1339.4003906</v>
      </c>
      <c r="F737">
        <v>1336.5688477000001</v>
      </c>
      <c r="G737">
        <v>80</v>
      </c>
      <c r="H737">
        <v>79.817184448000006</v>
      </c>
      <c r="I737">
        <v>50</v>
      </c>
      <c r="J737">
        <v>49.628734588999997</v>
      </c>
      <c r="K737">
        <v>0</v>
      </c>
      <c r="L737">
        <v>2400</v>
      </c>
      <c r="M737">
        <v>2400</v>
      </c>
      <c r="N737">
        <v>0</v>
      </c>
    </row>
    <row r="738" spans="1:14" x14ac:dyDescent="0.25">
      <c r="A738">
        <v>184.685328</v>
      </c>
      <c r="B738" s="1">
        <f>DATE(2010,11,1) + TIME(16,26,52)</f>
        <v>40483.685324074075</v>
      </c>
      <c r="C738">
        <v>1329.4162598</v>
      </c>
      <c r="D738">
        <v>1328.4445800999999</v>
      </c>
      <c r="E738">
        <v>1339.3914795000001</v>
      </c>
      <c r="F738">
        <v>1336.5662841999999</v>
      </c>
      <c r="G738">
        <v>80</v>
      </c>
      <c r="H738">
        <v>79.807121276999993</v>
      </c>
      <c r="I738">
        <v>50</v>
      </c>
      <c r="J738">
        <v>49.652866363999998</v>
      </c>
      <c r="K738">
        <v>0</v>
      </c>
      <c r="L738">
        <v>2400</v>
      </c>
      <c r="M738">
        <v>2400</v>
      </c>
      <c r="N738">
        <v>0</v>
      </c>
    </row>
    <row r="739" spans="1:14" x14ac:dyDescent="0.25">
      <c r="A739">
        <v>184.73896999999999</v>
      </c>
      <c r="B739" s="1">
        <f>DATE(2010,11,1) + TIME(17,44,7)</f>
        <v>40483.738969907405</v>
      </c>
      <c r="C739">
        <v>1329.4099120999999</v>
      </c>
      <c r="D739">
        <v>1328.4349365</v>
      </c>
      <c r="E739">
        <v>1339.3846435999999</v>
      </c>
      <c r="F739">
        <v>1336.5650635</v>
      </c>
      <c r="G739">
        <v>80</v>
      </c>
      <c r="H739">
        <v>79.796661377000007</v>
      </c>
      <c r="I739">
        <v>50</v>
      </c>
      <c r="J739">
        <v>49.676063538000001</v>
      </c>
      <c r="K739">
        <v>0</v>
      </c>
      <c r="L739">
        <v>2400</v>
      </c>
      <c r="M739">
        <v>2400</v>
      </c>
      <c r="N739">
        <v>0</v>
      </c>
    </row>
    <row r="740" spans="1:14" x14ac:dyDescent="0.25">
      <c r="A740">
        <v>184.79545200000001</v>
      </c>
      <c r="B740" s="1">
        <f>DATE(2010,11,1) + TIME(19,5,27)</f>
        <v>40483.795451388891</v>
      </c>
      <c r="C740">
        <v>1329.4033202999999</v>
      </c>
      <c r="D740">
        <v>1328.4250488</v>
      </c>
      <c r="E740">
        <v>1339.3797606999999</v>
      </c>
      <c r="F740">
        <v>1336.5649414</v>
      </c>
      <c r="G740">
        <v>80</v>
      </c>
      <c r="H740">
        <v>79.785751343000001</v>
      </c>
      <c r="I740">
        <v>50</v>
      </c>
      <c r="J740">
        <v>49.698360442999999</v>
      </c>
      <c r="K740">
        <v>0</v>
      </c>
      <c r="L740">
        <v>2400</v>
      </c>
      <c r="M740">
        <v>2400</v>
      </c>
      <c r="N740">
        <v>0</v>
      </c>
    </row>
    <row r="741" spans="1:14" x14ac:dyDescent="0.25">
      <c r="A741">
        <v>184.855118</v>
      </c>
      <c r="B741" s="1">
        <f>DATE(2010,11,1) + TIME(20,31,22)</f>
        <v>40483.855115740742</v>
      </c>
      <c r="C741">
        <v>1329.3964844</v>
      </c>
      <c r="D741">
        <v>1328.4147949000001</v>
      </c>
      <c r="E741">
        <v>1339.3768310999999</v>
      </c>
      <c r="F741">
        <v>1336.5657959</v>
      </c>
      <c r="G741">
        <v>80</v>
      </c>
      <c r="H741">
        <v>79.774337768999999</v>
      </c>
      <c r="I741">
        <v>50</v>
      </c>
      <c r="J741">
        <v>49.719795226999999</v>
      </c>
      <c r="K741">
        <v>0</v>
      </c>
      <c r="L741">
        <v>2400</v>
      </c>
      <c r="M741">
        <v>2400</v>
      </c>
      <c r="N741">
        <v>0</v>
      </c>
    </row>
    <row r="742" spans="1:14" x14ac:dyDescent="0.25">
      <c r="A742">
        <v>184.91837200000001</v>
      </c>
      <c r="B742" s="1">
        <f>DATE(2010,11,1) + TIME(22,2,27)</f>
        <v>40483.918368055558</v>
      </c>
      <c r="C742">
        <v>1329.3894043</v>
      </c>
      <c r="D742">
        <v>1328.4041748</v>
      </c>
      <c r="E742">
        <v>1339.3753661999999</v>
      </c>
      <c r="F742">
        <v>1336.567749</v>
      </c>
      <c r="G742">
        <v>80</v>
      </c>
      <c r="H742">
        <v>79.762367248999993</v>
      </c>
      <c r="I742">
        <v>50</v>
      </c>
      <c r="J742">
        <v>49.740394592000001</v>
      </c>
      <c r="K742">
        <v>0</v>
      </c>
      <c r="L742">
        <v>2400</v>
      </c>
      <c r="M742">
        <v>2400</v>
      </c>
      <c r="N742">
        <v>0</v>
      </c>
    </row>
    <row r="743" spans="1:14" x14ac:dyDescent="0.25">
      <c r="A743">
        <v>184.985704</v>
      </c>
      <c r="B743" s="1">
        <f>DATE(2010,11,1) + TIME(23,39,24)</f>
        <v>40483.985694444447</v>
      </c>
      <c r="C743">
        <v>1329.3820800999999</v>
      </c>
      <c r="D743">
        <v>1328.3931885</v>
      </c>
      <c r="E743">
        <v>1339.3756103999999</v>
      </c>
      <c r="F743">
        <v>1336.5705565999999</v>
      </c>
      <c r="G743">
        <v>80</v>
      </c>
      <c r="H743">
        <v>79.749755859000004</v>
      </c>
      <c r="I743">
        <v>50</v>
      </c>
      <c r="J743">
        <v>49.760185241999999</v>
      </c>
      <c r="K743">
        <v>0</v>
      </c>
      <c r="L743">
        <v>2400</v>
      </c>
      <c r="M743">
        <v>2400</v>
      </c>
      <c r="N743">
        <v>0</v>
      </c>
    </row>
    <row r="744" spans="1:14" x14ac:dyDescent="0.25">
      <c r="A744">
        <v>185.057704</v>
      </c>
      <c r="B744" s="1">
        <f>DATE(2010,11,2) + TIME(1,23,5)</f>
        <v>40484.057696759257</v>
      </c>
      <c r="C744">
        <v>1329.3743896000001</v>
      </c>
      <c r="D744">
        <v>1328.3817139</v>
      </c>
      <c r="E744">
        <v>1339.3770752</v>
      </c>
      <c r="F744">
        <v>1336.5742187999999</v>
      </c>
      <c r="G744">
        <v>80</v>
      </c>
      <c r="H744">
        <v>79.736427307</v>
      </c>
      <c r="I744">
        <v>50</v>
      </c>
      <c r="J744">
        <v>49.779190063000001</v>
      </c>
      <c r="K744">
        <v>0</v>
      </c>
      <c r="L744">
        <v>2400</v>
      </c>
      <c r="M744">
        <v>2400</v>
      </c>
      <c r="N744">
        <v>0</v>
      </c>
    </row>
    <row r="745" spans="1:14" x14ac:dyDescent="0.25">
      <c r="A745">
        <v>185.13509500000001</v>
      </c>
      <c r="B745" s="1">
        <f>DATE(2010,11,2) + TIME(3,14,32)</f>
        <v>40484.135092592594</v>
      </c>
      <c r="C745">
        <v>1329.3664550999999</v>
      </c>
      <c r="D745">
        <v>1328.369751</v>
      </c>
      <c r="E745">
        <v>1339.3797606999999</v>
      </c>
      <c r="F745">
        <v>1336.5784911999999</v>
      </c>
      <c r="G745">
        <v>80</v>
      </c>
      <c r="H745">
        <v>79.722274780000006</v>
      </c>
      <c r="I745">
        <v>50</v>
      </c>
      <c r="J745">
        <v>49.797424315999997</v>
      </c>
      <c r="K745">
        <v>0</v>
      </c>
      <c r="L745">
        <v>2400</v>
      </c>
      <c r="M745">
        <v>2400</v>
      </c>
      <c r="N745">
        <v>0</v>
      </c>
    </row>
    <row r="746" spans="1:14" x14ac:dyDescent="0.25">
      <c r="A746">
        <v>185.21878000000001</v>
      </c>
      <c r="B746" s="1">
        <f>DATE(2010,11,2) + TIME(5,15,2)</f>
        <v>40484.218773148146</v>
      </c>
      <c r="C746">
        <v>1329.3580322</v>
      </c>
      <c r="D746">
        <v>1328.3571777</v>
      </c>
      <c r="E746">
        <v>1339.3835449000001</v>
      </c>
      <c r="F746">
        <v>1336.5832519999999</v>
      </c>
      <c r="G746">
        <v>80</v>
      </c>
      <c r="H746">
        <v>79.707168578999998</v>
      </c>
      <c r="I746">
        <v>50</v>
      </c>
      <c r="J746">
        <v>49.814899445000002</v>
      </c>
      <c r="K746">
        <v>0</v>
      </c>
      <c r="L746">
        <v>2400</v>
      </c>
      <c r="M746">
        <v>2400</v>
      </c>
      <c r="N746">
        <v>0</v>
      </c>
    </row>
    <row r="747" spans="1:14" x14ac:dyDescent="0.25">
      <c r="A747">
        <v>185.30989199999999</v>
      </c>
      <c r="B747" s="1">
        <f>DATE(2010,11,2) + TIME(7,26,14)</f>
        <v>40484.309884259259</v>
      </c>
      <c r="C747">
        <v>1329.348999</v>
      </c>
      <c r="D747">
        <v>1328.3438721</v>
      </c>
      <c r="E747">
        <v>1339.3880615</v>
      </c>
      <c r="F747">
        <v>1336.588501</v>
      </c>
      <c r="G747">
        <v>80</v>
      </c>
      <c r="H747">
        <v>79.690948485999996</v>
      </c>
      <c r="I747">
        <v>50</v>
      </c>
      <c r="J747">
        <v>49.831623077000003</v>
      </c>
      <c r="K747">
        <v>0</v>
      </c>
      <c r="L747">
        <v>2400</v>
      </c>
      <c r="M747">
        <v>2400</v>
      </c>
      <c r="N747">
        <v>0</v>
      </c>
    </row>
    <row r="748" spans="1:14" x14ac:dyDescent="0.25">
      <c r="A748">
        <v>185.409886</v>
      </c>
      <c r="B748" s="1">
        <f>DATE(2010,11,2) + TIME(9,50,14)</f>
        <v>40484.409884259258</v>
      </c>
      <c r="C748">
        <v>1329.3394774999999</v>
      </c>
      <c r="D748">
        <v>1328.3297118999999</v>
      </c>
      <c r="E748">
        <v>1339.3930664</v>
      </c>
      <c r="F748">
        <v>1336.5939940999999</v>
      </c>
      <c r="G748">
        <v>80</v>
      </c>
      <c r="H748">
        <v>79.673416137999993</v>
      </c>
      <c r="I748">
        <v>50</v>
      </c>
      <c r="J748">
        <v>49.847595214999998</v>
      </c>
      <c r="K748">
        <v>0</v>
      </c>
      <c r="L748">
        <v>2400</v>
      </c>
      <c r="M748">
        <v>2400</v>
      </c>
      <c r="N748">
        <v>0</v>
      </c>
    </row>
    <row r="749" spans="1:14" x14ac:dyDescent="0.25">
      <c r="A749">
        <v>185.52070699999999</v>
      </c>
      <c r="B749" s="1">
        <f>DATE(2010,11,2) + TIME(12,29,49)</f>
        <v>40484.52070601852</v>
      </c>
      <c r="C749">
        <v>1329.3292236</v>
      </c>
      <c r="D749">
        <v>1328.3144531</v>
      </c>
      <c r="E749">
        <v>1339.3984375</v>
      </c>
      <c r="F749">
        <v>1336.5994873</v>
      </c>
      <c r="G749">
        <v>80</v>
      </c>
      <c r="H749">
        <v>79.654304503999995</v>
      </c>
      <c r="I749">
        <v>50</v>
      </c>
      <c r="J749">
        <v>49.862808227999999</v>
      </c>
      <c r="K749">
        <v>0</v>
      </c>
      <c r="L749">
        <v>2400</v>
      </c>
      <c r="M749">
        <v>2400</v>
      </c>
      <c r="N749">
        <v>0</v>
      </c>
    </row>
    <row r="750" spans="1:14" x14ac:dyDescent="0.25">
      <c r="A750">
        <v>185.63344499999999</v>
      </c>
      <c r="B750" s="1">
        <f>DATE(2010,11,2) + TIME(15,12,9)</f>
        <v>40484.633437500001</v>
      </c>
      <c r="C750">
        <v>1329.3183594</v>
      </c>
      <c r="D750">
        <v>1328.2984618999999</v>
      </c>
      <c r="E750">
        <v>1339.4067382999999</v>
      </c>
      <c r="F750">
        <v>1336.6065673999999</v>
      </c>
      <c r="G750">
        <v>80</v>
      </c>
      <c r="H750">
        <v>79.635017395000006</v>
      </c>
      <c r="I750">
        <v>50</v>
      </c>
      <c r="J750">
        <v>49.876106262</v>
      </c>
      <c r="K750">
        <v>0</v>
      </c>
      <c r="L750">
        <v>2400</v>
      </c>
      <c r="M750">
        <v>2400</v>
      </c>
      <c r="N750">
        <v>0</v>
      </c>
    </row>
    <row r="751" spans="1:14" x14ac:dyDescent="0.25">
      <c r="A751">
        <v>185.747581</v>
      </c>
      <c r="B751" s="1">
        <f>DATE(2010,11,2) + TIME(17,56,30)</f>
        <v>40484.747569444444</v>
      </c>
      <c r="C751">
        <v>1329.3074951000001</v>
      </c>
      <c r="D751">
        <v>1328.2824707</v>
      </c>
      <c r="E751">
        <v>1339.4140625</v>
      </c>
      <c r="F751">
        <v>1336.6126709</v>
      </c>
      <c r="G751">
        <v>80</v>
      </c>
      <c r="H751">
        <v>79.615638732999997</v>
      </c>
      <c r="I751">
        <v>50</v>
      </c>
      <c r="J751">
        <v>49.887668609999999</v>
      </c>
      <c r="K751">
        <v>0</v>
      </c>
      <c r="L751">
        <v>2400</v>
      </c>
      <c r="M751">
        <v>2400</v>
      </c>
      <c r="N751">
        <v>0</v>
      </c>
    </row>
    <row r="752" spans="1:14" x14ac:dyDescent="0.25">
      <c r="A752">
        <v>185.86276799999999</v>
      </c>
      <c r="B752" s="1">
        <f>DATE(2010,11,2) + TIME(20,42,23)</f>
        <v>40484.862766203703</v>
      </c>
      <c r="C752">
        <v>1329.2966309000001</v>
      </c>
      <c r="D752">
        <v>1328.2664795000001</v>
      </c>
      <c r="E752">
        <v>1339.4201660000001</v>
      </c>
      <c r="F752">
        <v>1336.6177978999999</v>
      </c>
      <c r="G752">
        <v>80</v>
      </c>
      <c r="H752">
        <v>79.596221924000005</v>
      </c>
      <c r="I752">
        <v>50</v>
      </c>
      <c r="J752">
        <v>49.897682189999998</v>
      </c>
      <c r="K752">
        <v>0</v>
      </c>
      <c r="L752">
        <v>2400</v>
      </c>
      <c r="M752">
        <v>2400</v>
      </c>
      <c r="N752">
        <v>0</v>
      </c>
    </row>
    <row r="753" spans="1:14" x14ac:dyDescent="0.25">
      <c r="A753">
        <v>185.97939</v>
      </c>
      <c r="B753" s="1">
        <f>DATE(2010,11,2) + TIME(23,30,19)</f>
        <v>40484.979386574072</v>
      </c>
      <c r="C753">
        <v>1329.2857666</v>
      </c>
      <c r="D753">
        <v>1328.2506103999999</v>
      </c>
      <c r="E753">
        <v>1339.4249268000001</v>
      </c>
      <c r="F753">
        <v>1336.6218262</v>
      </c>
      <c r="G753">
        <v>80</v>
      </c>
      <c r="H753">
        <v>79.576698303000001</v>
      </c>
      <c r="I753">
        <v>50</v>
      </c>
      <c r="J753">
        <v>49.906372070000003</v>
      </c>
      <c r="K753">
        <v>0</v>
      </c>
      <c r="L753">
        <v>2400</v>
      </c>
      <c r="M753">
        <v>2400</v>
      </c>
      <c r="N753">
        <v>0</v>
      </c>
    </row>
    <row r="754" spans="1:14" x14ac:dyDescent="0.25">
      <c r="A754">
        <v>186.098015</v>
      </c>
      <c r="B754" s="1">
        <f>DATE(2010,11,3) + TIME(2,21,8)</f>
        <v>40485.098009259258</v>
      </c>
      <c r="C754">
        <v>1329.2750243999999</v>
      </c>
      <c r="D754">
        <v>1328.2348632999999</v>
      </c>
      <c r="E754">
        <v>1339.4282227000001</v>
      </c>
      <c r="F754">
        <v>1336.6247559000001</v>
      </c>
      <c r="G754">
        <v>80</v>
      </c>
      <c r="H754">
        <v>79.556991577000005</v>
      </c>
      <c r="I754">
        <v>50</v>
      </c>
      <c r="J754">
        <v>49.913936614999997</v>
      </c>
      <c r="K754">
        <v>0</v>
      </c>
      <c r="L754">
        <v>2400</v>
      </c>
      <c r="M754">
        <v>2400</v>
      </c>
      <c r="N754">
        <v>0</v>
      </c>
    </row>
    <row r="755" spans="1:14" x14ac:dyDescent="0.25">
      <c r="A755">
        <v>186.219202</v>
      </c>
      <c r="B755" s="1">
        <f>DATE(2010,11,3) + TIME(5,15,39)</f>
        <v>40485.219201388885</v>
      </c>
      <c r="C755">
        <v>1329.2641602000001</v>
      </c>
      <c r="D755">
        <v>1328.2189940999999</v>
      </c>
      <c r="E755">
        <v>1339.4301757999999</v>
      </c>
      <c r="F755">
        <v>1336.6267089999999</v>
      </c>
      <c r="G755">
        <v>80</v>
      </c>
      <c r="H755">
        <v>79.537017821999996</v>
      </c>
      <c r="I755">
        <v>50</v>
      </c>
      <c r="J755">
        <v>49.920528412000003</v>
      </c>
      <c r="K755">
        <v>0</v>
      </c>
      <c r="L755">
        <v>2400</v>
      </c>
      <c r="M755">
        <v>2400</v>
      </c>
      <c r="N755">
        <v>0</v>
      </c>
    </row>
    <row r="756" spans="1:14" x14ac:dyDescent="0.25">
      <c r="A756">
        <v>186.34350000000001</v>
      </c>
      <c r="B756" s="1">
        <f>DATE(2010,11,3) + TIME(8,14,38)</f>
        <v>40485.343495370369</v>
      </c>
      <c r="C756">
        <v>1329.2531738</v>
      </c>
      <c r="D756">
        <v>1328.2030029</v>
      </c>
      <c r="E756">
        <v>1339.4307861</v>
      </c>
      <c r="F756">
        <v>1336.6276855000001</v>
      </c>
      <c r="G756">
        <v>80</v>
      </c>
      <c r="H756">
        <v>79.516685486</v>
      </c>
      <c r="I756">
        <v>50</v>
      </c>
      <c r="J756">
        <v>49.926277161000002</v>
      </c>
      <c r="K756">
        <v>0</v>
      </c>
      <c r="L756">
        <v>2400</v>
      </c>
      <c r="M756">
        <v>2400</v>
      </c>
      <c r="N756">
        <v>0</v>
      </c>
    </row>
    <row r="757" spans="1:14" x14ac:dyDescent="0.25">
      <c r="A757">
        <v>186.47154499999999</v>
      </c>
      <c r="B757" s="1">
        <f>DATE(2010,11,3) + TIME(11,19,1)</f>
        <v>40485.471539351849</v>
      </c>
      <c r="C757">
        <v>1329.2420654</v>
      </c>
      <c r="D757">
        <v>1328.1868896000001</v>
      </c>
      <c r="E757">
        <v>1339.4302978999999</v>
      </c>
      <c r="F757">
        <v>1336.6276855000001</v>
      </c>
      <c r="G757">
        <v>80</v>
      </c>
      <c r="H757">
        <v>79.495925903</v>
      </c>
      <c r="I757">
        <v>50</v>
      </c>
      <c r="J757">
        <v>49.931293488000001</v>
      </c>
      <c r="K757">
        <v>0</v>
      </c>
      <c r="L757">
        <v>2400</v>
      </c>
      <c r="M757">
        <v>2400</v>
      </c>
      <c r="N757">
        <v>0</v>
      </c>
    </row>
    <row r="758" spans="1:14" x14ac:dyDescent="0.25">
      <c r="A758">
        <v>186.60400100000001</v>
      </c>
      <c r="B758" s="1">
        <f>DATE(2010,11,3) + TIME(14,29,45)</f>
        <v>40485.603993055556</v>
      </c>
      <c r="C758">
        <v>1329.2307129000001</v>
      </c>
      <c r="D758">
        <v>1328.1705322</v>
      </c>
      <c r="E758">
        <v>1339.4284668</v>
      </c>
      <c r="F758">
        <v>1336.6268310999999</v>
      </c>
      <c r="G758">
        <v>80</v>
      </c>
      <c r="H758">
        <v>79.474632263000004</v>
      </c>
      <c r="I758">
        <v>50</v>
      </c>
      <c r="J758">
        <v>49.935668945000003</v>
      </c>
      <c r="K758">
        <v>0</v>
      </c>
      <c r="L758">
        <v>2400</v>
      </c>
      <c r="M758">
        <v>2400</v>
      </c>
      <c r="N758">
        <v>0</v>
      </c>
    </row>
    <row r="759" spans="1:14" x14ac:dyDescent="0.25">
      <c r="A759">
        <v>186.741601</v>
      </c>
      <c r="B759" s="1">
        <f>DATE(2010,11,3) + TIME(17,47,54)</f>
        <v>40485.741597222222</v>
      </c>
      <c r="C759">
        <v>1329.2192382999999</v>
      </c>
      <c r="D759">
        <v>1328.1538086</v>
      </c>
      <c r="E759">
        <v>1339.4255370999999</v>
      </c>
      <c r="F759">
        <v>1336.6251221</v>
      </c>
      <c r="G759">
        <v>80</v>
      </c>
      <c r="H759">
        <v>79.452705382999994</v>
      </c>
      <c r="I759">
        <v>50</v>
      </c>
      <c r="J759">
        <v>49.939483643000003</v>
      </c>
      <c r="K759">
        <v>0</v>
      </c>
      <c r="L759">
        <v>2400</v>
      </c>
      <c r="M759">
        <v>2400</v>
      </c>
      <c r="N759">
        <v>0</v>
      </c>
    </row>
    <row r="760" spans="1:14" x14ac:dyDescent="0.25">
      <c r="A760">
        <v>186.885201</v>
      </c>
      <c r="B760" s="1">
        <f>DATE(2010,11,3) + TIME(21,14,41)</f>
        <v>40485.885196759256</v>
      </c>
      <c r="C760">
        <v>1329.2073975000001</v>
      </c>
      <c r="D760">
        <v>1328.1367187999999</v>
      </c>
      <c r="E760">
        <v>1339.4215088000001</v>
      </c>
      <c r="F760">
        <v>1336.6226807</v>
      </c>
      <c r="G760">
        <v>80</v>
      </c>
      <c r="H760">
        <v>79.430046082000004</v>
      </c>
      <c r="I760">
        <v>50</v>
      </c>
      <c r="J760">
        <v>49.942798615000001</v>
      </c>
      <c r="K760">
        <v>0</v>
      </c>
      <c r="L760">
        <v>2400</v>
      </c>
      <c r="M760">
        <v>2400</v>
      </c>
      <c r="N760">
        <v>0</v>
      </c>
    </row>
    <row r="761" spans="1:14" x14ac:dyDescent="0.25">
      <c r="A761">
        <v>187.03576100000001</v>
      </c>
      <c r="B761" s="1">
        <f>DATE(2010,11,4) + TIME(0,51,29)</f>
        <v>40486.035752314812</v>
      </c>
      <c r="C761">
        <v>1329.1951904</v>
      </c>
      <c r="D761">
        <v>1328.1191406</v>
      </c>
      <c r="E761">
        <v>1339.4162598</v>
      </c>
      <c r="F761">
        <v>1336.6193848</v>
      </c>
      <c r="G761">
        <v>80</v>
      </c>
      <c r="H761">
        <v>79.406517029</v>
      </c>
      <c r="I761">
        <v>50</v>
      </c>
      <c r="J761">
        <v>49.945674896</v>
      </c>
      <c r="K761">
        <v>0</v>
      </c>
      <c r="L761">
        <v>2400</v>
      </c>
      <c r="M761">
        <v>2400</v>
      </c>
      <c r="N761">
        <v>0</v>
      </c>
    </row>
    <row r="762" spans="1:14" x14ac:dyDescent="0.25">
      <c r="A762">
        <v>187.19440599999999</v>
      </c>
      <c r="B762" s="1">
        <f>DATE(2010,11,4) + TIME(4,39,56)</f>
        <v>40486.194398148145</v>
      </c>
      <c r="C762">
        <v>1329.1826172000001</v>
      </c>
      <c r="D762">
        <v>1328.1010742000001</v>
      </c>
      <c r="E762">
        <v>1339.4100341999999</v>
      </c>
      <c r="F762">
        <v>1336.6152344</v>
      </c>
      <c r="G762">
        <v>80</v>
      </c>
      <c r="H762">
        <v>79.381988524999997</v>
      </c>
      <c r="I762">
        <v>50</v>
      </c>
      <c r="J762">
        <v>49.948165893999999</v>
      </c>
      <c r="K762">
        <v>0</v>
      </c>
      <c r="L762">
        <v>2400</v>
      </c>
      <c r="M762">
        <v>2400</v>
      </c>
      <c r="N762">
        <v>0</v>
      </c>
    </row>
    <row r="763" spans="1:14" x14ac:dyDescent="0.25">
      <c r="A763">
        <v>187.36165800000001</v>
      </c>
      <c r="B763" s="1">
        <f>DATE(2010,11,4) + TIME(8,40,47)</f>
        <v>40486.361655092594</v>
      </c>
      <c r="C763">
        <v>1329.1695557</v>
      </c>
      <c r="D763">
        <v>1328.0822754000001</v>
      </c>
      <c r="E763">
        <v>1339.4025879000001</v>
      </c>
      <c r="F763">
        <v>1336.6103516000001</v>
      </c>
      <c r="G763">
        <v>80</v>
      </c>
      <c r="H763">
        <v>79.356391907000003</v>
      </c>
      <c r="I763">
        <v>50</v>
      </c>
      <c r="J763">
        <v>49.950305939000003</v>
      </c>
      <c r="K763">
        <v>0</v>
      </c>
      <c r="L763">
        <v>2400</v>
      </c>
      <c r="M763">
        <v>2400</v>
      </c>
      <c r="N763">
        <v>0</v>
      </c>
    </row>
    <row r="764" spans="1:14" x14ac:dyDescent="0.25">
      <c r="A764">
        <v>187.53839600000001</v>
      </c>
      <c r="B764" s="1">
        <f>DATE(2010,11,4) + TIME(12,55,17)</f>
        <v>40486.538391203707</v>
      </c>
      <c r="C764">
        <v>1329.1560059000001</v>
      </c>
      <c r="D764">
        <v>1328.0627440999999</v>
      </c>
      <c r="E764">
        <v>1339.3942870999999</v>
      </c>
      <c r="F764">
        <v>1336.6048584</v>
      </c>
      <c r="G764">
        <v>80</v>
      </c>
      <c r="H764">
        <v>79.329627990999995</v>
      </c>
      <c r="I764">
        <v>50</v>
      </c>
      <c r="J764">
        <v>49.952129364000001</v>
      </c>
      <c r="K764">
        <v>0</v>
      </c>
      <c r="L764">
        <v>2400</v>
      </c>
      <c r="M764">
        <v>2400</v>
      </c>
      <c r="N764">
        <v>0</v>
      </c>
    </row>
    <row r="765" spans="1:14" x14ac:dyDescent="0.25">
      <c r="A765">
        <v>187.72619800000001</v>
      </c>
      <c r="B765" s="1">
        <f>DATE(2010,11,4) + TIME(17,25,43)</f>
        <v>40486.72619212963</v>
      </c>
      <c r="C765">
        <v>1329.1418457</v>
      </c>
      <c r="D765">
        <v>1328.0424805</v>
      </c>
      <c r="E765">
        <v>1339.3847656</v>
      </c>
      <c r="F765">
        <v>1336.5985106999999</v>
      </c>
      <c r="G765">
        <v>80</v>
      </c>
      <c r="H765">
        <v>79.301506042</v>
      </c>
      <c r="I765">
        <v>50</v>
      </c>
      <c r="J765">
        <v>49.953681946000003</v>
      </c>
      <c r="K765">
        <v>0</v>
      </c>
      <c r="L765">
        <v>2400</v>
      </c>
      <c r="M765">
        <v>2400</v>
      </c>
      <c r="N765">
        <v>0</v>
      </c>
    </row>
    <row r="766" spans="1:14" x14ac:dyDescent="0.25">
      <c r="A766">
        <v>187.92542900000001</v>
      </c>
      <c r="B766" s="1">
        <f>DATE(2010,11,4) + TIME(22,12,37)</f>
        <v>40486.925428240742</v>
      </c>
      <c r="C766">
        <v>1329.1269531</v>
      </c>
      <c r="D766">
        <v>1328.0212402</v>
      </c>
      <c r="E766">
        <v>1339.3743896000001</v>
      </c>
      <c r="F766">
        <v>1336.5915527</v>
      </c>
      <c r="G766">
        <v>80</v>
      </c>
      <c r="H766">
        <v>79.271987914999997</v>
      </c>
      <c r="I766">
        <v>50</v>
      </c>
      <c r="J766">
        <v>49.954990387000002</v>
      </c>
      <c r="K766">
        <v>0</v>
      </c>
      <c r="L766">
        <v>2400</v>
      </c>
      <c r="M766">
        <v>2400</v>
      </c>
      <c r="N766">
        <v>0</v>
      </c>
    </row>
    <row r="767" spans="1:14" x14ac:dyDescent="0.25">
      <c r="A767">
        <v>188.13738000000001</v>
      </c>
      <c r="B767" s="1">
        <f>DATE(2010,11,5) + TIME(3,17,49)</f>
        <v>40487.137372685182</v>
      </c>
      <c r="C767">
        <v>1329.1114502</v>
      </c>
      <c r="D767">
        <v>1327.9990233999999</v>
      </c>
      <c r="E767">
        <v>1339.3629149999999</v>
      </c>
      <c r="F767">
        <v>1336.5838623</v>
      </c>
      <c r="G767">
        <v>80</v>
      </c>
      <c r="H767">
        <v>79.240936278999996</v>
      </c>
      <c r="I767">
        <v>50</v>
      </c>
      <c r="J767">
        <v>49.956085205000001</v>
      </c>
      <c r="K767">
        <v>0</v>
      </c>
      <c r="L767">
        <v>2400</v>
      </c>
      <c r="M767">
        <v>2400</v>
      </c>
      <c r="N767">
        <v>0</v>
      </c>
    </row>
    <row r="768" spans="1:14" x14ac:dyDescent="0.25">
      <c r="A768">
        <v>188.36198099999999</v>
      </c>
      <c r="B768" s="1">
        <f>DATE(2010,11,5) + TIME(8,41,15)</f>
        <v>40487.361979166664</v>
      </c>
      <c r="C768">
        <v>1329.0952147999999</v>
      </c>
      <c r="D768">
        <v>1327.9759521000001</v>
      </c>
      <c r="E768">
        <v>1339.3505858999999</v>
      </c>
      <c r="F768">
        <v>1336.5755615</v>
      </c>
      <c r="G768">
        <v>80</v>
      </c>
      <c r="H768">
        <v>79.208366393999995</v>
      </c>
      <c r="I768">
        <v>50</v>
      </c>
      <c r="J768">
        <v>49.956989288000003</v>
      </c>
      <c r="K768">
        <v>0</v>
      </c>
      <c r="L768">
        <v>2400</v>
      </c>
      <c r="M768">
        <v>2400</v>
      </c>
      <c r="N768">
        <v>0</v>
      </c>
    </row>
    <row r="769" spans="1:14" x14ac:dyDescent="0.25">
      <c r="A769">
        <v>188.58723800000001</v>
      </c>
      <c r="B769" s="1">
        <f>DATE(2010,11,5) + TIME(14,5,37)</f>
        <v>40487.587233796294</v>
      </c>
      <c r="C769">
        <v>1329.0783690999999</v>
      </c>
      <c r="D769">
        <v>1327.9520264</v>
      </c>
      <c r="E769">
        <v>1339.3375243999999</v>
      </c>
      <c r="F769">
        <v>1336.5666504000001</v>
      </c>
      <c r="G769">
        <v>80</v>
      </c>
      <c r="H769">
        <v>79.175659179999997</v>
      </c>
      <c r="I769">
        <v>50</v>
      </c>
      <c r="J769">
        <v>49.957698821999998</v>
      </c>
      <c r="K769">
        <v>0</v>
      </c>
      <c r="L769">
        <v>2400</v>
      </c>
      <c r="M769">
        <v>2400</v>
      </c>
      <c r="N769">
        <v>0</v>
      </c>
    </row>
    <row r="770" spans="1:14" x14ac:dyDescent="0.25">
      <c r="A770">
        <v>188.81451999999999</v>
      </c>
      <c r="B770" s="1">
        <f>DATE(2010,11,5) + TIME(19,32,54)</f>
        <v>40487.814513888887</v>
      </c>
      <c r="C770">
        <v>1329.0615233999999</v>
      </c>
      <c r="D770">
        <v>1327.9281006000001</v>
      </c>
      <c r="E770">
        <v>1339.3243408000001</v>
      </c>
      <c r="F770">
        <v>1336.5578613</v>
      </c>
      <c r="G770">
        <v>80</v>
      </c>
      <c r="H770">
        <v>79.142723083000007</v>
      </c>
      <c r="I770">
        <v>50</v>
      </c>
      <c r="J770">
        <v>49.958259583</v>
      </c>
      <c r="K770">
        <v>0</v>
      </c>
      <c r="L770">
        <v>2400</v>
      </c>
      <c r="M770">
        <v>2400</v>
      </c>
      <c r="N770">
        <v>0</v>
      </c>
    </row>
    <row r="771" spans="1:14" x14ac:dyDescent="0.25">
      <c r="A771">
        <v>189.045107</v>
      </c>
      <c r="B771" s="1">
        <f>DATE(2010,11,6) + TIME(1,4,57)</f>
        <v>40488.045104166667</v>
      </c>
      <c r="C771">
        <v>1329.0446777</v>
      </c>
      <c r="D771">
        <v>1327.9041748</v>
      </c>
      <c r="E771">
        <v>1339.3111572</v>
      </c>
      <c r="F771">
        <v>1336.5489502</v>
      </c>
      <c r="G771">
        <v>80</v>
      </c>
      <c r="H771">
        <v>79.109436035000002</v>
      </c>
      <c r="I771">
        <v>50</v>
      </c>
      <c r="J771">
        <v>49.958709716999998</v>
      </c>
      <c r="K771">
        <v>0</v>
      </c>
      <c r="L771">
        <v>2400</v>
      </c>
      <c r="M771">
        <v>2400</v>
      </c>
      <c r="N771">
        <v>0</v>
      </c>
    </row>
    <row r="772" spans="1:14" x14ac:dyDescent="0.25">
      <c r="A772">
        <v>189.28033099999999</v>
      </c>
      <c r="B772" s="1">
        <f>DATE(2010,11,6) + TIME(6,43,40)</f>
        <v>40488.280324074076</v>
      </c>
      <c r="C772">
        <v>1329.0277100000001</v>
      </c>
      <c r="D772">
        <v>1327.8801269999999</v>
      </c>
      <c r="E772">
        <v>1339.2979736</v>
      </c>
      <c r="F772">
        <v>1336.5400391000001</v>
      </c>
      <c r="G772">
        <v>80</v>
      </c>
      <c r="H772">
        <v>79.075675963999998</v>
      </c>
      <c r="I772">
        <v>50</v>
      </c>
      <c r="J772">
        <v>49.959068297999998</v>
      </c>
      <c r="K772">
        <v>0</v>
      </c>
      <c r="L772">
        <v>2400</v>
      </c>
      <c r="M772">
        <v>2400</v>
      </c>
      <c r="N772">
        <v>0</v>
      </c>
    </row>
    <row r="773" spans="1:14" x14ac:dyDescent="0.25">
      <c r="A773">
        <v>189.52157600000001</v>
      </c>
      <c r="B773" s="1">
        <f>DATE(2010,11,6) + TIME(12,31,4)</f>
        <v>40488.521574074075</v>
      </c>
      <c r="C773">
        <v>1329.0106201000001</v>
      </c>
      <c r="D773">
        <v>1327.8558350000001</v>
      </c>
      <c r="E773">
        <v>1339.284668</v>
      </c>
      <c r="F773">
        <v>1336.5311279</v>
      </c>
      <c r="G773">
        <v>80</v>
      </c>
      <c r="H773">
        <v>79.041297912999994</v>
      </c>
      <c r="I773">
        <v>50</v>
      </c>
      <c r="J773">
        <v>49.959362030000001</v>
      </c>
      <c r="K773">
        <v>0</v>
      </c>
      <c r="L773">
        <v>2400</v>
      </c>
      <c r="M773">
        <v>2400</v>
      </c>
      <c r="N773">
        <v>0</v>
      </c>
    </row>
    <row r="774" spans="1:14" x14ac:dyDescent="0.25">
      <c r="A774">
        <v>189.77020999999999</v>
      </c>
      <c r="B774" s="1">
        <f>DATE(2010,11,6) + TIME(18,29,6)</f>
        <v>40488.770208333335</v>
      </c>
      <c r="C774">
        <v>1328.9932861</v>
      </c>
      <c r="D774">
        <v>1327.8312988</v>
      </c>
      <c r="E774">
        <v>1339.2713623</v>
      </c>
      <c r="F774">
        <v>1336.5222168</v>
      </c>
      <c r="G774">
        <v>80</v>
      </c>
      <c r="H774">
        <v>79.006164550999998</v>
      </c>
      <c r="I774">
        <v>50</v>
      </c>
      <c r="J774">
        <v>49.959598540999998</v>
      </c>
      <c r="K774">
        <v>0</v>
      </c>
      <c r="L774">
        <v>2400</v>
      </c>
      <c r="M774">
        <v>2400</v>
      </c>
      <c r="N774">
        <v>0</v>
      </c>
    </row>
    <row r="775" spans="1:14" x14ac:dyDescent="0.25">
      <c r="A775">
        <v>190.02659399999999</v>
      </c>
      <c r="B775" s="1">
        <f>DATE(2010,11,7) + TIME(0,38,17)</f>
        <v>40489.026585648149</v>
      </c>
      <c r="C775">
        <v>1328.9755858999999</v>
      </c>
      <c r="D775">
        <v>1327.8062743999999</v>
      </c>
      <c r="E775">
        <v>1339.2579346</v>
      </c>
      <c r="F775">
        <v>1336.5131836</v>
      </c>
      <c r="G775">
        <v>80</v>
      </c>
      <c r="H775">
        <v>78.970252990999995</v>
      </c>
      <c r="I775">
        <v>50</v>
      </c>
      <c r="J775">
        <v>49.959789276000002</v>
      </c>
      <c r="K775">
        <v>0</v>
      </c>
      <c r="L775">
        <v>2400</v>
      </c>
      <c r="M775">
        <v>2400</v>
      </c>
      <c r="N775">
        <v>0</v>
      </c>
    </row>
    <row r="776" spans="1:14" x14ac:dyDescent="0.25">
      <c r="A776">
        <v>190.29003499999999</v>
      </c>
      <c r="B776" s="1">
        <f>DATE(2010,11,7) + TIME(6,57,39)</f>
        <v>40489.290034722224</v>
      </c>
      <c r="C776">
        <v>1328.9575195</v>
      </c>
      <c r="D776">
        <v>1327.7808838000001</v>
      </c>
      <c r="E776">
        <v>1339.2443848</v>
      </c>
      <c r="F776">
        <v>1336.5041504000001</v>
      </c>
      <c r="G776">
        <v>80</v>
      </c>
      <c r="H776">
        <v>78.933631896999998</v>
      </c>
      <c r="I776">
        <v>50</v>
      </c>
      <c r="J776">
        <v>49.959941864000001</v>
      </c>
      <c r="K776">
        <v>0</v>
      </c>
      <c r="L776">
        <v>2400</v>
      </c>
      <c r="M776">
        <v>2400</v>
      </c>
      <c r="N776">
        <v>0</v>
      </c>
    </row>
    <row r="777" spans="1:14" x14ac:dyDescent="0.25">
      <c r="A777">
        <v>190.561961</v>
      </c>
      <c r="B777" s="1">
        <f>DATE(2010,11,7) + TIME(13,29,13)</f>
        <v>40489.561956018515</v>
      </c>
      <c r="C777">
        <v>1328.9392089999999</v>
      </c>
      <c r="D777">
        <v>1327.7550048999999</v>
      </c>
      <c r="E777">
        <v>1339.230957</v>
      </c>
      <c r="F777">
        <v>1336.4951172000001</v>
      </c>
      <c r="G777">
        <v>80</v>
      </c>
      <c r="H777">
        <v>78.896163939999994</v>
      </c>
      <c r="I777">
        <v>50</v>
      </c>
      <c r="J777">
        <v>49.960063933999997</v>
      </c>
      <c r="K777">
        <v>0</v>
      </c>
      <c r="L777">
        <v>2400</v>
      </c>
      <c r="M777">
        <v>2400</v>
      </c>
      <c r="N777">
        <v>0</v>
      </c>
    </row>
    <row r="778" spans="1:14" x14ac:dyDescent="0.25">
      <c r="A778">
        <v>190.84403499999999</v>
      </c>
      <c r="B778" s="1">
        <f>DATE(2010,11,7) + TIME(20,15,24)</f>
        <v>40489.844027777777</v>
      </c>
      <c r="C778">
        <v>1328.9205322</v>
      </c>
      <c r="D778">
        <v>1327.7286377</v>
      </c>
      <c r="E778">
        <v>1339.2174072</v>
      </c>
      <c r="F778">
        <v>1336.4860839999999</v>
      </c>
      <c r="G778">
        <v>80</v>
      </c>
      <c r="H778">
        <v>78.857696532999995</v>
      </c>
      <c r="I778">
        <v>50</v>
      </c>
      <c r="J778">
        <v>49.960163115999997</v>
      </c>
      <c r="K778">
        <v>0</v>
      </c>
      <c r="L778">
        <v>2400</v>
      </c>
      <c r="M778">
        <v>2400</v>
      </c>
      <c r="N778">
        <v>0</v>
      </c>
    </row>
    <row r="779" spans="1:14" x14ac:dyDescent="0.25">
      <c r="A779">
        <v>191.13804300000001</v>
      </c>
      <c r="B779" s="1">
        <f>DATE(2010,11,8) + TIME(3,18,46)</f>
        <v>40490.138032407405</v>
      </c>
      <c r="C779">
        <v>1328.9013672000001</v>
      </c>
      <c r="D779">
        <v>1327.7016602000001</v>
      </c>
      <c r="E779">
        <v>1339.2037353999999</v>
      </c>
      <c r="F779">
        <v>1336.4770507999999</v>
      </c>
      <c r="G779">
        <v>80</v>
      </c>
      <c r="H779">
        <v>78.818038939999994</v>
      </c>
      <c r="I779">
        <v>50</v>
      </c>
      <c r="J779">
        <v>49.96023941</v>
      </c>
      <c r="K779">
        <v>0</v>
      </c>
      <c r="L779">
        <v>2400</v>
      </c>
      <c r="M779">
        <v>2400</v>
      </c>
      <c r="N779">
        <v>0</v>
      </c>
    </row>
    <row r="780" spans="1:14" x14ac:dyDescent="0.25">
      <c r="A780">
        <v>191.446031</v>
      </c>
      <c r="B780" s="1">
        <f>DATE(2010,11,8) + TIME(10,42,17)</f>
        <v>40490.446030092593</v>
      </c>
      <c r="C780">
        <v>1328.8815918</v>
      </c>
      <c r="D780">
        <v>1327.6738281</v>
      </c>
      <c r="E780">
        <v>1339.1900635</v>
      </c>
      <c r="F780">
        <v>1336.4680175999999</v>
      </c>
      <c r="G780">
        <v>80</v>
      </c>
      <c r="H780">
        <v>78.776992797999995</v>
      </c>
      <c r="I780">
        <v>50</v>
      </c>
      <c r="J780">
        <v>49.960300445999998</v>
      </c>
      <c r="K780">
        <v>0</v>
      </c>
      <c r="L780">
        <v>2400</v>
      </c>
      <c r="M780">
        <v>2400</v>
      </c>
      <c r="N780">
        <v>0</v>
      </c>
    </row>
    <row r="781" spans="1:14" x14ac:dyDescent="0.25">
      <c r="A781">
        <v>191.76809700000001</v>
      </c>
      <c r="B781" s="1">
        <f>DATE(2010,11,8) + TIME(18,26,3)</f>
        <v>40490.768090277779</v>
      </c>
      <c r="C781">
        <v>1328.8612060999999</v>
      </c>
      <c r="D781">
        <v>1327.6451416</v>
      </c>
      <c r="E781">
        <v>1339.1761475000001</v>
      </c>
      <c r="F781">
        <v>1336.4587402</v>
      </c>
      <c r="G781">
        <v>80</v>
      </c>
      <c r="H781">
        <v>78.734542847</v>
      </c>
      <c r="I781">
        <v>50</v>
      </c>
      <c r="J781">
        <v>49.960346221999998</v>
      </c>
      <c r="K781">
        <v>0</v>
      </c>
      <c r="L781">
        <v>2400</v>
      </c>
      <c r="M781">
        <v>2400</v>
      </c>
      <c r="N781">
        <v>0</v>
      </c>
    </row>
    <row r="782" spans="1:14" x14ac:dyDescent="0.25">
      <c r="A782">
        <v>192.10427799999999</v>
      </c>
      <c r="B782" s="1">
        <f>DATE(2010,11,9) + TIME(2,30,9)</f>
        <v>40491.104270833333</v>
      </c>
      <c r="C782">
        <v>1328.8400879000001</v>
      </c>
      <c r="D782">
        <v>1327.6156006000001</v>
      </c>
      <c r="E782">
        <v>1339.1621094</v>
      </c>
      <c r="F782">
        <v>1336.4494629000001</v>
      </c>
      <c r="G782">
        <v>80</v>
      </c>
      <c r="H782">
        <v>78.690673828000001</v>
      </c>
      <c r="I782">
        <v>50</v>
      </c>
      <c r="J782">
        <v>49.960376740000001</v>
      </c>
      <c r="K782">
        <v>0</v>
      </c>
      <c r="L782">
        <v>2400</v>
      </c>
      <c r="M782">
        <v>2400</v>
      </c>
      <c r="N782">
        <v>0</v>
      </c>
    </row>
    <row r="783" spans="1:14" x14ac:dyDescent="0.25">
      <c r="A783">
        <v>192.448982</v>
      </c>
      <c r="B783" s="1">
        <f>DATE(2010,11,9) + TIME(10,46,32)</f>
        <v>40491.448981481481</v>
      </c>
      <c r="C783">
        <v>1328.8183594</v>
      </c>
      <c r="D783">
        <v>1327.5852050999999</v>
      </c>
      <c r="E783">
        <v>1339.1479492000001</v>
      </c>
      <c r="F783">
        <v>1336.4401855000001</v>
      </c>
      <c r="G783">
        <v>80</v>
      </c>
      <c r="H783">
        <v>78.645919800000001</v>
      </c>
      <c r="I783">
        <v>50</v>
      </c>
      <c r="J783">
        <v>49.960395812999998</v>
      </c>
      <c r="K783">
        <v>0</v>
      </c>
      <c r="L783">
        <v>2400</v>
      </c>
      <c r="M783">
        <v>2400</v>
      </c>
      <c r="N783">
        <v>0</v>
      </c>
    </row>
    <row r="784" spans="1:14" x14ac:dyDescent="0.25">
      <c r="A784">
        <v>192.80430999999999</v>
      </c>
      <c r="B784" s="1">
        <f>DATE(2010,11,9) + TIME(19,18,12)</f>
        <v>40491.804305555554</v>
      </c>
      <c r="C784">
        <v>1328.7963867000001</v>
      </c>
      <c r="D784">
        <v>1327.5543213000001</v>
      </c>
      <c r="E784">
        <v>1339.1340332</v>
      </c>
      <c r="F784">
        <v>1336.4310303</v>
      </c>
      <c r="G784">
        <v>80</v>
      </c>
      <c r="H784">
        <v>78.600135803000001</v>
      </c>
      <c r="I784">
        <v>50</v>
      </c>
      <c r="J784">
        <v>49.960403442</v>
      </c>
      <c r="K784">
        <v>0</v>
      </c>
      <c r="L784">
        <v>2400</v>
      </c>
      <c r="M784">
        <v>2400</v>
      </c>
      <c r="N784">
        <v>0</v>
      </c>
    </row>
    <row r="785" spans="1:14" x14ac:dyDescent="0.25">
      <c r="A785">
        <v>193.16772700000001</v>
      </c>
      <c r="B785" s="1">
        <f>DATE(2010,11,10) + TIME(4,1,31)</f>
        <v>40492.167719907404</v>
      </c>
      <c r="C785">
        <v>1328.7739257999999</v>
      </c>
      <c r="D785">
        <v>1327.5229492000001</v>
      </c>
      <c r="E785">
        <v>1339.1201172000001</v>
      </c>
      <c r="F785">
        <v>1336.4219971</v>
      </c>
      <c r="G785">
        <v>80</v>
      </c>
      <c r="H785">
        <v>78.553588867000002</v>
      </c>
      <c r="I785">
        <v>50</v>
      </c>
      <c r="J785">
        <v>49.960407257</v>
      </c>
      <c r="K785">
        <v>0</v>
      </c>
      <c r="L785">
        <v>2400</v>
      </c>
      <c r="M785">
        <v>2400</v>
      </c>
      <c r="N785">
        <v>0</v>
      </c>
    </row>
    <row r="786" spans="1:14" x14ac:dyDescent="0.25">
      <c r="A786">
        <v>193.53654499999999</v>
      </c>
      <c r="B786" s="1">
        <f>DATE(2010,11,10) + TIME(12,52,37)</f>
        <v>40492.536539351851</v>
      </c>
      <c r="C786">
        <v>1328.7510986</v>
      </c>
      <c r="D786">
        <v>1327.4910889</v>
      </c>
      <c r="E786">
        <v>1339.1064452999999</v>
      </c>
      <c r="F786">
        <v>1336.4130858999999</v>
      </c>
      <c r="G786">
        <v>80</v>
      </c>
      <c r="H786">
        <v>78.506553650000001</v>
      </c>
      <c r="I786">
        <v>50</v>
      </c>
      <c r="J786">
        <v>49.960399627999998</v>
      </c>
      <c r="K786">
        <v>0</v>
      </c>
      <c r="L786">
        <v>2400</v>
      </c>
      <c r="M786">
        <v>2400</v>
      </c>
      <c r="N786">
        <v>0</v>
      </c>
    </row>
    <row r="787" spans="1:14" x14ac:dyDescent="0.25">
      <c r="A787">
        <v>193.913028</v>
      </c>
      <c r="B787" s="1">
        <f>DATE(2010,11,10) + TIME(21,54,45)</f>
        <v>40492.91302083333</v>
      </c>
      <c r="C787">
        <v>1328.7281493999999</v>
      </c>
      <c r="D787">
        <v>1327.4591064000001</v>
      </c>
      <c r="E787">
        <v>1339.0931396000001</v>
      </c>
      <c r="F787">
        <v>1336.4044189000001</v>
      </c>
      <c r="G787">
        <v>80</v>
      </c>
      <c r="H787">
        <v>78.458908081000004</v>
      </c>
      <c r="I787">
        <v>50</v>
      </c>
      <c r="J787">
        <v>49.960384369000003</v>
      </c>
      <c r="K787">
        <v>0</v>
      </c>
      <c r="L787">
        <v>2400</v>
      </c>
      <c r="M787">
        <v>2400</v>
      </c>
      <c r="N787">
        <v>0</v>
      </c>
    </row>
    <row r="788" spans="1:14" x14ac:dyDescent="0.25">
      <c r="A788">
        <v>194.2978</v>
      </c>
      <c r="B788" s="1">
        <f>DATE(2010,11,11) + TIME(7,8,49)</f>
        <v>40493.297789351855</v>
      </c>
      <c r="C788">
        <v>1328.7050781</v>
      </c>
      <c r="D788">
        <v>1327.4267577999999</v>
      </c>
      <c r="E788">
        <v>1339.0799560999999</v>
      </c>
      <c r="F788">
        <v>1336.395874</v>
      </c>
      <c r="G788">
        <v>80</v>
      </c>
      <c r="H788">
        <v>78.410629271999994</v>
      </c>
      <c r="I788">
        <v>50</v>
      </c>
      <c r="J788">
        <v>49.960369110000002</v>
      </c>
      <c r="K788">
        <v>0</v>
      </c>
      <c r="L788">
        <v>2400</v>
      </c>
      <c r="M788">
        <v>2400</v>
      </c>
      <c r="N788">
        <v>0</v>
      </c>
    </row>
    <row r="789" spans="1:14" x14ac:dyDescent="0.25">
      <c r="A789">
        <v>194.69070099999999</v>
      </c>
      <c r="B789" s="1">
        <f>DATE(2010,11,11) + TIME(16,34,36)</f>
        <v>40493.690694444442</v>
      </c>
      <c r="C789">
        <v>1328.6816406</v>
      </c>
      <c r="D789">
        <v>1327.3941649999999</v>
      </c>
      <c r="E789">
        <v>1339.0668945</v>
      </c>
      <c r="F789">
        <v>1336.3875731999999</v>
      </c>
      <c r="G789">
        <v>80</v>
      </c>
      <c r="H789">
        <v>78.361747742000006</v>
      </c>
      <c r="I789">
        <v>50</v>
      </c>
      <c r="J789">
        <v>49.960346221999998</v>
      </c>
      <c r="K789">
        <v>0</v>
      </c>
      <c r="L789">
        <v>2400</v>
      </c>
      <c r="M789">
        <v>2400</v>
      </c>
      <c r="N789">
        <v>0</v>
      </c>
    </row>
    <row r="790" spans="1:14" x14ac:dyDescent="0.25">
      <c r="A790">
        <v>195.09388899999999</v>
      </c>
      <c r="B790" s="1">
        <f>DATE(2010,11,12) + TIME(2,15,12)</f>
        <v>40494.093888888892</v>
      </c>
      <c r="C790">
        <v>1328.6579589999999</v>
      </c>
      <c r="D790">
        <v>1327.3610839999999</v>
      </c>
      <c r="E790">
        <v>1339.0541992000001</v>
      </c>
      <c r="F790">
        <v>1336.3792725000001</v>
      </c>
      <c r="G790">
        <v>80</v>
      </c>
      <c r="H790">
        <v>78.312095642000003</v>
      </c>
      <c r="I790">
        <v>50</v>
      </c>
      <c r="J790">
        <v>49.960323334000002</v>
      </c>
      <c r="K790">
        <v>0</v>
      </c>
      <c r="L790">
        <v>2400</v>
      </c>
      <c r="M790">
        <v>2400</v>
      </c>
      <c r="N790">
        <v>0</v>
      </c>
    </row>
    <row r="791" spans="1:14" x14ac:dyDescent="0.25">
      <c r="A791">
        <v>195.509659</v>
      </c>
      <c r="B791" s="1">
        <f>DATE(2010,11,12) + TIME(12,13,54)</f>
        <v>40494.509652777779</v>
      </c>
      <c r="C791">
        <v>1328.6339111</v>
      </c>
      <c r="D791">
        <v>1327.3276367000001</v>
      </c>
      <c r="E791">
        <v>1339.0415039</v>
      </c>
      <c r="F791">
        <v>1336.3712158000001</v>
      </c>
      <c r="G791">
        <v>80</v>
      </c>
      <c r="H791">
        <v>78.261489867999998</v>
      </c>
      <c r="I791">
        <v>50</v>
      </c>
      <c r="J791">
        <v>49.960296630999999</v>
      </c>
      <c r="K791">
        <v>0</v>
      </c>
      <c r="L791">
        <v>2400</v>
      </c>
      <c r="M791">
        <v>2400</v>
      </c>
      <c r="N791">
        <v>0</v>
      </c>
    </row>
    <row r="792" spans="1:14" x14ac:dyDescent="0.25">
      <c r="A792">
        <v>195.940549</v>
      </c>
      <c r="B792" s="1">
        <f>DATE(2010,11,12) + TIME(22,34,23)</f>
        <v>40494.94054398148</v>
      </c>
      <c r="C792">
        <v>1328.6094971</v>
      </c>
      <c r="D792">
        <v>1327.2935791</v>
      </c>
      <c r="E792">
        <v>1339.0288086</v>
      </c>
      <c r="F792">
        <v>1336.3631591999999</v>
      </c>
      <c r="G792">
        <v>80</v>
      </c>
      <c r="H792">
        <v>78.209693908999995</v>
      </c>
      <c r="I792">
        <v>50</v>
      </c>
      <c r="J792">
        <v>49.960266113000003</v>
      </c>
      <c r="K792">
        <v>0</v>
      </c>
      <c r="L792">
        <v>2400</v>
      </c>
      <c r="M792">
        <v>2400</v>
      </c>
      <c r="N792">
        <v>0</v>
      </c>
    </row>
    <row r="793" spans="1:14" x14ac:dyDescent="0.25">
      <c r="A793">
        <v>196.38710399999999</v>
      </c>
      <c r="B793" s="1">
        <f>DATE(2010,11,13) + TIME(9,17,25)</f>
        <v>40495.387094907404</v>
      </c>
      <c r="C793">
        <v>1328.5844727000001</v>
      </c>
      <c r="D793">
        <v>1327.2587891000001</v>
      </c>
      <c r="E793">
        <v>1339.0162353999999</v>
      </c>
      <c r="F793">
        <v>1336.3551024999999</v>
      </c>
      <c r="G793">
        <v>80</v>
      </c>
      <c r="H793">
        <v>78.156639099000003</v>
      </c>
      <c r="I793">
        <v>50</v>
      </c>
      <c r="J793">
        <v>49.960235595999997</v>
      </c>
      <c r="K793">
        <v>0</v>
      </c>
      <c r="L793">
        <v>2400</v>
      </c>
      <c r="M793">
        <v>2400</v>
      </c>
      <c r="N793">
        <v>0</v>
      </c>
    </row>
    <row r="794" spans="1:14" x14ac:dyDescent="0.25">
      <c r="A794">
        <v>196.84818899999999</v>
      </c>
      <c r="B794" s="1">
        <f>DATE(2010,11,13) + TIME(20,21,23)</f>
        <v>40495.848182870373</v>
      </c>
      <c r="C794">
        <v>1328.5588379000001</v>
      </c>
      <c r="D794">
        <v>1327.2232666</v>
      </c>
      <c r="E794">
        <v>1339.0035399999999</v>
      </c>
      <c r="F794">
        <v>1336.347168</v>
      </c>
      <c r="G794">
        <v>80</v>
      </c>
      <c r="H794">
        <v>78.102371215999995</v>
      </c>
      <c r="I794">
        <v>50</v>
      </c>
      <c r="J794">
        <v>49.960201263000002</v>
      </c>
      <c r="K794">
        <v>0</v>
      </c>
      <c r="L794">
        <v>2400</v>
      </c>
      <c r="M794">
        <v>2400</v>
      </c>
      <c r="N794">
        <v>0</v>
      </c>
    </row>
    <row r="795" spans="1:14" x14ac:dyDescent="0.25">
      <c r="A795">
        <v>197.32125600000001</v>
      </c>
      <c r="B795" s="1">
        <f>DATE(2010,11,14) + TIME(7,42,36)</f>
        <v>40496.321250000001</v>
      </c>
      <c r="C795">
        <v>1328.5325928</v>
      </c>
      <c r="D795">
        <v>1327.1870117000001</v>
      </c>
      <c r="E795">
        <v>1338.9909668</v>
      </c>
      <c r="F795">
        <v>1336.3392334</v>
      </c>
      <c r="G795">
        <v>80</v>
      </c>
      <c r="H795">
        <v>78.047080993999998</v>
      </c>
      <c r="I795">
        <v>50</v>
      </c>
      <c r="J795">
        <v>49.960166931000003</v>
      </c>
      <c r="K795">
        <v>0</v>
      </c>
      <c r="L795">
        <v>2400</v>
      </c>
      <c r="M795">
        <v>2400</v>
      </c>
      <c r="N795">
        <v>0</v>
      </c>
    </row>
    <row r="796" spans="1:14" x14ac:dyDescent="0.25">
      <c r="A796">
        <v>197.80418</v>
      </c>
      <c r="B796" s="1">
        <f>DATE(2010,11,14) + TIME(19,18,1)</f>
        <v>40496.804178240738</v>
      </c>
      <c r="C796">
        <v>1328.5061035000001</v>
      </c>
      <c r="D796">
        <v>1327.1502685999999</v>
      </c>
      <c r="E796">
        <v>1338.9785156</v>
      </c>
      <c r="F796">
        <v>1336.3312988</v>
      </c>
      <c r="G796">
        <v>80</v>
      </c>
      <c r="H796">
        <v>77.990959167</v>
      </c>
      <c r="I796">
        <v>50</v>
      </c>
      <c r="J796">
        <v>49.960132598999998</v>
      </c>
      <c r="K796">
        <v>0</v>
      </c>
      <c r="L796">
        <v>2400</v>
      </c>
      <c r="M796">
        <v>2400</v>
      </c>
      <c r="N796">
        <v>0</v>
      </c>
    </row>
    <row r="797" spans="1:14" x14ac:dyDescent="0.25">
      <c r="A797">
        <v>198.29978</v>
      </c>
      <c r="B797" s="1">
        <f>DATE(2010,11,15) + TIME(7,11,41)</f>
        <v>40497.299780092595</v>
      </c>
      <c r="C797">
        <v>1328.4792480000001</v>
      </c>
      <c r="D797">
        <v>1327.1130370999999</v>
      </c>
      <c r="E797">
        <v>1338.9661865</v>
      </c>
      <c r="F797">
        <v>1336.3237305</v>
      </c>
      <c r="G797">
        <v>80</v>
      </c>
      <c r="H797">
        <v>77.933876037999994</v>
      </c>
      <c r="I797">
        <v>50</v>
      </c>
      <c r="J797">
        <v>49.960098266999999</v>
      </c>
      <c r="K797">
        <v>0</v>
      </c>
      <c r="L797">
        <v>2400</v>
      </c>
      <c r="M797">
        <v>2400</v>
      </c>
      <c r="N797">
        <v>0</v>
      </c>
    </row>
    <row r="798" spans="1:14" x14ac:dyDescent="0.25">
      <c r="A798">
        <v>198.80678700000001</v>
      </c>
      <c r="B798" s="1">
        <f>DATE(2010,11,15) + TIME(19,21,46)</f>
        <v>40497.80678240741</v>
      </c>
      <c r="C798">
        <v>1328.4520264</v>
      </c>
      <c r="D798">
        <v>1327.0754394999999</v>
      </c>
      <c r="E798">
        <v>1338.9539795000001</v>
      </c>
      <c r="F798">
        <v>1336.3160399999999</v>
      </c>
      <c r="G798">
        <v>80</v>
      </c>
      <c r="H798">
        <v>77.875907897999994</v>
      </c>
      <c r="I798">
        <v>50</v>
      </c>
      <c r="J798">
        <v>49.960063933999997</v>
      </c>
      <c r="K798">
        <v>0</v>
      </c>
      <c r="L798">
        <v>2400</v>
      </c>
      <c r="M798">
        <v>2400</v>
      </c>
      <c r="N798">
        <v>0</v>
      </c>
    </row>
    <row r="799" spans="1:14" x14ac:dyDescent="0.25">
      <c r="A799">
        <v>199.32299699999999</v>
      </c>
      <c r="B799" s="1">
        <f>DATE(2010,11,16) + TIME(7,45,6)</f>
        <v>40498.32298611111</v>
      </c>
      <c r="C799">
        <v>1328.4244385</v>
      </c>
      <c r="D799">
        <v>1327.0372314000001</v>
      </c>
      <c r="E799">
        <v>1338.9418945</v>
      </c>
      <c r="F799">
        <v>1336.3085937999999</v>
      </c>
      <c r="G799">
        <v>80</v>
      </c>
      <c r="H799">
        <v>77.817245482999994</v>
      </c>
      <c r="I799">
        <v>50</v>
      </c>
      <c r="J799">
        <v>49.960029601999999</v>
      </c>
      <c r="K799">
        <v>0</v>
      </c>
      <c r="L799">
        <v>2400</v>
      </c>
      <c r="M799">
        <v>2400</v>
      </c>
      <c r="N799">
        <v>0</v>
      </c>
    </row>
    <row r="800" spans="1:14" x14ac:dyDescent="0.25">
      <c r="A800">
        <v>199.84962100000001</v>
      </c>
      <c r="B800" s="1">
        <f>DATE(2010,11,16) + TIME(20,23,27)</f>
        <v>40498.849618055552</v>
      </c>
      <c r="C800">
        <v>1328.3966064000001</v>
      </c>
      <c r="D800">
        <v>1326.9989014</v>
      </c>
      <c r="E800">
        <v>1338.9300536999999</v>
      </c>
      <c r="F800">
        <v>1336.3012695</v>
      </c>
      <c r="G800">
        <v>80</v>
      </c>
      <c r="H800">
        <v>77.757843018000003</v>
      </c>
      <c r="I800">
        <v>50</v>
      </c>
      <c r="J800">
        <v>49.95999527</v>
      </c>
      <c r="K800">
        <v>0</v>
      </c>
      <c r="L800">
        <v>2400</v>
      </c>
      <c r="M800">
        <v>2400</v>
      </c>
      <c r="N800">
        <v>0</v>
      </c>
    </row>
    <row r="801" spans="1:14" x14ac:dyDescent="0.25">
      <c r="A801">
        <v>200.385842</v>
      </c>
      <c r="B801" s="1">
        <f>DATE(2010,11,17) + TIME(9,15,36)</f>
        <v>40499.385833333334</v>
      </c>
      <c r="C801">
        <v>1328.3685303</v>
      </c>
      <c r="D801">
        <v>1326.9602050999999</v>
      </c>
      <c r="E801">
        <v>1338.9183350000001</v>
      </c>
      <c r="F801">
        <v>1336.2940673999999</v>
      </c>
      <c r="G801">
        <v>80</v>
      </c>
      <c r="H801">
        <v>77.697769164999997</v>
      </c>
      <c r="I801">
        <v>50</v>
      </c>
      <c r="J801">
        <v>49.959960938000002</v>
      </c>
      <c r="K801">
        <v>0</v>
      </c>
      <c r="L801">
        <v>2400</v>
      </c>
      <c r="M801">
        <v>2400</v>
      </c>
      <c r="N801">
        <v>0</v>
      </c>
    </row>
    <row r="802" spans="1:14" x14ac:dyDescent="0.25">
      <c r="A802">
        <v>200.93409299999999</v>
      </c>
      <c r="B802" s="1">
        <f>DATE(2010,11,17) + TIME(22,25,5)</f>
        <v>40499.93408564815</v>
      </c>
      <c r="C802">
        <v>1328.3402100000001</v>
      </c>
      <c r="D802">
        <v>1326.9211425999999</v>
      </c>
      <c r="E802">
        <v>1338.9067382999999</v>
      </c>
      <c r="F802">
        <v>1336.2871094</v>
      </c>
      <c r="G802">
        <v>80</v>
      </c>
      <c r="H802">
        <v>77.636878967000001</v>
      </c>
      <c r="I802">
        <v>50</v>
      </c>
      <c r="J802">
        <v>49.959926605</v>
      </c>
      <c r="K802">
        <v>0</v>
      </c>
      <c r="L802">
        <v>2400</v>
      </c>
      <c r="M802">
        <v>2400</v>
      </c>
      <c r="N802">
        <v>0</v>
      </c>
    </row>
    <row r="803" spans="1:14" x14ac:dyDescent="0.25">
      <c r="A803">
        <v>201.49746099999999</v>
      </c>
      <c r="B803" s="1">
        <f>DATE(2010,11,18) + TIME(11,56,20)</f>
        <v>40500.497453703705</v>
      </c>
      <c r="C803">
        <v>1328.3116454999999</v>
      </c>
      <c r="D803">
        <v>1326.8818358999999</v>
      </c>
      <c r="E803">
        <v>1338.8953856999999</v>
      </c>
      <c r="F803">
        <v>1336.2801514</v>
      </c>
      <c r="G803">
        <v>80</v>
      </c>
      <c r="H803">
        <v>77.574943542</v>
      </c>
      <c r="I803">
        <v>50</v>
      </c>
      <c r="J803">
        <v>49.959892273000001</v>
      </c>
      <c r="K803">
        <v>0</v>
      </c>
      <c r="L803">
        <v>2400</v>
      </c>
      <c r="M803">
        <v>2400</v>
      </c>
      <c r="N803">
        <v>0</v>
      </c>
    </row>
    <row r="804" spans="1:14" x14ac:dyDescent="0.25">
      <c r="A804">
        <v>202.074656</v>
      </c>
      <c r="B804" s="1">
        <f>DATE(2010,11,19) + TIME(1,47,30)</f>
        <v>40501.074652777781</v>
      </c>
      <c r="C804">
        <v>1328.2827147999999</v>
      </c>
      <c r="D804">
        <v>1326.8419189000001</v>
      </c>
      <c r="E804">
        <v>1338.8840332</v>
      </c>
      <c r="F804">
        <v>1336.2731934000001</v>
      </c>
      <c r="G804">
        <v>80</v>
      </c>
      <c r="H804">
        <v>77.511970520000006</v>
      </c>
      <c r="I804">
        <v>50</v>
      </c>
      <c r="J804">
        <v>49.959861754999999</v>
      </c>
      <c r="K804">
        <v>0</v>
      </c>
      <c r="L804">
        <v>2400</v>
      </c>
      <c r="M804">
        <v>2400</v>
      </c>
      <c r="N804">
        <v>0</v>
      </c>
    </row>
    <row r="805" spans="1:14" x14ac:dyDescent="0.25">
      <c r="A805">
        <v>202.66130000000001</v>
      </c>
      <c r="B805" s="1">
        <f>DATE(2010,11,19) + TIME(15,52,16)</f>
        <v>40501.661296296297</v>
      </c>
      <c r="C805">
        <v>1328.2532959</v>
      </c>
      <c r="D805">
        <v>1326.8015137</v>
      </c>
      <c r="E805">
        <v>1338.8726807</v>
      </c>
      <c r="F805">
        <v>1336.2664795000001</v>
      </c>
      <c r="G805">
        <v>80</v>
      </c>
      <c r="H805">
        <v>77.448188782000003</v>
      </c>
      <c r="I805">
        <v>50</v>
      </c>
      <c r="J805">
        <v>49.959831238</v>
      </c>
      <c r="K805">
        <v>0</v>
      </c>
      <c r="L805">
        <v>2400</v>
      </c>
      <c r="M805">
        <v>2400</v>
      </c>
      <c r="N805">
        <v>0</v>
      </c>
    </row>
    <row r="806" spans="1:14" x14ac:dyDescent="0.25">
      <c r="A806">
        <v>203.26096899999999</v>
      </c>
      <c r="B806" s="1">
        <f>DATE(2010,11,20) + TIME(6,15,47)</f>
        <v>40502.260960648149</v>
      </c>
      <c r="C806">
        <v>1328.2237548999999</v>
      </c>
      <c r="D806">
        <v>1326.7609863</v>
      </c>
      <c r="E806">
        <v>1338.8615723</v>
      </c>
      <c r="F806">
        <v>1336.2597656</v>
      </c>
      <c r="G806">
        <v>80</v>
      </c>
      <c r="H806">
        <v>77.383445739999999</v>
      </c>
      <c r="I806">
        <v>50</v>
      </c>
      <c r="J806">
        <v>49.959800719999997</v>
      </c>
      <c r="K806">
        <v>0</v>
      </c>
      <c r="L806">
        <v>2400</v>
      </c>
      <c r="M806">
        <v>2400</v>
      </c>
      <c r="N806">
        <v>0</v>
      </c>
    </row>
    <row r="807" spans="1:14" x14ac:dyDescent="0.25">
      <c r="A807">
        <v>203.87734399999999</v>
      </c>
      <c r="B807" s="1">
        <f>DATE(2010,11,20) + TIME(21,3,22)</f>
        <v>40502.877337962964</v>
      </c>
      <c r="C807">
        <v>1328.1938477000001</v>
      </c>
      <c r="D807">
        <v>1326.7199707</v>
      </c>
      <c r="E807">
        <v>1338.8505858999999</v>
      </c>
      <c r="F807">
        <v>1336.2531738</v>
      </c>
      <c r="G807">
        <v>80</v>
      </c>
      <c r="H807">
        <v>77.317504882999998</v>
      </c>
      <c r="I807">
        <v>50</v>
      </c>
      <c r="J807">
        <v>49.959770202999998</v>
      </c>
      <c r="K807">
        <v>0</v>
      </c>
      <c r="L807">
        <v>2400</v>
      </c>
      <c r="M807">
        <v>2400</v>
      </c>
      <c r="N807">
        <v>0</v>
      </c>
    </row>
    <row r="808" spans="1:14" x14ac:dyDescent="0.25">
      <c r="A808">
        <v>204.51443499999999</v>
      </c>
      <c r="B808" s="1">
        <f>DATE(2010,11,21) + TIME(12,20,47)</f>
        <v>40503.514432870368</v>
      </c>
      <c r="C808">
        <v>1328.1635742000001</v>
      </c>
      <c r="D808">
        <v>1326.6783447</v>
      </c>
      <c r="E808">
        <v>1338.8395995999999</v>
      </c>
      <c r="F808">
        <v>1336.2467041</v>
      </c>
      <c r="G808">
        <v>80</v>
      </c>
      <c r="H808">
        <v>77.250015258999994</v>
      </c>
      <c r="I808">
        <v>50</v>
      </c>
      <c r="J808">
        <v>49.959739685000002</v>
      </c>
      <c r="K808">
        <v>0</v>
      </c>
      <c r="L808">
        <v>2400</v>
      </c>
      <c r="M808">
        <v>2400</v>
      </c>
      <c r="N808">
        <v>0</v>
      </c>
    </row>
    <row r="809" spans="1:14" x14ac:dyDescent="0.25">
      <c r="A809">
        <v>205.17017899999999</v>
      </c>
      <c r="B809" s="1">
        <f>DATE(2010,11,22) + TIME(4,5,3)</f>
        <v>40504.170173611114</v>
      </c>
      <c r="C809">
        <v>1328.1326904</v>
      </c>
      <c r="D809">
        <v>1326.6361084</v>
      </c>
      <c r="E809">
        <v>1338.8286132999999</v>
      </c>
      <c r="F809">
        <v>1336.2402344</v>
      </c>
      <c r="G809">
        <v>80</v>
      </c>
      <c r="H809">
        <v>77.180946349999999</v>
      </c>
      <c r="I809">
        <v>50</v>
      </c>
      <c r="J809">
        <v>49.959712981999999</v>
      </c>
      <c r="K809">
        <v>0</v>
      </c>
      <c r="L809">
        <v>2400</v>
      </c>
      <c r="M809">
        <v>2400</v>
      </c>
      <c r="N809">
        <v>0</v>
      </c>
    </row>
    <row r="810" spans="1:14" x14ac:dyDescent="0.25">
      <c r="A810">
        <v>205.83285100000001</v>
      </c>
      <c r="B810" s="1">
        <f>DATE(2010,11,22) + TIME(19,59,18)</f>
        <v>40504.83284722222</v>
      </c>
      <c r="C810">
        <v>1328.1013184000001</v>
      </c>
      <c r="D810">
        <v>1326.5931396000001</v>
      </c>
      <c r="E810">
        <v>1338.817749</v>
      </c>
      <c r="F810">
        <v>1336.2337646000001</v>
      </c>
      <c r="G810">
        <v>80</v>
      </c>
      <c r="H810">
        <v>77.110877990999995</v>
      </c>
      <c r="I810">
        <v>50</v>
      </c>
      <c r="J810">
        <v>49.959686279000003</v>
      </c>
      <c r="K810">
        <v>0</v>
      </c>
      <c r="L810">
        <v>2400</v>
      </c>
      <c r="M810">
        <v>2400</v>
      </c>
      <c r="N810">
        <v>0</v>
      </c>
    </row>
    <row r="811" spans="1:14" x14ac:dyDescent="0.25">
      <c r="A811">
        <v>206.50615099999999</v>
      </c>
      <c r="B811" s="1">
        <f>DATE(2010,11,23) + TIME(12,8,51)</f>
        <v>40505.506145833337</v>
      </c>
      <c r="C811">
        <v>1328.0698242000001</v>
      </c>
      <c r="D811">
        <v>1326.5500488</v>
      </c>
      <c r="E811">
        <v>1338.8070068</v>
      </c>
      <c r="F811">
        <v>1336.2275391000001</v>
      </c>
      <c r="G811">
        <v>80</v>
      </c>
      <c r="H811">
        <v>77.039855957</v>
      </c>
      <c r="I811">
        <v>50</v>
      </c>
      <c r="J811">
        <v>49.959659576</v>
      </c>
      <c r="K811">
        <v>0</v>
      </c>
      <c r="L811">
        <v>2400</v>
      </c>
      <c r="M811">
        <v>2400</v>
      </c>
      <c r="N811">
        <v>0</v>
      </c>
    </row>
    <row r="812" spans="1:14" x14ac:dyDescent="0.25">
      <c r="A812">
        <v>207.192238</v>
      </c>
      <c r="B812" s="1">
        <f>DATE(2010,11,24) + TIME(4,36,49)</f>
        <v>40506.192233796297</v>
      </c>
      <c r="C812">
        <v>1328.0382079999999</v>
      </c>
      <c r="D812">
        <v>1326.5068358999999</v>
      </c>
      <c r="E812">
        <v>1338.7963867000001</v>
      </c>
      <c r="F812">
        <v>1336.2213135</v>
      </c>
      <c r="G812">
        <v>80</v>
      </c>
      <c r="H812">
        <v>76.967803954999994</v>
      </c>
      <c r="I812">
        <v>50</v>
      </c>
      <c r="J812">
        <v>49.959632874</v>
      </c>
      <c r="K812">
        <v>0</v>
      </c>
      <c r="L812">
        <v>2400</v>
      </c>
      <c r="M812">
        <v>2400</v>
      </c>
      <c r="N812">
        <v>0</v>
      </c>
    </row>
    <row r="813" spans="1:14" x14ac:dyDescent="0.25">
      <c r="A813">
        <v>207.894374</v>
      </c>
      <c r="B813" s="1">
        <f>DATE(2010,11,24) + TIME(21,27,53)</f>
        <v>40506.894363425927</v>
      </c>
      <c r="C813">
        <v>1328.0063477000001</v>
      </c>
      <c r="D813">
        <v>1326.4632568</v>
      </c>
      <c r="E813">
        <v>1338.7858887</v>
      </c>
      <c r="F813">
        <v>1336.215332</v>
      </c>
      <c r="G813">
        <v>80</v>
      </c>
      <c r="H813">
        <v>76.894485474000007</v>
      </c>
      <c r="I813">
        <v>50</v>
      </c>
      <c r="J813">
        <v>49.959609985</v>
      </c>
      <c r="K813">
        <v>0</v>
      </c>
      <c r="L813">
        <v>2400</v>
      </c>
      <c r="M813">
        <v>2400</v>
      </c>
      <c r="N813">
        <v>0</v>
      </c>
    </row>
    <row r="814" spans="1:14" x14ac:dyDescent="0.25">
      <c r="A814">
        <v>208.60807</v>
      </c>
      <c r="B814" s="1">
        <f>DATE(2010,11,25) + TIME(14,35,37)</f>
        <v>40507.608067129629</v>
      </c>
      <c r="C814">
        <v>1327.9741211</v>
      </c>
      <c r="D814">
        <v>1326.4194336</v>
      </c>
      <c r="E814">
        <v>1338.7755127</v>
      </c>
      <c r="F814">
        <v>1336.2093506000001</v>
      </c>
      <c r="G814">
        <v>80</v>
      </c>
      <c r="H814">
        <v>76.820014954000001</v>
      </c>
      <c r="I814">
        <v>50</v>
      </c>
      <c r="J814">
        <v>49.959587096999996</v>
      </c>
      <c r="K814">
        <v>0</v>
      </c>
      <c r="L814">
        <v>2400</v>
      </c>
      <c r="M814">
        <v>2400</v>
      </c>
      <c r="N814">
        <v>0</v>
      </c>
    </row>
    <row r="815" spans="1:14" x14ac:dyDescent="0.25">
      <c r="A815">
        <v>209.33534299999999</v>
      </c>
      <c r="B815" s="1">
        <f>DATE(2010,11,26) + TIME(8,2,53)</f>
        <v>40508.335335648146</v>
      </c>
      <c r="C815">
        <v>1327.9418945</v>
      </c>
      <c r="D815">
        <v>1326.3752440999999</v>
      </c>
      <c r="E815">
        <v>1338.7652588000001</v>
      </c>
      <c r="F815">
        <v>1336.2034911999999</v>
      </c>
      <c r="G815">
        <v>80</v>
      </c>
      <c r="H815">
        <v>76.744323730000005</v>
      </c>
      <c r="I815">
        <v>50</v>
      </c>
      <c r="J815">
        <v>49.959564209</v>
      </c>
      <c r="K815">
        <v>0</v>
      </c>
      <c r="L815">
        <v>2400</v>
      </c>
      <c r="M815">
        <v>2400</v>
      </c>
      <c r="N815">
        <v>0</v>
      </c>
    </row>
    <row r="816" spans="1:14" x14ac:dyDescent="0.25">
      <c r="A816">
        <v>210.07560100000001</v>
      </c>
      <c r="B816" s="1">
        <f>DATE(2010,11,27) + TIME(1,48,51)</f>
        <v>40509.075590277775</v>
      </c>
      <c r="C816">
        <v>1327.9093018000001</v>
      </c>
      <c r="D816">
        <v>1326.3309326000001</v>
      </c>
      <c r="E816">
        <v>1338.7551269999999</v>
      </c>
      <c r="F816">
        <v>1336.1976318</v>
      </c>
      <c r="G816">
        <v>80</v>
      </c>
      <c r="H816">
        <v>76.667381286999998</v>
      </c>
      <c r="I816">
        <v>50</v>
      </c>
      <c r="J816">
        <v>49.959545134999999</v>
      </c>
      <c r="K816">
        <v>0</v>
      </c>
      <c r="L816">
        <v>2400</v>
      </c>
      <c r="M816">
        <v>2400</v>
      </c>
      <c r="N816">
        <v>0</v>
      </c>
    </row>
    <row r="817" spans="1:14" x14ac:dyDescent="0.25">
      <c r="A817">
        <v>210.832943</v>
      </c>
      <c r="B817" s="1">
        <f>DATE(2010,11,27) + TIME(19,59,26)</f>
        <v>40509.832939814813</v>
      </c>
      <c r="C817">
        <v>1327.8765868999999</v>
      </c>
      <c r="D817">
        <v>1326.2862548999999</v>
      </c>
      <c r="E817">
        <v>1338.7451172000001</v>
      </c>
      <c r="F817">
        <v>1336.1920166</v>
      </c>
      <c r="G817">
        <v>80</v>
      </c>
      <c r="H817">
        <v>76.588973999000004</v>
      </c>
      <c r="I817">
        <v>50</v>
      </c>
      <c r="J817">
        <v>49.959522247000002</v>
      </c>
      <c r="K817">
        <v>0</v>
      </c>
      <c r="L817">
        <v>2400</v>
      </c>
      <c r="M817">
        <v>2400</v>
      </c>
      <c r="N817">
        <v>0</v>
      </c>
    </row>
    <row r="818" spans="1:14" x14ac:dyDescent="0.25">
      <c r="A818">
        <v>211.61225099999999</v>
      </c>
      <c r="B818" s="1">
        <f>DATE(2010,11,28) + TIME(14,41,38)</f>
        <v>40510.612245370372</v>
      </c>
      <c r="C818">
        <v>1327.8435059000001</v>
      </c>
      <c r="D818">
        <v>1326.2413329999999</v>
      </c>
      <c r="E818">
        <v>1338.7352295000001</v>
      </c>
      <c r="F818">
        <v>1336.1864014</v>
      </c>
      <c r="G818">
        <v>80</v>
      </c>
      <c r="H818">
        <v>76.508712768999999</v>
      </c>
      <c r="I818">
        <v>50</v>
      </c>
      <c r="J818">
        <v>49.959503173999998</v>
      </c>
      <c r="K818">
        <v>0</v>
      </c>
      <c r="L818">
        <v>2400</v>
      </c>
      <c r="M818">
        <v>2400</v>
      </c>
      <c r="N818">
        <v>0</v>
      </c>
    </row>
    <row r="819" spans="1:14" x14ac:dyDescent="0.25">
      <c r="A819">
        <v>212.41886500000001</v>
      </c>
      <c r="B819" s="1">
        <f>DATE(2010,11,29) + TIME(10,3,9)</f>
        <v>40511.418854166666</v>
      </c>
      <c r="C819">
        <v>1327.8099365</v>
      </c>
      <c r="D819">
        <v>1326.1956786999999</v>
      </c>
      <c r="E819">
        <v>1338.7252197</v>
      </c>
      <c r="F819">
        <v>1336.1807861</v>
      </c>
      <c r="G819">
        <v>80</v>
      </c>
      <c r="H819">
        <v>76.426101685000006</v>
      </c>
      <c r="I819">
        <v>50</v>
      </c>
      <c r="J819">
        <v>49.959487914999997</v>
      </c>
      <c r="K819">
        <v>0</v>
      </c>
      <c r="L819">
        <v>2400</v>
      </c>
      <c r="M819">
        <v>2400</v>
      </c>
      <c r="N819">
        <v>0</v>
      </c>
    </row>
    <row r="820" spans="1:14" x14ac:dyDescent="0.25">
      <c r="A820">
        <v>213.23237900000001</v>
      </c>
      <c r="B820" s="1">
        <f>DATE(2010,11,30) + TIME(5,34,37)</f>
        <v>40512.232372685183</v>
      </c>
      <c r="C820">
        <v>1327.7757568</v>
      </c>
      <c r="D820">
        <v>1326.1494141000001</v>
      </c>
      <c r="E820">
        <v>1338.7152100000001</v>
      </c>
      <c r="F820">
        <v>1336.1751709</v>
      </c>
      <c r="G820">
        <v>80</v>
      </c>
      <c r="H820">
        <v>76.341789246000005</v>
      </c>
      <c r="I820">
        <v>50</v>
      </c>
      <c r="J820">
        <v>49.959468842</v>
      </c>
      <c r="K820">
        <v>0</v>
      </c>
      <c r="L820">
        <v>2400</v>
      </c>
      <c r="M820">
        <v>2400</v>
      </c>
      <c r="N820">
        <v>0</v>
      </c>
    </row>
    <row r="821" spans="1:14" x14ac:dyDescent="0.25">
      <c r="A821">
        <v>214</v>
      </c>
      <c r="B821" s="1">
        <f>DATE(2010,12,1) + TIME(0,0,0)</f>
        <v>40513</v>
      </c>
      <c r="C821">
        <v>1327.7416992000001</v>
      </c>
      <c r="D821">
        <v>1326.1032714999999</v>
      </c>
      <c r="E821">
        <v>1338.7053223</v>
      </c>
      <c r="F821">
        <v>1336.1696777</v>
      </c>
      <c r="G821">
        <v>80</v>
      </c>
      <c r="H821">
        <v>76.258819579999994</v>
      </c>
      <c r="I821">
        <v>50</v>
      </c>
      <c r="J821">
        <v>49.959453582999998</v>
      </c>
      <c r="K821">
        <v>0</v>
      </c>
      <c r="L821">
        <v>2400</v>
      </c>
      <c r="M821">
        <v>2400</v>
      </c>
      <c r="N821">
        <v>0</v>
      </c>
    </row>
    <row r="822" spans="1:14" x14ac:dyDescent="0.25">
      <c r="A822">
        <v>214.82417000000001</v>
      </c>
      <c r="B822" s="1">
        <f>DATE(2010,12,1) + TIME(19,46,48)</f>
        <v>40513.824166666665</v>
      </c>
      <c r="C822">
        <v>1327.7091064000001</v>
      </c>
      <c r="D822">
        <v>1326.0585937999999</v>
      </c>
      <c r="E822">
        <v>1338.6962891000001</v>
      </c>
      <c r="F822">
        <v>1336.1646728999999</v>
      </c>
      <c r="G822">
        <v>80</v>
      </c>
      <c r="H822">
        <v>76.174102782999995</v>
      </c>
      <c r="I822">
        <v>50</v>
      </c>
      <c r="J822">
        <v>49.959438323999997</v>
      </c>
      <c r="K822">
        <v>0</v>
      </c>
      <c r="L822">
        <v>2400</v>
      </c>
      <c r="M822">
        <v>2400</v>
      </c>
      <c r="N822">
        <v>0</v>
      </c>
    </row>
    <row r="823" spans="1:14" x14ac:dyDescent="0.25">
      <c r="A823">
        <v>215.66365300000001</v>
      </c>
      <c r="B823" s="1">
        <f>DATE(2010,12,2) + TIME(15,55,39)</f>
        <v>40514.663645833331</v>
      </c>
      <c r="C823">
        <v>1327.6754149999999</v>
      </c>
      <c r="D823">
        <v>1326.0130615</v>
      </c>
      <c r="E823">
        <v>1338.6868896000001</v>
      </c>
      <c r="F823">
        <v>1336.1594238</v>
      </c>
      <c r="G823">
        <v>80</v>
      </c>
      <c r="H823">
        <v>76.087242126000007</v>
      </c>
      <c r="I823">
        <v>50</v>
      </c>
      <c r="J823">
        <v>49.959426880000002</v>
      </c>
      <c r="K823">
        <v>0</v>
      </c>
      <c r="L823">
        <v>2400</v>
      </c>
      <c r="M823">
        <v>2400</v>
      </c>
      <c r="N823">
        <v>0</v>
      </c>
    </row>
    <row r="824" spans="1:14" x14ac:dyDescent="0.25">
      <c r="A824">
        <v>216.515334</v>
      </c>
      <c r="B824" s="1">
        <f>DATE(2010,12,3) + TIME(12,22,4)</f>
        <v>40515.515324074076</v>
      </c>
      <c r="C824">
        <v>1327.6414795000001</v>
      </c>
      <c r="D824">
        <v>1325.9670410000001</v>
      </c>
      <c r="E824">
        <v>1338.6776123</v>
      </c>
      <c r="F824">
        <v>1336.1542969</v>
      </c>
      <c r="G824">
        <v>80</v>
      </c>
      <c r="H824">
        <v>75.998558044000006</v>
      </c>
      <c r="I824">
        <v>50</v>
      </c>
      <c r="J824">
        <v>49.959415436</v>
      </c>
      <c r="K824">
        <v>0</v>
      </c>
      <c r="L824">
        <v>2400</v>
      </c>
      <c r="M824">
        <v>2400</v>
      </c>
      <c r="N824">
        <v>0</v>
      </c>
    </row>
    <row r="825" spans="1:14" x14ac:dyDescent="0.25">
      <c r="A825">
        <v>217.38500300000001</v>
      </c>
      <c r="B825" s="1">
        <f>DATE(2010,12,4) + TIME(9,14,24)</f>
        <v>40516.385000000002</v>
      </c>
      <c r="C825">
        <v>1327.6074219</v>
      </c>
      <c r="D825">
        <v>1325.9208983999999</v>
      </c>
      <c r="E825">
        <v>1338.6683350000001</v>
      </c>
      <c r="F825">
        <v>1336.1492920000001</v>
      </c>
      <c r="G825">
        <v>80</v>
      </c>
      <c r="H825">
        <v>75.907974242999998</v>
      </c>
      <c r="I825">
        <v>50</v>
      </c>
      <c r="J825">
        <v>49.959403991999999</v>
      </c>
      <c r="K825">
        <v>0</v>
      </c>
      <c r="L825">
        <v>2400</v>
      </c>
      <c r="M825">
        <v>2400</v>
      </c>
      <c r="N825">
        <v>0</v>
      </c>
    </row>
    <row r="826" spans="1:14" x14ac:dyDescent="0.25">
      <c r="A826">
        <v>218.27856</v>
      </c>
      <c r="B826" s="1">
        <f>DATE(2010,12,5) + TIME(6,41,7)</f>
        <v>40517.278553240743</v>
      </c>
      <c r="C826">
        <v>1327.5731201000001</v>
      </c>
      <c r="D826">
        <v>1325.8743896000001</v>
      </c>
      <c r="E826">
        <v>1338.6591797000001</v>
      </c>
      <c r="F826">
        <v>1336.1442870999999</v>
      </c>
      <c r="G826">
        <v>80</v>
      </c>
      <c r="H826">
        <v>75.815078735</v>
      </c>
      <c r="I826">
        <v>50</v>
      </c>
      <c r="J826">
        <v>49.959392547999997</v>
      </c>
      <c r="K826">
        <v>0</v>
      </c>
      <c r="L826">
        <v>2400</v>
      </c>
      <c r="M826">
        <v>2400</v>
      </c>
      <c r="N826">
        <v>0</v>
      </c>
    </row>
    <row r="827" spans="1:14" x14ac:dyDescent="0.25">
      <c r="A827">
        <v>219.20239900000001</v>
      </c>
      <c r="B827" s="1">
        <f>DATE(2010,12,6) + TIME(4,51,27)</f>
        <v>40518.20239583333</v>
      </c>
      <c r="C827">
        <v>1327.5383300999999</v>
      </c>
      <c r="D827">
        <v>1325.8273925999999</v>
      </c>
      <c r="E827">
        <v>1338.6500243999999</v>
      </c>
      <c r="F827">
        <v>1336.1394043</v>
      </c>
      <c r="G827">
        <v>80</v>
      </c>
      <c r="H827">
        <v>75.719299316000004</v>
      </c>
      <c r="I827">
        <v>50</v>
      </c>
      <c r="J827">
        <v>49.959384917999998</v>
      </c>
      <c r="K827">
        <v>0</v>
      </c>
      <c r="L827">
        <v>2400</v>
      </c>
      <c r="M827">
        <v>2400</v>
      </c>
      <c r="N827">
        <v>0</v>
      </c>
    </row>
    <row r="828" spans="1:14" x14ac:dyDescent="0.25">
      <c r="A828">
        <v>220.1514</v>
      </c>
      <c r="B828" s="1">
        <f>DATE(2010,12,7) + TIME(3,38,0)</f>
        <v>40519.151388888888</v>
      </c>
      <c r="C828">
        <v>1327.5029297000001</v>
      </c>
      <c r="D828">
        <v>1325.7796631000001</v>
      </c>
      <c r="E828">
        <v>1338.6407471</v>
      </c>
      <c r="F828">
        <v>1336.1343993999999</v>
      </c>
      <c r="G828">
        <v>80</v>
      </c>
      <c r="H828">
        <v>75.620452881000006</v>
      </c>
      <c r="I828">
        <v>50</v>
      </c>
      <c r="J828">
        <v>49.959377289000003</v>
      </c>
      <c r="K828">
        <v>0</v>
      </c>
      <c r="L828">
        <v>2400</v>
      </c>
      <c r="M828">
        <v>2400</v>
      </c>
      <c r="N828">
        <v>0</v>
      </c>
    </row>
    <row r="829" spans="1:14" x14ac:dyDescent="0.25">
      <c r="A829">
        <v>220.63437999999999</v>
      </c>
      <c r="B829" s="1">
        <f>DATE(2010,12,7) + TIME(15,13,30)</f>
        <v>40519.634375000001</v>
      </c>
      <c r="C829">
        <v>1327.4683838000001</v>
      </c>
      <c r="D829">
        <v>1325.7340088000001</v>
      </c>
      <c r="E829">
        <v>1338.6313477000001</v>
      </c>
      <c r="F829">
        <v>1336.1292725000001</v>
      </c>
      <c r="G829">
        <v>80</v>
      </c>
      <c r="H829">
        <v>75.547683715999995</v>
      </c>
      <c r="I829">
        <v>50</v>
      </c>
      <c r="J829">
        <v>49.959358215000002</v>
      </c>
      <c r="K829">
        <v>0</v>
      </c>
      <c r="L829">
        <v>2400</v>
      </c>
      <c r="M829">
        <v>2400</v>
      </c>
      <c r="N829">
        <v>0</v>
      </c>
    </row>
    <row r="830" spans="1:14" x14ac:dyDescent="0.25">
      <c r="A830">
        <v>221.11736099999999</v>
      </c>
      <c r="B830" s="1">
        <f>DATE(2010,12,8) + TIME(2,48,59)</f>
        <v>40520.117349537039</v>
      </c>
      <c r="C830">
        <v>1327.4467772999999</v>
      </c>
      <c r="D830">
        <v>1325.7033690999999</v>
      </c>
      <c r="E830">
        <v>1338.6267089999999</v>
      </c>
      <c r="F830">
        <v>1336.1268310999999</v>
      </c>
      <c r="G830">
        <v>80</v>
      </c>
      <c r="H830">
        <v>75.483779906999999</v>
      </c>
      <c r="I830">
        <v>50</v>
      </c>
      <c r="J830">
        <v>49.959346771</v>
      </c>
      <c r="K830">
        <v>0</v>
      </c>
      <c r="L830">
        <v>2400</v>
      </c>
      <c r="M830">
        <v>2400</v>
      </c>
      <c r="N830">
        <v>0</v>
      </c>
    </row>
    <row r="831" spans="1:14" x14ac:dyDescent="0.25">
      <c r="A831">
        <v>221.60034200000001</v>
      </c>
      <c r="B831" s="1">
        <f>DATE(2010,12,8) + TIME(14,24,29)</f>
        <v>40520.600335648145</v>
      </c>
      <c r="C831">
        <v>1327.4267577999999</v>
      </c>
      <c r="D831">
        <v>1325.6754149999999</v>
      </c>
      <c r="E831">
        <v>1338.6221923999999</v>
      </c>
      <c r="F831">
        <v>1336.1243896000001</v>
      </c>
      <c r="G831">
        <v>80</v>
      </c>
      <c r="H831">
        <v>75.424880981000001</v>
      </c>
      <c r="I831">
        <v>50</v>
      </c>
      <c r="J831">
        <v>49.959339141999997</v>
      </c>
      <c r="K831">
        <v>0</v>
      </c>
      <c r="L831">
        <v>2400</v>
      </c>
      <c r="M831">
        <v>2400</v>
      </c>
      <c r="N831">
        <v>0</v>
      </c>
    </row>
    <row r="832" spans="1:14" x14ac:dyDescent="0.25">
      <c r="A832">
        <v>222.566303</v>
      </c>
      <c r="B832" s="1">
        <f>DATE(2010,12,9) + TIME(13,35,28)</f>
        <v>40521.566296296296</v>
      </c>
      <c r="C832">
        <v>1327.4066161999999</v>
      </c>
      <c r="D832">
        <v>1325.6468506000001</v>
      </c>
      <c r="E832">
        <v>1338.6177978999999</v>
      </c>
      <c r="F832">
        <v>1336.1220702999999</v>
      </c>
      <c r="G832">
        <v>80</v>
      </c>
      <c r="H832">
        <v>75.346710204999994</v>
      </c>
      <c r="I832">
        <v>50</v>
      </c>
      <c r="J832">
        <v>49.959350585999999</v>
      </c>
      <c r="K832">
        <v>0</v>
      </c>
      <c r="L832">
        <v>2400</v>
      </c>
      <c r="M832">
        <v>2400</v>
      </c>
      <c r="N832">
        <v>0</v>
      </c>
    </row>
    <row r="833" spans="1:14" x14ac:dyDescent="0.25">
      <c r="A833">
        <v>223.53398100000001</v>
      </c>
      <c r="B833" s="1">
        <f>DATE(2010,12,10) + TIME(12,48,55)</f>
        <v>40522.53396990741</v>
      </c>
      <c r="C833">
        <v>1327.3747559000001</v>
      </c>
      <c r="D833">
        <v>1325.6054687999999</v>
      </c>
      <c r="E833">
        <v>1338.6090088000001</v>
      </c>
      <c r="F833">
        <v>1336.1174315999999</v>
      </c>
      <c r="G833">
        <v>80</v>
      </c>
      <c r="H833">
        <v>75.252143860000004</v>
      </c>
      <c r="I833">
        <v>50</v>
      </c>
      <c r="J833">
        <v>49.959354400999999</v>
      </c>
      <c r="K833">
        <v>0</v>
      </c>
      <c r="L833">
        <v>2400</v>
      </c>
      <c r="M833">
        <v>2400</v>
      </c>
      <c r="N833">
        <v>0</v>
      </c>
    </row>
    <row r="834" spans="1:14" x14ac:dyDescent="0.25">
      <c r="A834">
        <v>224.517674</v>
      </c>
      <c r="B834" s="1">
        <f>DATE(2010,12,11) + TIME(12,25,27)</f>
        <v>40523.51767361111</v>
      </c>
      <c r="C834">
        <v>1327.3410644999999</v>
      </c>
      <c r="D834">
        <v>1325.5605469</v>
      </c>
      <c r="E834">
        <v>1338.6003418</v>
      </c>
      <c r="F834">
        <v>1336.1129149999999</v>
      </c>
      <c r="G834">
        <v>80</v>
      </c>
      <c r="H834">
        <v>75.150154114000003</v>
      </c>
      <c r="I834">
        <v>50</v>
      </c>
      <c r="J834">
        <v>49.959354400999999</v>
      </c>
      <c r="K834">
        <v>0</v>
      </c>
      <c r="L834">
        <v>2400</v>
      </c>
      <c r="M834">
        <v>2400</v>
      </c>
      <c r="N834">
        <v>0</v>
      </c>
    </row>
    <row r="835" spans="1:14" x14ac:dyDescent="0.25">
      <c r="A835">
        <v>225.52416500000001</v>
      </c>
      <c r="B835" s="1">
        <f>DATE(2010,12,12) + TIME(12,34,47)</f>
        <v>40524.524155092593</v>
      </c>
      <c r="C835">
        <v>1327.3065185999999</v>
      </c>
      <c r="D835">
        <v>1325.5142822</v>
      </c>
      <c r="E835">
        <v>1338.5917969</v>
      </c>
      <c r="F835">
        <v>1336.1083983999999</v>
      </c>
      <c r="G835">
        <v>80</v>
      </c>
      <c r="H835">
        <v>75.043617248999993</v>
      </c>
      <c r="I835">
        <v>50</v>
      </c>
      <c r="J835">
        <v>49.959354400999999</v>
      </c>
      <c r="K835">
        <v>0</v>
      </c>
      <c r="L835">
        <v>2400</v>
      </c>
      <c r="M835">
        <v>2400</v>
      </c>
      <c r="N835">
        <v>0</v>
      </c>
    </row>
    <row r="836" spans="1:14" x14ac:dyDescent="0.25">
      <c r="A836">
        <v>226.55900500000001</v>
      </c>
      <c r="B836" s="1">
        <f>DATE(2010,12,13) + TIME(13,24,58)</f>
        <v>40525.559004629627</v>
      </c>
      <c r="C836">
        <v>1327.2713623</v>
      </c>
      <c r="D836">
        <v>1325.4669189000001</v>
      </c>
      <c r="E836">
        <v>1338.5832519999999</v>
      </c>
      <c r="F836">
        <v>1336.1040039</v>
      </c>
      <c r="G836">
        <v>80</v>
      </c>
      <c r="H836">
        <v>74.933189392000003</v>
      </c>
      <c r="I836">
        <v>50</v>
      </c>
      <c r="J836">
        <v>49.959354400999999</v>
      </c>
      <c r="K836">
        <v>0</v>
      </c>
      <c r="L836">
        <v>2400</v>
      </c>
      <c r="M836">
        <v>2400</v>
      </c>
      <c r="N836">
        <v>0</v>
      </c>
    </row>
    <row r="837" spans="1:14" x14ac:dyDescent="0.25">
      <c r="A837">
        <v>227.62404000000001</v>
      </c>
      <c r="B837" s="1">
        <f>DATE(2010,12,14) + TIME(14,58,37)</f>
        <v>40526.624039351853</v>
      </c>
      <c r="C837">
        <v>1327.2355957</v>
      </c>
      <c r="D837">
        <v>1325.4188231999999</v>
      </c>
      <c r="E837">
        <v>1338.574707</v>
      </c>
      <c r="F837">
        <v>1336.0994873</v>
      </c>
      <c r="G837">
        <v>80</v>
      </c>
      <c r="H837">
        <v>74.818923949999999</v>
      </c>
      <c r="I837">
        <v>50</v>
      </c>
      <c r="J837">
        <v>49.959354400999999</v>
      </c>
      <c r="K837">
        <v>0</v>
      </c>
      <c r="L837">
        <v>2400</v>
      </c>
      <c r="M837">
        <v>2400</v>
      </c>
      <c r="N837">
        <v>0</v>
      </c>
    </row>
    <row r="838" spans="1:14" x14ac:dyDescent="0.25">
      <c r="A838">
        <v>228.72752</v>
      </c>
      <c r="B838" s="1">
        <f>DATE(2010,12,15) + TIME(17,27,37)</f>
        <v>40527.727511574078</v>
      </c>
      <c r="C838">
        <v>1327.1993408000001</v>
      </c>
      <c r="D838">
        <v>1325.3701172000001</v>
      </c>
      <c r="E838">
        <v>1338.5661620999999</v>
      </c>
      <c r="F838">
        <v>1336.0950928</v>
      </c>
      <c r="G838">
        <v>80</v>
      </c>
      <c r="H838">
        <v>74.700485228999995</v>
      </c>
      <c r="I838">
        <v>50</v>
      </c>
      <c r="J838">
        <v>49.959358215000002</v>
      </c>
      <c r="K838">
        <v>0</v>
      </c>
      <c r="L838">
        <v>2400</v>
      </c>
      <c r="M838">
        <v>2400</v>
      </c>
      <c r="N838">
        <v>0</v>
      </c>
    </row>
    <row r="839" spans="1:14" x14ac:dyDescent="0.25">
      <c r="A839">
        <v>229.28085899999999</v>
      </c>
      <c r="B839" s="1">
        <f>DATE(2010,12,16) + TIME(6,44,26)</f>
        <v>40528.280856481484</v>
      </c>
      <c r="C839">
        <v>1327.1634521000001</v>
      </c>
      <c r="D839">
        <v>1325.3231201000001</v>
      </c>
      <c r="E839">
        <v>1338.5573730000001</v>
      </c>
      <c r="F839">
        <v>1336.0904541</v>
      </c>
      <c r="G839">
        <v>80</v>
      </c>
      <c r="H839">
        <v>74.610534668</v>
      </c>
      <c r="I839">
        <v>50</v>
      </c>
      <c r="J839">
        <v>49.959342956999997</v>
      </c>
      <c r="K839">
        <v>0</v>
      </c>
      <c r="L839">
        <v>2400</v>
      </c>
      <c r="M839">
        <v>2400</v>
      </c>
      <c r="N839">
        <v>0</v>
      </c>
    </row>
    <row r="840" spans="1:14" x14ac:dyDescent="0.25">
      <c r="A840">
        <v>229.83419900000001</v>
      </c>
      <c r="B840" s="1">
        <f>DATE(2010,12,16) + TIME(20,1,14)</f>
        <v>40528.834189814814</v>
      </c>
      <c r="C840">
        <v>1327.1412353999999</v>
      </c>
      <c r="D840">
        <v>1325.2913818</v>
      </c>
      <c r="E840">
        <v>1338.5531006000001</v>
      </c>
      <c r="F840">
        <v>1336.0882568</v>
      </c>
      <c r="G840">
        <v>80</v>
      </c>
      <c r="H840">
        <v>74.533859253000003</v>
      </c>
      <c r="I840">
        <v>50</v>
      </c>
      <c r="J840">
        <v>49.959339141999997</v>
      </c>
      <c r="K840">
        <v>0</v>
      </c>
      <c r="L840">
        <v>2400</v>
      </c>
      <c r="M840">
        <v>2400</v>
      </c>
      <c r="N840">
        <v>0</v>
      </c>
    </row>
    <row r="841" spans="1:14" x14ac:dyDescent="0.25">
      <c r="A841">
        <v>230.387539</v>
      </c>
      <c r="B841" s="1">
        <f>DATE(2010,12,17) + TIME(9,18,3)</f>
        <v>40529.38753472222</v>
      </c>
      <c r="C841">
        <v>1327.1208495999999</v>
      </c>
      <c r="D841">
        <v>1325.2629394999999</v>
      </c>
      <c r="E841">
        <v>1338.5488281</v>
      </c>
      <c r="F841">
        <v>1336.0860596</v>
      </c>
      <c r="G841">
        <v>80</v>
      </c>
      <c r="H841">
        <v>74.464057921999995</v>
      </c>
      <c r="I841">
        <v>50</v>
      </c>
      <c r="J841">
        <v>49.959335326999998</v>
      </c>
      <c r="K841">
        <v>0</v>
      </c>
      <c r="L841">
        <v>2400</v>
      </c>
      <c r="M841">
        <v>2400</v>
      </c>
      <c r="N841">
        <v>0</v>
      </c>
    </row>
    <row r="842" spans="1:14" x14ac:dyDescent="0.25">
      <c r="A842">
        <v>231.49421799999999</v>
      </c>
      <c r="B842" s="1">
        <f>DATE(2010,12,18) + TIME(11,51,40)</f>
        <v>40530.494212962964</v>
      </c>
      <c r="C842">
        <v>1327.1004639</v>
      </c>
      <c r="D842">
        <v>1325.2342529</v>
      </c>
      <c r="E842">
        <v>1338.5447998</v>
      </c>
      <c r="F842">
        <v>1336.0839844</v>
      </c>
      <c r="G842">
        <v>80</v>
      </c>
      <c r="H842">
        <v>74.374526978000006</v>
      </c>
      <c r="I842">
        <v>50</v>
      </c>
      <c r="J842">
        <v>49.959358215000002</v>
      </c>
      <c r="K842">
        <v>0</v>
      </c>
      <c r="L842">
        <v>2400</v>
      </c>
      <c r="M842">
        <v>2400</v>
      </c>
      <c r="N842">
        <v>0</v>
      </c>
    </row>
    <row r="843" spans="1:14" x14ac:dyDescent="0.25">
      <c r="A843">
        <v>232.601066</v>
      </c>
      <c r="B843" s="1">
        <f>DATE(2010,12,19) + TIME(14,25,32)</f>
        <v>40531.601064814815</v>
      </c>
      <c r="C843">
        <v>1327.0683594</v>
      </c>
      <c r="D843">
        <v>1325.1928711</v>
      </c>
      <c r="E843">
        <v>1338.5366211</v>
      </c>
      <c r="F843">
        <v>1336.0798339999999</v>
      </c>
      <c r="G843">
        <v>80</v>
      </c>
      <c r="H843">
        <v>74.261871338000006</v>
      </c>
      <c r="I843">
        <v>50</v>
      </c>
      <c r="J843">
        <v>49.959369658999996</v>
      </c>
      <c r="K843">
        <v>0</v>
      </c>
      <c r="L843">
        <v>2400</v>
      </c>
      <c r="M843">
        <v>2400</v>
      </c>
      <c r="N843">
        <v>0</v>
      </c>
    </row>
    <row r="844" spans="1:14" x14ac:dyDescent="0.25">
      <c r="A844">
        <v>233.72698600000001</v>
      </c>
      <c r="B844" s="1">
        <f>DATE(2010,12,20) + TIME(17,26,51)</f>
        <v>40532.726979166669</v>
      </c>
      <c r="C844">
        <v>1327.0340576000001</v>
      </c>
      <c r="D844">
        <v>1325.1473389</v>
      </c>
      <c r="E844">
        <v>1338.5285644999999</v>
      </c>
      <c r="F844">
        <v>1336.0756836</v>
      </c>
      <c r="G844">
        <v>80</v>
      </c>
      <c r="H844">
        <v>74.139968871999997</v>
      </c>
      <c r="I844">
        <v>50</v>
      </c>
      <c r="J844">
        <v>49.959381104000002</v>
      </c>
      <c r="K844">
        <v>0</v>
      </c>
      <c r="L844">
        <v>2400</v>
      </c>
      <c r="M844">
        <v>2400</v>
      </c>
      <c r="N844">
        <v>0</v>
      </c>
    </row>
    <row r="845" spans="1:14" x14ac:dyDescent="0.25">
      <c r="A845">
        <v>234.879797</v>
      </c>
      <c r="B845" s="1">
        <f>DATE(2010,12,21) + TIME(21,6,54)</f>
        <v>40533.879791666666</v>
      </c>
      <c r="C845">
        <v>1326.9989014</v>
      </c>
      <c r="D845">
        <v>1325.1003418</v>
      </c>
      <c r="E845">
        <v>1338.5206298999999</v>
      </c>
      <c r="F845">
        <v>1336.0716553</v>
      </c>
      <c r="G845">
        <v>80</v>
      </c>
      <c r="H845">
        <v>74.012718200999998</v>
      </c>
      <c r="I845">
        <v>50</v>
      </c>
      <c r="J845">
        <v>49.959388732999997</v>
      </c>
      <c r="K845">
        <v>0</v>
      </c>
      <c r="L845">
        <v>2400</v>
      </c>
      <c r="M845">
        <v>2400</v>
      </c>
      <c r="N845">
        <v>0</v>
      </c>
    </row>
    <row r="846" spans="1:14" x14ac:dyDescent="0.25">
      <c r="A846">
        <v>236.06823700000001</v>
      </c>
      <c r="B846" s="1">
        <f>DATE(2010,12,23) + TIME(1,38,15)</f>
        <v>40535.068229166667</v>
      </c>
      <c r="C846">
        <v>1326.9631348</v>
      </c>
      <c r="D846">
        <v>1325.0523682</v>
      </c>
      <c r="E846">
        <v>1338.5125731999999</v>
      </c>
      <c r="F846">
        <v>1336.0676269999999</v>
      </c>
      <c r="G846">
        <v>80</v>
      </c>
      <c r="H846">
        <v>73.880905150999993</v>
      </c>
      <c r="I846">
        <v>50</v>
      </c>
      <c r="J846">
        <v>49.959400176999999</v>
      </c>
      <c r="K846">
        <v>0</v>
      </c>
      <c r="L846">
        <v>2400</v>
      </c>
      <c r="M846">
        <v>2400</v>
      </c>
      <c r="N846">
        <v>0</v>
      </c>
    </row>
    <row r="847" spans="1:14" x14ac:dyDescent="0.25">
      <c r="A847">
        <v>237.29792</v>
      </c>
      <c r="B847" s="1">
        <f>DATE(2010,12,24) + TIME(7,9,0)</f>
        <v>40536.29791666667</v>
      </c>
      <c r="C847">
        <v>1326.9267577999999</v>
      </c>
      <c r="D847">
        <v>1325.0036620999999</v>
      </c>
      <c r="E847">
        <v>1338.5045166</v>
      </c>
      <c r="F847">
        <v>1336.0635986</v>
      </c>
      <c r="G847">
        <v>80</v>
      </c>
      <c r="H847">
        <v>73.744247436999999</v>
      </c>
      <c r="I847">
        <v>50</v>
      </c>
      <c r="J847">
        <v>49.959415436</v>
      </c>
      <c r="K847">
        <v>0</v>
      </c>
      <c r="L847">
        <v>2400</v>
      </c>
      <c r="M847">
        <v>2400</v>
      </c>
      <c r="N847">
        <v>0</v>
      </c>
    </row>
    <row r="848" spans="1:14" x14ac:dyDescent="0.25">
      <c r="A848">
        <v>237.92165499999999</v>
      </c>
      <c r="B848" s="1">
        <f>DATE(2010,12,24) + TIME(22,7,10)</f>
        <v>40536.921643518515</v>
      </c>
      <c r="C848">
        <v>1326.890625</v>
      </c>
      <c r="D848">
        <v>1324.956543</v>
      </c>
      <c r="E848">
        <v>1338.4963379000001</v>
      </c>
      <c r="F848">
        <v>1336.0593262</v>
      </c>
      <c r="G848">
        <v>80</v>
      </c>
      <c r="H848">
        <v>73.637229919000006</v>
      </c>
      <c r="I848">
        <v>50</v>
      </c>
      <c r="J848">
        <v>49.959403991999999</v>
      </c>
      <c r="K848">
        <v>0</v>
      </c>
      <c r="L848">
        <v>2400</v>
      </c>
      <c r="M848">
        <v>2400</v>
      </c>
      <c r="N848">
        <v>0</v>
      </c>
    </row>
    <row r="849" spans="1:14" x14ac:dyDescent="0.25">
      <c r="A849">
        <v>238.545389</v>
      </c>
      <c r="B849" s="1">
        <f>DATE(2010,12,25) + TIME(13,5,21)</f>
        <v>40537.545381944445</v>
      </c>
      <c r="C849">
        <v>1326.8681641000001</v>
      </c>
      <c r="D849">
        <v>1324.9243164</v>
      </c>
      <c r="E849">
        <v>1338.4923096</v>
      </c>
      <c r="F849">
        <v>1336.057251</v>
      </c>
      <c r="G849">
        <v>80</v>
      </c>
      <c r="H849">
        <v>73.548072814999998</v>
      </c>
      <c r="I849">
        <v>50</v>
      </c>
      <c r="J849">
        <v>49.959403991999999</v>
      </c>
      <c r="K849">
        <v>0</v>
      </c>
      <c r="L849">
        <v>2400</v>
      </c>
      <c r="M849">
        <v>2400</v>
      </c>
      <c r="N849">
        <v>0</v>
      </c>
    </row>
    <row r="850" spans="1:14" x14ac:dyDescent="0.25">
      <c r="A850">
        <v>239.16912400000001</v>
      </c>
      <c r="B850" s="1">
        <f>DATE(2010,12,26) + TIME(4,3,32)</f>
        <v>40538.169120370374</v>
      </c>
      <c r="C850">
        <v>1326.8475341999999</v>
      </c>
      <c r="D850">
        <v>1324.8957519999999</v>
      </c>
      <c r="E850">
        <v>1338.4882812000001</v>
      </c>
      <c r="F850">
        <v>1336.0552978999999</v>
      </c>
      <c r="G850">
        <v>80</v>
      </c>
      <c r="H850">
        <v>73.467483521000005</v>
      </c>
      <c r="I850">
        <v>50</v>
      </c>
      <c r="J850">
        <v>49.959403991999999</v>
      </c>
      <c r="K850">
        <v>0</v>
      </c>
      <c r="L850">
        <v>2400</v>
      </c>
      <c r="M850">
        <v>2400</v>
      </c>
      <c r="N850">
        <v>0</v>
      </c>
    </row>
    <row r="851" spans="1:14" x14ac:dyDescent="0.25">
      <c r="A851">
        <v>239.79285899999999</v>
      </c>
      <c r="B851" s="1">
        <f>DATE(2010,12,26) + TIME(19,1,43)</f>
        <v>40538.792858796296</v>
      </c>
      <c r="C851">
        <v>1326.8280029</v>
      </c>
      <c r="D851">
        <v>1324.8690185999999</v>
      </c>
      <c r="E851">
        <v>1338.4842529</v>
      </c>
      <c r="F851">
        <v>1336.0532227000001</v>
      </c>
      <c r="G851">
        <v>80</v>
      </c>
      <c r="H851">
        <v>73.390930175999998</v>
      </c>
      <c r="I851">
        <v>50</v>
      </c>
      <c r="J851">
        <v>49.959411621000001</v>
      </c>
      <c r="K851">
        <v>0</v>
      </c>
      <c r="L851">
        <v>2400</v>
      </c>
      <c r="M851">
        <v>2400</v>
      </c>
      <c r="N851">
        <v>0</v>
      </c>
    </row>
    <row r="852" spans="1:14" x14ac:dyDescent="0.25">
      <c r="A852">
        <v>241.04032900000001</v>
      </c>
      <c r="B852" s="1">
        <f>DATE(2010,12,28) + TIME(0,58,4)</f>
        <v>40540.040324074071</v>
      </c>
      <c r="C852">
        <v>1326.8083495999999</v>
      </c>
      <c r="D852">
        <v>1324.8414307</v>
      </c>
      <c r="E852">
        <v>1338.4804687999999</v>
      </c>
      <c r="F852">
        <v>1336.0513916</v>
      </c>
      <c r="G852">
        <v>80</v>
      </c>
      <c r="H852">
        <v>73.292701721</v>
      </c>
      <c r="I852">
        <v>50</v>
      </c>
      <c r="J852">
        <v>49.959445952999999</v>
      </c>
      <c r="K852">
        <v>0</v>
      </c>
      <c r="L852">
        <v>2400</v>
      </c>
      <c r="M852">
        <v>2400</v>
      </c>
      <c r="N852">
        <v>0</v>
      </c>
    </row>
    <row r="853" spans="1:14" x14ac:dyDescent="0.25">
      <c r="A853">
        <v>242.288894</v>
      </c>
      <c r="B853" s="1">
        <f>DATE(2010,12,29) + TIME(6,56,0)</f>
        <v>40541.288888888892</v>
      </c>
      <c r="C853">
        <v>1326.7766113</v>
      </c>
      <c r="D853">
        <v>1324.8010254000001</v>
      </c>
      <c r="E853">
        <v>1338.4727783000001</v>
      </c>
      <c r="F853">
        <v>1336.0474853999999</v>
      </c>
      <c r="G853">
        <v>80</v>
      </c>
      <c r="H853">
        <v>73.161674500000004</v>
      </c>
      <c r="I853">
        <v>50</v>
      </c>
      <c r="J853">
        <v>49.959468842</v>
      </c>
      <c r="K853">
        <v>0</v>
      </c>
      <c r="L853">
        <v>2400</v>
      </c>
      <c r="M853">
        <v>2400</v>
      </c>
      <c r="N853">
        <v>0</v>
      </c>
    </row>
    <row r="854" spans="1:14" x14ac:dyDescent="0.25">
      <c r="A854">
        <v>243.56409400000001</v>
      </c>
      <c r="B854" s="1">
        <f>DATE(2010,12,30) + TIME(13,32,17)</f>
        <v>40542.564085648148</v>
      </c>
      <c r="C854">
        <v>1326.7421875</v>
      </c>
      <c r="D854">
        <v>1324.7556152</v>
      </c>
      <c r="E854">
        <v>1338.4652100000001</v>
      </c>
      <c r="F854">
        <v>1336.0437012</v>
      </c>
      <c r="G854">
        <v>80</v>
      </c>
      <c r="H854">
        <v>73.018920898000005</v>
      </c>
      <c r="I854">
        <v>50</v>
      </c>
      <c r="J854">
        <v>49.959487914999997</v>
      </c>
      <c r="K854">
        <v>0</v>
      </c>
      <c r="L854">
        <v>2400</v>
      </c>
      <c r="M854">
        <v>2400</v>
      </c>
      <c r="N854">
        <v>0</v>
      </c>
    </row>
    <row r="855" spans="1:14" x14ac:dyDescent="0.25">
      <c r="A855">
        <v>244.874844</v>
      </c>
      <c r="B855" s="1">
        <f>DATE(2010,12,31) + TIME(20,59,46)</f>
        <v>40543.874837962961</v>
      </c>
      <c r="C855">
        <v>1326.7067870999999</v>
      </c>
      <c r="D855">
        <v>1324.708374</v>
      </c>
      <c r="E855">
        <v>1338.4576416</v>
      </c>
      <c r="F855">
        <v>1336.0399170000001</v>
      </c>
      <c r="G855">
        <v>80</v>
      </c>
      <c r="H855">
        <v>72.869621276999993</v>
      </c>
      <c r="I855">
        <v>50</v>
      </c>
      <c r="J855">
        <v>49.959506988999998</v>
      </c>
      <c r="K855">
        <v>0</v>
      </c>
      <c r="L855">
        <v>2400</v>
      </c>
      <c r="M855">
        <v>2400</v>
      </c>
      <c r="N855">
        <v>0</v>
      </c>
    </row>
    <row r="856" spans="1:14" x14ac:dyDescent="0.25">
      <c r="A856">
        <v>245</v>
      </c>
      <c r="B856" s="1">
        <f>DATE(2011,1,1) + TIME(0,0,0)</f>
        <v>40544</v>
      </c>
      <c r="C856">
        <v>1326.6729736</v>
      </c>
      <c r="D856">
        <v>1324.6671143000001</v>
      </c>
      <c r="E856">
        <v>1338.4498291</v>
      </c>
      <c r="F856">
        <v>1336.0360106999999</v>
      </c>
      <c r="G856">
        <v>80</v>
      </c>
      <c r="H856">
        <v>72.829826354999994</v>
      </c>
      <c r="I856">
        <v>50</v>
      </c>
      <c r="J856">
        <v>49.959499358999999</v>
      </c>
      <c r="K856">
        <v>0</v>
      </c>
      <c r="L856">
        <v>2400</v>
      </c>
      <c r="M856">
        <v>2400</v>
      </c>
      <c r="N856">
        <v>0</v>
      </c>
    </row>
    <row r="857" spans="1:14" x14ac:dyDescent="0.25">
      <c r="A857">
        <v>246.356593</v>
      </c>
      <c r="B857" s="1">
        <f>DATE(2011,1,2) + TIME(8,33,29)</f>
        <v>40545.356585648151</v>
      </c>
      <c r="C857">
        <v>1326.6650391000001</v>
      </c>
      <c r="D857">
        <v>1324.6514893000001</v>
      </c>
      <c r="E857">
        <v>1338.4492187999999</v>
      </c>
      <c r="F857">
        <v>1336.0357666</v>
      </c>
      <c r="G857">
        <v>80</v>
      </c>
      <c r="H857">
        <v>72.692466736</v>
      </c>
      <c r="I857">
        <v>50</v>
      </c>
      <c r="J857">
        <v>49.959529877000001</v>
      </c>
      <c r="K857">
        <v>0</v>
      </c>
      <c r="L857">
        <v>2400</v>
      </c>
      <c r="M857">
        <v>2400</v>
      </c>
      <c r="N857">
        <v>0</v>
      </c>
    </row>
    <row r="858" spans="1:14" x14ac:dyDescent="0.25">
      <c r="A858">
        <v>247.056715</v>
      </c>
      <c r="B858" s="1">
        <f>DATE(2011,1,3) + TIME(1,21,40)</f>
        <v>40546.056712962964</v>
      </c>
      <c r="C858">
        <v>1326.6304932</v>
      </c>
      <c r="D858">
        <v>1324.6071777</v>
      </c>
      <c r="E858">
        <v>1338.4414062000001</v>
      </c>
      <c r="F858">
        <v>1336.0318603999999</v>
      </c>
      <c r="G858">
        <v>80</v>
      </c>
      <c r="H858">
        <v>72.571533203000001</v>
      </c>
      <c r="I858">
        <v>50</v>
      </c>
      <c r="J858">
        <v>49.959526062000002</v>
      </c>
      <c r="K858">
        <v>0</v>
      </c>
      <c r="L858">
        <v>2400</v>
      </c>
      <c r="M858">
        <v>2400</v>
      </c>
      <c r="N858">
        <v>0</v>
      </c>
    </row>
    <row r="859" spans="1:14" x14ac:dyDescent="0.25">
      <c r="A859">
        <v>247.75683699999999</v>
      </c>
      <c r="B859" s="1">
        <f>DATE(2011,1,3) + TIME(18,9,50)</f>
        <v>40546.756828703707</v>
      </c>
      <c r="C859">
        <v>1326.6080322</v>
      </c>
      <c r="D859">
        <v>1324.5751952999999</v>
      </c>
      <c r="E859">
        <v>1338.4375</v>
      </c>
      <c r="F859">
        <v>1336.0299072</v>
      </c>
      <c r="G859">
        <v>80</v>
      </c>
      <c r="H859">
        <v>72.471313476999995</v>
      </c>
      <c r="I859">
        <v>50</v>
      </c>
      <c r="J859">
        <v>49.959529877000001</v>
      </c>
      <c r="K859">
        <v>0</v>
      </c>
      <c r="L859">
        <v>2400</v>
      </c>
      <c r="M859">
        <v>2400</v>
      </c>
      <c r="N859">
        <v>0</v>
      </c>
    </row>
    <row r="860" spans="1:14" x14ac:dyDescent="0.25">
      <c r="A860">
        <v>248.45695900000001</v>
      </c>
      <c r="B860" s="1">
        <f>DATE(2011,1,4) + TIME(10,58,1)</f>
        <v>40547.456956018519</v>
      </c>
      <c r="C860">
        <v>1326.5875243999999</v>
      </c>
      <c r="D860">
        <v>1324.546875</v>
      </c>
      <c r="E860">
        <v>1338.4337158000001</v>
      </c>
      <c r="F860">
        <v>1336.0279541</v>
      </c>
      <c r="G860">
        <v>80</v>
      </c>
      <c r="H860">
        <v>72.380249023000005</v>
      </c>
      <c r="I860">
        <v>50</v>
      </c>
      <c r="J860">
        <v>49.959537505999997</v>
      </c>
      <c r="K860">
        <v>0</v>
      </c>
      <c r="L860">
        <v>2400</v>
      </c>
      <c r="M860">
        <v>2400</v>
      </c>
      <c r="N860">
        <v>0</v>
      </c>
    </row>
    <row r="861" spans="1:14" x14ac:dyDescent="0.25">
      <c r="A861">
        <v>249.15708100000001</v>
      </c>
      <c r="B861" s="1">
        <f>DATE(2011,1,5) + TIME(3,46,11)</f>
        <v>40548.157071759262</v>
      </c>
      <c r="C861">
        <v>1326.5679932</v>
      </c>
      <c r="D861">
        <v>1324.5202637</v>
      </c>
      <c r="E861">
        <v>1338.4298096</v>
      </c>
      <c r="F861">
        <v>1336.0261230000001</v>
      </c>
      <c r="G861">
        <v>80</v>
      </c>
      <c r="H861">
        <v>72.293190002000003</v>
      </c>
      <c r="I861">
        <v>50</v>
      </c>
      <c r="J861">
        <v>49.959545134999999</v>
      </c>
      <c r="K861">
        <v>0</v>
      </c>
      <c r="L861">
        <v>2400</v>
      </c>
      <c r="M861">
        <v>2400</v>
      </c>
      <c r="N861">
        <v>0</v>
      </c>
    </row>
    <row r="862" spans="1:14" x14ac:dyDescent="0.25">
      <c r="A862">
        <v>249.857203</v>
      </c>
      <c r="B862" s="1">
        <f>DATE(2011,1,5) + TIME(20,34,22)</f>
        <v>40548.857199074075</v>
      </c>
      <c r="C862">
        <v>1326.5490723</v>
      </c>
      <c r="D862">
        <v>1324.4946289</v>
      </c>
      <c r="E862">
        <v>1338.4260254000001</v>
      </c>
      <c r="F862">
        <v>1336.0241699000001</v>
      </c>
      <c r="G862">
        <v>80</v>
      </c>
      <c r="H862">
        <v>72.207824707</v>
      </c>
      <c r="I862">
        <v>50</v>
      </c>
      <c r="J862">
        <v>49.959556579999997</v>
      </c>
      <c r="K862">
        <v>0</v>
      </c>
      <c r="L862">
        <v>2400</v>
      </c>
      <c r="M862">
        <v>2400</v>
      </c>
      <c r="N862">
        <v>0</v>
      </c>
    </row>
    <row r="863" spans="1:14" x14ac:dyDescent="0.25">
      <c r="A863">
        <v>250.55732499999999</v>
      </c>
      <c r="B863" s="1">
        <f>DATE(2011,1,6) + TIME(13,22,32)</f>
        <v>40549.557314814818</v>
      </c>
      <c r="C863">
        <v>1326.5303954999999</v>
      </c>
      <c r="D863">
        <v>1324.4694824000001</v>
      </c>
      <c r="E863">
        <v>1338.4223632999999</v>
      </c>
      <c r="F863">
        <v>1336.0223389</v>
      </c>
      <c r="G863">
        <v>80</v>
      </c>
      <c r="H863">
        <v>72.123138428000004</v>
      </c>
      <c r="I863">
        <v>50</v>
      </c>
      <c r="J863">
        <v>49.959571838000002</v>
      </c>
      <c r="K863">
        <v>0</v>
      </c>
      <c r="L863">
        <v>2400</v>
      </c>
      <c r="M863">
        <v>2400</v>
      </c>
      <c r="N863">
        <v>0</v>
      </c>
    </row>
    <row r="864" spans="1:14" x14ac:dyDescent="0.25">
      <c r="A864">
        <v>251.25744599999999</v>
      </c>
      <c r="B864" s="1">
        <f>DATE(2011,1,7) + TIME(6,10,43)</f>
        <v>40550.25744212963</v>
      </c>
      <c r="C864">
        <v>1326.5119629000001</v>
      </c>
      <c r="D864">
        <v>1324.4448242000001</v>
      </c>
      <c r="E864">
        <v>1338.4185791</v>
      </c>
      <c r="F864">
        <v>1336.0205077999999</v>
      </c>
      <c r="G864">
        <v>80</v>
      </c>
      <c r="H864">
        <v>72.038688660000005</v>
      </c>
      <c r="I864">
        <v>50</v>
      </c>
      <c r="J864">
        <v>49.959583281999997</v>
      </c>
      <c r="K864">
        <v>0</v>
      </c>
      <c r="L864">
        <v>2400</v>
      </c>
      <c r="M864">
        <v>2400</v>
      </c>
      <c r="N864">
        <v>0</v>
      </c>
    </row>
    <row r="865" spans="1:14" x14ac:dyDescent="0.25">
      <c r="A865">
        <v>252.65769</v>
      </c>
      <c r="B865" s="1">
        <f>DATE(2011,1,8) + TIME(15,47,4)</f>
        <v>40551.657685185186</v>
      </c>
      <c r="C865">
        <v>1326.4932861</v>
      </c>
      <c r="D865">
        <v>1324.4187012</v>
      </c>
      <c r="E865">
        <v>1338.4150391000001</v>
      </c>
      <c r="F865">
        <v>1336.0186768000001</v>
      </c>
      <c r="G865">
        <v>80</v>
      </c>
      <c r="H865">
        <v>71.930335998999993</v>
      </c>
      <c r="I865">
        <v>50</v>
      </c>
      <c r="J865">
        <v>49.959629059000001</v>
      </c>
      <c r="K865">
        <v>0</v>
      </c>
      <c r="L865">
        <v>2400</v>
      </c>
      <c r="M865">
        <v>2400</v>
      </c>
      <c r="N865">
        <v>0</v>
      </c>
    </row>
    <row r="866" spans="1:14" x14ac:dyDescent="0.25">
      <c r="A866">
        <v>254.06397000000001</v>
      </c>
      <c r="B866" s="1">
        <f>DATE(2011,1,10) + TIME(1,32,7)</f>
        <v>40553.063969907409</v>
      </c>
      <c r="C866">
        <v>1326.4622803</v>
      </c>
      <c r="D866">
        <v>1324.3796387</v>
      </c>
      <c r="E866">
        <v>1338.4077147999999</v>
      </c>
      <c r="F866">
        <v>1336.0151367000001</v>
      </c>
      <c r="G866">
        <v>80</v>
      </c>
      <c r="H866">
        <v>71.778488159000005</v>
      </c>
      <c r="I866">
        <v>50</v>
      </c>
      <c r="J866">
        <v>49.959663390999999</v>
      </c>
      <c r="K866">
        <v>0</v>
      </c>
      <c r="L866">
        <v>2400</v>
      </c>
      <c r="M866">
        <v>2400</v>
      </c>
      <c r="N866">
        <v>0</v>
      </c>
    </row>
    <row r="867" spans="1:14" x14ac:dyDescent="0.25">
      <c r="A867">
        <v>255.513631</v>
      </c>
      <c r="B867" s="1">
        <f>DATE(2011,1,11) + TIME(12,19,37)</f>
        <v>40554.513622685183</v>
      </c>
      <c r="C867">
        <v>1326.4282227000001</v>
      </c>
      <c r="D867">
        <v>1324.3347168</v>
      </c>
      <c r="E867">
        <v>1338.4006348</v>
      </c>
      <c r="F867">
        <v>1336.0115966999999</v>
      </c>
      <c r="G867">
        <v>80</v>
      </c>
      <c r="H867">
        <v>71.612251282000003</v>
      </c>
      <c r="I867">
        <v>50</v>
      </c>
      <c r="J867">
        <v>49.959693909000002</v>
      </c>
      <c r="K867">
        <v>0</v>
      </c>
      <c r="L867">
        <v>2400</v>
      </c>
      <c r="M867">
        <v>2400</v>
      </c>
      <c r="N867">
        <v>0</v>
      </c>
    </row>
    <row r="868" spans="1:14" x14ac:dyDescent="0.25">
      <c r="A868">
        <v>257.01724899999999</v>
      </c>
      <c r="B868" s="1">
        <f>DATE(2011,1,13) + TIME(0,24,50)</f>
        <v>40556.017245370371</v>
      </c>
      <c r="C868">
        <v>1326.3928223</v>
      </c>
      <c r="D868">
        <v>1324.2877197</v>
      </c>
      <c r="E868">
        <v>1338.3934326000001</v>
      </c>
      <c r="F868">
        <v>1336.0080565999999</v>
      </c>
      <c r="G868">
        <v>80</v>
      </c>
      <c r="H868">
        <v>71.437530518000003</v>
      </c>
      <c r="I868">
        <v>50</v>
      </c>
      <c r="J868">
        <v>49.959724426000001</v>
      </c>
      <c r="K868">
        <v>0</v>
      </c>
      <c r="L868">
        <v>2400</v>
      </c>
      <c r="M868">
        <v>2400</v>
      </c>
      <c r="N868">
        <v>0</v>
      </c>
    </row>
    <row r="869" spans="1:14" x14ac:dyDescent="0.25">
      <c r="A869">
        <v>257.79412200000002</v>
      </c>
      <c r="B869" s="1">
        <f>DATE(2011,1,13) + TIME(19,3,32)</f>
        <v>40556.794120370374</v>
      </c>
      <c r="C869">
        <v>1326.3572998</v>
      </c>
      <c r="D869">
        <v>1324.2414550999999</v>
      </c>
      <c r="E869">
        <v>1338.3859863</v>
      </c>
      <c r="F869">
        <v>1336.0042725000001</v>
      </c>
      <c r="G869">
        <v>80</v>
      </c>
      <c r="H869">
        <v>71.293128967000001</v>
      </c>
      <c r="I869">
        <v>50</v>
      </c>
      <c r="J869">
        <v>49.959724426000001</v>
      </c>
      <c r="K869">
        <v>0</v>
      </c>
      <c r="L869">
        <v>2400</v>
      </c>
      <c r="M869">
        <v>2400</v>
      </c>
      <c r="N869">
        <v>0</v>
      </c>
    </row>
    <row r="870" spans="1:14" x14ac:dyDescent="0.25">
      <c r="A870">
        <v>258.57099399999998</v>
      </c>
      <c r="B870" s="1">
        <f>DATE(2011,1,14) + TIME(13,42,13)</f>
        <v>40557.570983796293</v>
      </c>
      <c r="C870">
        <v>1326.3347168</v>
      </c>
      <c r="D870">
        <v>1324.2091064000001</v>
      </c>
      <c r="E870">
        <v>1338.3822021000001</v>
      </c>
      <c r="F870">
        <v>1336.0024414</v>
      </c>
      <c r="G870">
        <v>80</v>
      </c>
      <c r="H870">
        <v>71.177909850999995</v>
      </c>
      <c r="I870">
        <v>50</v>
      </c>
      <c r="J870">
        <v>49.959735870000003</v>
      </c>
      <c r="K870">
        <v>0</v>
      </c>
      <c r="L870">
        <v>2400</v>
      </c>
      <c r="M870">
        <v>2400</v>
      </c>
      <c r="N870">
        <v>0</v>
      </c>
    </row>
    <row r="871" spans="1:14" x14ac:dyDescent="0.25">
      <c r="A871">
        <v>259.34786600000001</v>
      </c>
      <c r="B871" s="1">
        <f>DATE(2011,1,15) + TIME(8,20,55)</f>
        <v>40558.347858796296</v>
      </c>
      <c r="C871">
        <v>1326.3143310999999</v>
      </c>
      <c r="D871">
        <v>1324.1807861</v>
      </c>
      <c r="E871">
        <v>1338.3785399999999</v>
      </c>
      <c r="F871">
        <v>1336.0006103999999</v>
      </c>
      <c r="G871">
        <v>80</v>
      </c>
      <c r="H871">
        <v>71.074684142999999</v>
      </c>
      <c r="I871">
        <v>50</v>
      </c>
      <c r="J871">
        <v>49.959747313999998</v>
      </c>
      <c r="K871">
        <v>0</v>
      </c>
      <c r="L871">
        <v>2400</v>
      </c>
      <c r="M871">
        <v>2400</v>
      </c>
      <c r="N871">
        <v>0</v>
      </c>
    </row>
    <row r="872" spans="1:14" x14ac:dyDescent="0.25">
      <c r="A872">
        <v>260.12473899999998</v>
      </c>
      <c r="B872" s="1">
        <f>DATE(2011,1,16) + TIME(2,59,37)</f>
        <v>40559.1247337963</v>
      </c>
      <c r="C872">
        <v>1326.2950439000001</v>
      </c>
      <c r="D872">
        <v>1324.1544189000001</v>
      </c>
      <c r="E872">
        <v>1338.3748779</v>
      </c>
      <c r="F872">
        <v>1335.9987793</v>
      </c>
      <c r="G872">
        <v>80</v>
      </c>
      <c r="H872">
        <v>70.976341247999997</v>
      </c>
      <c r="I872">
        <v>50</v>
      </c>
      <c r="J872">
        <v>49.959762572999999</v>
      </c>
      <c r="K872">
        <v>0</v>
      </c>
      <c r="L872">
        <v>2400</v>
      </c>
      <c r="M872">
        <v>2400</v>
      </c>
      <c r="N872">
        <v>0</v>
      </c>
    </row>
    <row r="873" spans="1:14" x14ac:dyDescent="0.25">
      <c r="A873">
        <v>260.901611</v>
      </c>
      <c r="B873" s="1">
        <f>DATE(2011,1,16) + TIME(21,38,19)</f>
        <v>40559.901608796295</v>
      </c>
      <c r="C873">
        <v>1326.2762451000001</v>
      </c>
      <c r="D873">
        <v>1324.1290283000001</v>
      </c>
      <c r="E873">
        <v>1338.3712158000001</v>
      </c>
      <c r="F873">
        <v>1335.9969481999999</v>
      </c>
      <c r="G873">
        <v>80</v>
      </c>
      <c r="H873">
        <v>70.879936217999997</v>
      </c>
      <c r="I873">
        <v>50</v>
      </c>
      <c r="J873">
        <v>49.959777832</v>
      </c>
      <c r="K873">
        <v>0</v>
      </c>
      <c r="L873">
        <v>2400</v>
      </c>
      <c r="M873">
        <v>2400</v>
      </c>
      <c r="N873">
        <v>0</v>
      </c>
    </row>
    <row r="874" spans="1:14" x14ac:dyDescent="0.25">
      <c r="A874">
        <v>261.67848400000003</v>
      </c>
      <c r="B874" s="1">
        <f>DATE(2011,1,17) + TIME(16,17,0)</f>
        <v>40560.678472222222</v>
      </c>
      <c r="C874">
        <v>1326.2578125</v>
      </c>
      <c r="D874">
        <v>1324.1042480000001</v>
      </c>
      <c r="E874">
        <v>1338.3676757999999</v>
      </c>
      <c r="F874">
        <v>1335.9951172000001</v>
      </c>
      <c r="G874">
        <v>80</v>
      </c>
      <c r="H874">
        <v>70.784278869999994</v>
      </c>
      <c r="I874">
        <v>50</v>
      </c>
      <c r="J874">
        <v>49.959796906000001</v>
      </c>
      <c r="K874">
        <v>0</v>
      </c>
      <c r="L874">
        <v>2400</v>
      </c>
      <c r="M874">
        <v>2400</v>
      </c>
      <c r="N874">
        <v>0</v>
      </c>
    </row>
    <row r="875" spans="1:14" x14ac:dyDescent="0.25">
      <c r="A875">
        <v>263.23222900000002</v>
      </c>
      <c r="B875" s="1">
        <f>DATE(2011,1,19) + TIME(5,34,24)</f>
        <v>40562.232222222221</v>
      </c>
      <c r="C875">
        <v>1326.2392577999999</v>
      </c>
      <c r="D875">
        <v>1324.0783690999999</v>
      </c>
      <c r="E875">
        <v>1338.3641356999999</v>
      </c>
      <c r="F875">
        <v>1335.9934082</v>
      </c>
      <c r="G875">
        <v>80</v>
      </c>
      <c r="H875">
        <v>70.664245605000005</v>
      </c>
      <c r="I875">
        <v>50</v>
      </c>
      <c r="J875">
        <v>49.959854126000003</v>
      </c>
      <c r="K875">
        <v>0</v>
      </c>
      <c r="L875">
        <v>2400</v>
      </c>
      <c r="M875">
        <v>2400</v>
      </c>
      <c r="N875">
        <v>0</v>
      </c>
    </row>
    <row r="876" spans="1:14" x14ac:dyDescent="0.25">
      <c r="A876">
        <v>264.79322999999999</v>
      </c>
      <c r="B876" s="1">
        <f>DATE(2011,1,20) + TIME(19,2,15)</f>
        <v>40563.793229166666</v>
      </c>
      <c r="C876">
        <v>1326.2082519999999</v>
      </c>
      <c r="D876">
        <v>1324.0394286999999</v>
      </c>
      <c r="E876">
        <v>1338.3570557</v>
      </c>
      <c r="F876">
        <v>1335.9899902</v>
      </c>
      <c r="G876">
        <v>80</v>
      </c>
      <c r="H876">
        <v>70.491851807000003</v>
      </c>
      <c r="I876">
        <v>50</v>
      </c>
      <c r="J876">
        <v>49.959892273000001</v>
      </c>
      <c r="K876">
        <v>0</v>
      </c>
      <c r="L876">
        <v>2400</v>
      </c>
      <c r="M876">
        <v>2400</v>
      </c>
      <c r="N876">
        <v>0</v>
      </c>
    </row>
    <row r="877" spans="1:14" x14ac:dyDescent="0.25">
      <c r="A877">
        <v>266.40341899999999</v>
      </c>
      <c r="B877" s="1">
        <f>DATE(2011,1,22) + TIME(9,40,55)</f>
        <v>40565.403414351851</v>
      </c>
      <c r="C877">
        <v>1326.1741943</v>
      </c>
      <c r="D877">
        <v>1323.9945068</v>
      </c>
      <c r="E877">
        <v>1338.3500977000001</v>
      </c>
      <c r="F877">
        <v>1335.9864502</v>
      </c>
      <c r="G877">
        <v>80</v>
      </c>
      <c r="H877">
        <v>70.303878784000005</v>
      </c>
      <c r="I877">
        <v>50</v>
      </c>
      <c r="J877">
        <v>49.959934234999999</v>
      </c>
      <c r="K877">
        <v>0</v>
      </c>
      <c r="L877">
        <v>2400</v>
      </c>
      <c r="M877">
        <v>2400</v>
      </c>
      <c r="N877">
        <v>0</v>
      </c>
    </row>
    <row r="878" spans="1:14" x14ac:dyDescent="0.25">
      <c r="A878">
        <v>268.07540299999999</v>
      </c>
      <c r="B878" s="1">
        <f>DATE(2011,1,24) + TIME(1,48,34)</f>
        <v>40567.07539351852</v>
      </c>
      <c r="C878">
        <v>1326.1389160000001</v>
      </c>
      <c r="D878">
        <v>1323.9473877</v>
      </c>
      <c r="E878">
        <v>1338.3430175999999</v>
      </c>
      <c r="F878">
        <v>1335.9830322</v>
      </c>
      <c r="G878">
        <v>80</v>
      </c>
      <c r="H878">
        <v>70.106796265</v>
      </c>
      <c r="I878">
        <v>50</v>
      </c>
      <c r="J878">
        <v>49.959976196</v>
      </c>
      <c r="K878">
        <v>0</v>
      </c>
      <c r="L878">
        <v>2400</v>
      </c>
      <c r="M878">
        <v>2400</v>
      </c>
      <c r="N878">
        <v>0</v>
      </c>
    </row>
    <row r="879" spans="1:14" x14ac:dyDescent="0.25">
      <c r="A879">
        <v>268.92821199999997</v>
      </c>
      <c r="B879" s="1">
        <f>DATE(2011,1,24) + TIME(22,16,37)</f>
        <v>40567.928206018521</v>
      </c>
      <c r="C879">
        <v>1326.1032714999999</v>
      </c>
      <c r="D879">
        <v>1323.9012451000001</v>
      </c>
      <c r="E879">
        <v>1338.3358154</v>
      </c>
      <c r="F879">
        <v>1335.9793701000001</v>
      </c>
      <c r="G879">
        <v>80</v>
      </c>
      <c r="H879">
        <v>69.941650390999996</v>
      </c>
      <c r="I879">
        <v>50</v>
      </c>
      <c r="J879">
        <v>49.959980010999999</v>
      </c>
      <c r="K879">
        <v>0</v>
      </c>
      <c r="L879">
        <v>2400</v>
      </c>
      <c r="M879">
        <v>2400</v>
      </c>
      <c r="N879">
        <v>0</v>
      </c>
    </row>
    <row r="880" spans="1:14" x14ac:dyDescent="0.25">
      <c r="A880">
        <v>269.78102000000001</v>
      </c>
      <c r="B880" s="1">
        <f>DATE(2011,1,25) + TIME(18,44,40)</f>
        <v>40568.781018518515</v>
      </c>
      <c r="C880">
        <v>1326.0809326000001</v>
      </c>
      <c r="D880">
        <v>1323.8687743999999</v>
      </c>
      <c r="E880">
        <v>1338.3321533000001</v>
      </c>
      <c r="F880">
        <v>1335.9775391000001</v>
      </c>
      <c r="G880">
        <v>80</v>
      </c>
      <c r="H880">
        <v>69.813209533999995</v>
      </c>
      <c r="I880">
        <v>50</v>
      </c>
      <c r="J880">
        <v>49.959991455000001</v>
      </c>
      <c r="K880">
        <v>0</v>
      </c>
      <c r="L880">
        <v>2400</v>
      </c>
      <c r="M880">
        <v>2400</v>
      </c>
      <c r="N880">
        <v>0</v>
      </c>
    </row>
    <row r="881" spans="1:14" x14ac:dyDescent="0.25">
      <c r="A881">
        <v>270.63382899999999</v>
      </c>
      <c r="B881" s="1">
        <f>DATE(2011,1,26) + TIME(15,12,42)</f>
        <v>40569.633819444447</v>
      </c>
      <c r="C881">
        <v>1326.0609131000001</v>
      </c>
      <c r="D881">
        <v>1323.8409423999999</v>
      </c>
      <c r="E881">
        <v>1338.3286132999999</v>
      </c>
      <c r="F881">
        <v>1335.9757079999999</v>
      </c>
      <c r="G881">
        <v>80</v>
      </c>
      <c r="H881">
        <v>69.698875427000004</v>
      </c>
      <c r="I881">
        <v>50</v>
      </c>
      <c r="J881">
        <v>49.960010529000002</v>
      </c>
      <c r="K881">
        <v>0</v>
      </c>
      <c r="L881">
        <v>2400</v>
      </c>
      <c r="M881">
        <v>2400</v>
      </c>
      <c r="N881">
        <v>0</v>
      </c>
    </row>
    <row r="882" spans="1:14" x14ac:dyDescent="0.25">
      <c r="A882">
        <v>271.48663699999997</v>
      </c>
      <c r="B882" s="1">
        <f>DATE(2011,1,27) + TIME(11,40,45)</f>
        <v>40570.486631944441</v>
      </c>
      <c r="C882">
        <v>1326.0418701000001</v>
      </c>
      <c r="D882">
        <v>1323.8150635</v>
      </c>
      <c r="E882">
        <v>1338.3250731999999</v>
      </c>
      <c r="F882">
        <v>1335.9738769999999</v>
      </c>
      <c r="G882">
        <v>80</v>
      </c>
      <c r="H882">
        <v>69.589912415000001</v>
      </c>
      <c r="I882">
        <v>50</v>
      </c>
      <c r="J882">
        <v>49.960029601999999</v>
      </c>
      <c r="K882">
        <v>0</v>
      </c>
      <c r="L882">
        <v>2400</v>
      </c>
      <c r="M882">
        <v>2400</v>
      </c>
      <c r="N882">
        <v>0</v>
      </c>
    </row>
    <row r="883" spans="1:14" x14ac:dyDescent="0.25">
      <c r="A883">
        <v>272.33944600000001</v>
      </c>
      <c r="B883" s="1">
        <f>DATE(2011,1,28) + TIME(8,8,48)</f>
        <v>40571.339444444442</v>
      </c>
      <c r="C883">
        <v>1326.0234375</v>
      </c>
      <c r="D883">
        <v>1323.7901611</v>
      </c>
      <c r="E883">
        <v>1338.3215332</v>
      </c>
      <c r="F883">
        <v>1335.972168</v>
      </c>
      <c r="G883">
        <v>80</v>
      </c>
      <c r="H883">
        <v>69.482971191000004</v>
      </c>
      <c r="I883">
        <v>50</v>
      </c>
      <c r="J883">
        <v>49.960052490000002</v>
      </c>
      <c r="K883">
        <v>0</v>
      </c>
      <c r="L883">
        <v>2400</v>
      </c>
      <c r="M883">
        <v>2400</v>
      </c>
      <c r="N883">
        <v>0</v>
      </c>
    </row>
    <row r="884" spans="1:14" x14ac:dyDescent="0.25">
      <c r="A884">
        <v>273.19225399999999</v>
      </c>
      <c r="B884" s="1">
        <f>DATE(2011,1,29) + TIME(4,36,50)</f>
        <v>40572.192245370374</v>
      </c>
      <c r="C884">
        <v>1326.0053711</v>
      </c>
      <c r="D884">
        <v>1323.7657471</v>
      </c>
      <c r="E884">
        <v>1338.3181152</v>
      </c>
      <c r="F884">
        <v>1335.9703368999999</v>
      </c>
      <c r="G884">
        <v>80</v>
      </c>
      <c r="H884">
        <v>69.376777649000005</v>
      </c>
      <c r="I884">
        <v>50</v>
      </c>
      <c r="J884">
        <v>49.960075377999999</v>
      </c>
      <c r="K884">
        <v>0</v>
      </c>
      <c r="L884">
        <v>2400</v>
      </c>
      <c r="M884">
        <v>2400</v>
      </c>
      <c r="N884">
        <v>0</v>
      </c>
    </row>
    <row r="885" spans="1:14" x14ac:dyDescent="0.25">
      <c r="A885">
        <v>274.89787100000001</v>
      </c>
      <c r="B885" s="1">
        <f>DATE(2011,1,30) + TIME(21,32,56)</f>
        <v>40573.897870370369</v>
      </c>
      <c r="C885">
        <v>1325.9871826000001</v>
      </c>
      <c r="D885">
        <v>1323.7403564000001</v>
      </c>
      <c r="E885">
        <v>1338.3146973</v>
      </c>
      <c r="F885">
        <v>1335.9686279</v>
      </c>
      <c r="G885">
        <v>80</v>
      </c>
      <c r="H885">
        <v>69.245704650999997</v>
      </c>
      <c r="I885">
        <v>50</v>
      </c>
      <c r="J885">
        <v>49.960140228</v>
      </c>
      <c r="K885">
        <v>0</v>
      </c>
      <c r="L885">
        <v>2400</v>
      </c>
      <c r="M885">
        <v>2400</v>
      </c>
      <c r="N885">
        <v>0</v>
      </c>
    </row>
    <row r="886" spans="1:14" x14ac:dyDescent="0.25">
      <c r="A886">
        <v>276</v>
      </c>
      <c r="B886" s="1">
        <f>DATE(2011,2,1) + TIME(0,0,0)</f>
        <v>40575</v>
      </c>
      <c r="C886">
        <v>1325.9569091999999</v>
      </c>
      <c r="D886">
        <v>1323.7032471</v>
      </c>
      <c r="E886">
        <v>1338.3078613</v>
      </c>
      <c r="F886">
        <v>1335.9652100000001</v>
      </c>
      <c r="G886">
        <v>80</v>
      </c>
      <c r="H886">
        <v>69.075492858999993</v>
      </c>
      <c r="I886">
        <v>50</v>
      </c>
      <c r="J886">
        <v>49.960159302000001</v>
      </c>
      <c r="K886">
        <v>0</v>
      </c>
      <c r="L886">
        <v>2400</v>
      </c>
      <c r="M886">
        <v>2400</v>
      </c>
      <c r="N886">
        <v>0</v>
      </c>
    </row>
    <row r="887" spans="1:14" x14ac:dyDescent="0.25">
      <c r="A887">
        <v>277.715327</v>
      </c>
      <c r="B887" s="1">
        <f>DATE(2011,2,2) + TIME(17,10,4)</f>
        <v>40576.715324074074</v>
      </c>
      <c r="C887">
        <v>1325.9323730000001</v>
      </c>
      <c r="D887">
        <v>1323.668457</v>
      </c>
      <c r="E887">
        <v>1338.3034668</v>
      </c>
      <c r="F887">
        <v>1335.9630127</v>
      </c>
      <c r="G887">
        <v>80</v>
      </c>
      <c r="H887">
        <v>68.908515929999993</v>
      </c>
      <c r="I887">
        <v>50</v>
      </c>
      <c r="J887">
        <v>49.960216522000003</v>
      </c>
      <c r="K887">
        <v>0</v>
      </c>
      <c r="L887">
        <v>2400</v>
      </c>
      <c r="M887">
        <v>2400</v>
      </c>
      <c r="N887">
        <v>0</v>
      </c>
    </row>
    <row r="888" spans="1:14" x14ac:dyDescent="0.25">
      <c r="A888">
        <v>279.53427599999998</v>
      </c>
      <c r="B888" s="1">
        <f>DATE(2011,2,4) + TIME(12,49,21)</f>
        <v>40578.534270833334</v>
      </c>
      <c r="C888">
        <v>1325.9003906</v>
      </c>
      <c r="D888">
        <v>1323.6268310999999</v>
      </c>
      <c r="E888">
        <v>1338.2967529</v>
      </c>
      <c r="F888">
        <v>1335.9595947</v>
      </c>
      <c r="G888">
        <v>80</v>
      </c>
      <c r="H888">
        <v>68.703720093000001</v>
      </c>
      <c r="I888">
        <v>50</v>
      </c>
      <c r="J888">
        <v>49.960269928000002</v>
      </c>
      <c r="K888">
        <v>0</v>
      </c>
      <c r="L888">
        <v>2400</v>
      </c>
      <c r="M888">
        <v>2400</v>
      </c>
      <c r="N888">
        <v>0</v>
      </c>
    </row>
    <row r="889" spans="1:14" x14ac:dyDescent="0.25">
      <c r="A889">
        <v>280.46750100000003</v>
      </c>
      <c r="B889" s="1">
        <f>DATE(2011,2,5) + TIME(11,13,12)</f>
        <v>40579.467499999999</v>
      </c>
      <c r="C889">
        <v>1325.8659668</v>
      </c>
      <c r="D889">
        <v>1323.5826416</v>
      </c>
      <c r="E889">
        <v>1338.2897949000001</v>
      </c>
      <c r="F889">
        <v>1335.9560547000001</v>
      </c>
      <c r="G889">
        <v>80</v>
      </c>
      <c r="H889">
        <v>68.521438599000007</v>
      </c>
      <c r="I889">
        <v>50</v>
      </c>
      <c r="J889">
        <v>49.960281371999997</v>
      </c>
      <c r="K889">
        <v>0</v>
      </c>
      <c r="L889">
        <v>2400</v>
      </c>
      <c r="M889">
        <v>2400</v>
      </c>
      <c r="N889">
        <v>0</v>
      </c>
    </row>
    <row r="890" spans="1:14" x14ac:dyDescent="0.25">
      <c r="A890">
        <v>281.400194</v>
      </c>
      <c r="B890" s="1">
        <f>DATE(2011,2,6) + TIME(9,36,16)</f>
        <v>40580.400185185186</v>
      </c>
      <c r="C890">
        <v>1325.8441161999999</v>
      </c>
      <c r="D890">
        <v>1323.5509033000001</v>
      </c>
      <c r="E890">
        <v>1338.2862548999999</v>
      </c>
      <c r="F890">
        <v>1335.9542236</v>
      </c>
      <c r="G890">
        <v>80</v>
      </c>
      <c r="H890">
        <v>68.381423949999999</v>
      </c>
      <c r="I890">
        <v>50</v>
      </c>
      <c r="J890">
        <v>49.960296630999999</v>
      </c>
      <c r="K890">
        <v>0</v>
      </c>
      <c r="L890">
        <v>2400</v>
      </c>
      <c r="M890">
        <v>2400</v>
      </c>
      <c r="N890">
        <v>0</v>
      </c>
    </row>
    <row r="891" spans="1:14" x14ac:dyDescent="0.25">
      <c r="A891">
        <v>282.33288800000003</v>
      </c>
      <c r="B891" s="1">
        <f>DATE(2011,2,7) + TIME(7,59,21)</f>
        <v>40581.332881944443</v>
      </c>
      <c r="C891">
        <v>1325.8245850000001</v>
      </c>
      <c r="D891">
        <v>1323.5236815999999</v>
      </c>
      <c r="E891">
        <v>1338.2827147999999</v>
      </c>
      <c r="F891">
        <v>1335.9523925999999</v>
      </c>
      <c r="G891">
        <v>80</v>
      </c>
      <c r="H891">
        <v>68.256561278999996</v>
      </c>
      <c r="I891">
        <v>50</v>
      </c>
      <c r="J891">
        <v>49.960323334000002</v>
      </c>
      <c r="K891">
        <v>0</v>
      </c>
      <c r="L891">
        <v>2400</v>
      </c>
      <c r="M891">
        <v>2400</v>
      </c>
      <c r="N891">
        <v>0</v>
      </c>
    </row>
    <row r="892" spans="1:14" x14ac:dyDescent="0.25">
      <c r="A892">
        <v>283.265581</v>
      </c>
      <c r="B892" s="1">
        <f>DATE(2011,2,8) + TIME(6,22,26)</f>
        <v>40582.2655787037</v>
      </c>
      <c r="C892">
        <v>1325.8060303</v>
      </c>
      <c r="D892">
        <v>1323.4982910000001</v>
      </c>
      <c r="E892">
        <v>1338.2791748</v>
      </c>
      <c r="F892">
        <v>1335.9505615</v>
      </c>
      <c r="G892">
        <v>80</v>
      </c>
      <c r="H892">
        <v>68.137100219999994</v>
      </c>
      <c r="I892">
        <v>50</v>
      </c>
      <c r="J892">
        <v>49.960346221999998</v>
      </c>
      <c r="K892">
        <v>0</v>
      </c>
      <c r="L892">
        <v>2400</v>
      </c>
      <c r="M892">
        <v>2400</v>
      </c>
      <c r="N892">
        <v>0</v>
      </c>
    </row>
    <row r="893" spans="1:14" x14ac:dyDescent="0.25">
      <c r="A893">
        <v>284.19827400000003</v>
      </c>
      <c r="B893" s="1">
        <f>DATE(2011,2,9) + TIME(4,45,30)</f>
        <v>40583.198263888888</v>
      </c>
      <c r="C893">
        <v>1325.7879639</v>
      </c>
      <c r="D893">
        <v>1323.4738769999999</v>
      </c>
      <c r="E893">
        <v>1338.2757568</v>
      </c>
      <c r="F893">
        <v>1335.9488524999999</v>
      </c>
      <c r="G893">
        <v>80</v>
      </c>
      <c r="H893">
        <v>68.019554138000004</v>
      </c>
      <c r="I893">
        <v>50</v>
      </c>
      <c r="J893">
        <v>49.960372925000001</v>
      </c>
      <c r="K893">
        <v>0</v>
      </c>
      <c r="L893">
        <v>2400</v>
      </c>
      <c r="M893">
        <v>2400</v>
      </c>
      <c r="N893">
        <v>0</v>
      </c>
    </row>
    <row r="894" spans="1:14" x14ac:dyDescent="0.25">
      <c r="A894">
        <v>285.130968</v>
      </c>
      <c r="B894" s="1">
        <f>DATE(2011,2,10) + TIME(3,8,35)</f>
        <v>40584.130960648145</v>
      </c>
      <c r="C894">
        <v>1325.7702637</v>
      </c>
      <c r="D894">
        <v>1323.4498291</v>
      </c>
      <c r="E894">
        <v>1338.2723389</v>
      </c>
      <c r="F894">
        <v>1335.9470214999999</v>
      </c>
      <c r="G894">
        <v>80</v>
      </c>
      <c r="H894">
        <v>67.902648925999998</v>
      </c>
      <c r="I894">
        <v>50</v>
      </c>
      <c r="J894">
        <v>49.960399627999998</v>
      </c>
      <c r="K894">
        <v>0</v>
      </c>
      <c r="L894">
        <v>2400</v>
      </c>
      <c r="M894">
        <v>2400</v>
      </c>
      <c r="N894">
        <v>0</v>
      </c>
    </row>
    <row r="895" spans="1:14" x14ac:dyDescent="0.25">
      <c r="A895">
        <v>286.99635499999999</v>
      </c>
      <c r="B895" s="1">
        <f>DATE(2011,2,11) + TIME(23,54,45)</f>
        <v>40585.996354166666</v>
      </c>
      <c r="C895">
        <v>1325.7524414</v>
      </c>
      <c r="D895">
        <v>1323.4249268000001</v>
      </c>
      <c r="E895">
        <v>1338.269043</v>
      </c>
      <c r="F895">
        <v>1335.9453125</v>
      </c>
      <c r="G895">
        <v>80</v>
      </c>
      <c r="H895">
        <v>67.760429381999998</v>
      </c>
      <c r="I895">
        <v>50</v>
      </c>
      <c r="J895">
        <v>49.960472107000001</v>
      </c>
      <c r="K895">
        <v>0</v>
      </c>
      <c r="L895">
        <v>2400</v>
      </c>
      <c r="M895">
        <v>2400</v>
      </c>
      <c r="N895">
        <v>0</v>
      </c>
    </row>
    <row r="896" spans="1:14" x14ac:dyDescent="0.25">
      <c r="A896">
        <v>288.87554</v>
      </c>
      <c r="B896" s="1">
        <f>DATE(2011,2,13) + TIME(21,0,46)</f>
        <v>40587.875532407408</v>
      </c>
      <c r="C896">
        <v>1325.7222899999999</v>
      </c>
      <c r="D896">
        <v>1323.387207</v>
      </c>
      <c r="E896">
        <v>1338.2623291</v>
      </c>
      <c r="F896">
        <v>1335.9418945</v>
      </c>
      <c r="G896">
        <v>80</v>
      </c>
      <c r="H896">
        <v>67.547157287999994</v>
      </c>
      <c r="I896">
        <v>50</v>
      </c>
      <c r="J896">
        <v>49.960529327000003</v>
      </c>
      <c r="K896">
        <v>0</v>
      </c>
      <c r="L896">
        <v>2400</v>
      </c>
      <c r="M896">
        <v>2400</v>
      </c>
      <c r="N896">
        <v>0</v>
      </c>
    </row>
    <row r="897" spans="1:14" x14ac:dyDescent="0.25">
      <c r="A897">
        <v>290.82285100000001</v>
      </c>
      <c r="B897" s="1">
        <f>DATE(2011,2,15) + TIME(19,44,54)</f>
        <v>40589.822847222225</v>
      </c>
      <c r="C897">
        <v>1325.6892089999999</v>
      </c>
      <c r="D897">
        <v>1323.3431396000001</v>
      </c>
      <c r="E897">
        <v>1338.2556152</v>
      </c>
      <c r="F897">
        <v>1335.9383545000001</v>
      </c>
      <c r="G897">
        <v>80</v>
      </c>
      <c r="H897">
        <v>67.315612793</v>
      </c>
      <c r="I897">
        <v>50</v>
      </c>
      <c r="J897">
        <v>49.960590363000001</v>
      </c>
      <c r="K897">
        <v>0</v>
      </c>
      <c r="L897">
        <v>2400</v>
      </c>
      <c r="M897">
        <v>2400</v>
      </c>
      <c r="N897">
        <v>0</v>
      </c>
    </row>
    <row r="898" spans="1:14" x14ac:dyDescent="0.25">
      <c r="A898">
        <v>291.833932</v>
      </c>
      <c r="B898" s="1">
        <f>DATE(2011,2,16) + TIME(20,0,51)</f>
        <v>40590.833923611113</v>
      </c>
      <c r="C898">
        <v>1325.6550293</v>
      </c>
      <c r="D898">
        <v>1323.2988281</v>
      </c>
      <c r="E898">
        <v>1338.2487793</v>
      </c>
      <c r="F898">
        <v>1335.9348144999999</v>
      </c>
      <c r="G898">
        <v>80</v>
      </c>
      <c r="H898">
        <v>67.114250182999996</v>
      </c>
      <c r="I898">
        <v>50</v>
      </c>
      <c r="J898">
        <v>49.960601807000003</v>
      </c>
      <c r="K898">
        <v>0</v>
      </c>
      <c r="L898">
        <v>2400</v>
      </c>
      <c r="M898">
        <v>2400</v>
      </c>
      <c r="N898">
        <v>0</v>
      </c>
    </row>
    <row r="899" spans="1:14" x14ac:dyDescent="0.25">
      <c r="A899">
        <v>292.84501399999999</v>
      </c>
      <c r="B899" s="1">
        <f>DATE(2011,2,17) + TIME(20,16,49)</f>
        <v>40591.845011574071</v>
      </c>
      <c r="C899">
        <v>1325.6335449000001</v>
      </c>
      <c r="D899">
        <v>1323.2673339999999</v>
      </c>
      <c r="E899">
        <v>1338.2452393000001</v>
      </c>
      <c r="F899">
        <v>1335.9329834</v>
      </c>
      <c r="G899">
        <v>80</v>
      </c>
      <c r="H899">
        <v>66.962257385000001</v>
      </c>
      <c r="I899">
        <v>50</v>
      </c>
      <c r="J899">
        <v>49.960624695</v>
      </c>
      <c r="K899">
        <v>0</v>
      </c>
      <c r="L899">
        <v>2400</v>
      </c>
      <c r="M899">
        <v>2400</v>
      </c>
      <c r="N899">
        <v>0</v>
      </c>
    </row>
    <row r="900" spans="1:14" x14ac:dyDescent="0.25">
      <c r="A900">
        <v>293.85609499999998</v>
      </c>
      <c r="B900" s="1">
        <f>DATE(2011,2,18) + TIME(20,32,46)</f>
        <v>40592.856087962966</v>
      </c>
      <c r="C900">
        <v>1325.6143798999999</v>
      </c>
      <c r="D900">
        <v>1323.2406006000001</v>
      </c>
      <c r="E900">
        <v>1338.2418213000001</v>
      </c>
      <c r="F900">
        <v>1335.9311522999999</v>
      </c>
      <c r="G900">
        <v>80</v>
      </c>
      <c r="H900">
        <v>66.826896667</v>
      </c>
      <c r="I900">
        <v>50</v>
      </c>
      <c r="J900">
        <v>49.960651398000003</v>
      </c>
      <c r="K900">
        <v>0</v>
      </c>
      <c r="L900">
        <v>2400</v>
      </c>
      <c r="M900">
        <v>2400</v>
      </c>
      <c r="N900">
        <v>0</v>
      </c>
    </row>
    <row r="901" spans="1:14" x14ac:dyDescent="0.25">
      <c r="A901">
        <v>294.86717599999997</v>
      </c>
      <c r="B901" s="1">
        <f>DATE(2011,2,19) + TIME(20,48,44)</f>
        <v>40593.867175925923</v>
      </c>
      <c r="C901">
        <v>1325.5961914</v>
      </c>
      <c r="D901">
        <v>1323.2156981999999</v>
      </c>
      <c r="E901">
        <v>1338.2384033000001</v>
      </c>
      <c r="F901">
        <v>1335.9293213000001</v>
      </c>
      <c r="G901">
        <v>80</v>
      </c>
      <c r="H901">
        <v>66.697128296000002</v>
      </c>
      <c r="I901">
        <v>50</v>
      </c>
      <c r="J901">
        <v>49.960681915000002</v>
      </c>
      <c r="K901">
        <v>0</v>
      </c>
      <c r="L901">
        <v>2400</v>
      </c>
      <c r="M901">
        <v>2400</v>
      </c>
      <c r="N901">
        <v>0</v>
      </c>
    </row>
    <row r="902" spans="1:14" x14ac:dyDescent="0.25">
      <c r="A902">
        <v>295.87825700000002</v>
      </c>
      <c r="B902" s="1">
        <f>DATE(2011,2,20) + TIME(21,4,41)</f>
        <v>40594.878252314818</v>
      </c>
      <c r="C902">
        <v>1325.5784911999999</v>
      </c>
      <c r="D902">
        <v>1323.1916504000001</v>
      </c>
      <c r="E902">
        <v>1338.2349853999999</v>
      </c>
      <c r="F902">
        <v>1335.9274902</v>
      </c>
      <c r="G902">
        <v>80</v>
      </c>
      <c r="H902">
        <v>66.569229125999996</v>
      </c>
      <c r="I902">
        <v>50</v>
      </c>
      <c r="J902">
        <v>49.960712432999998</v>
      </c>
      <c r="K902">
        <v>0</v>
      </c>
      <c r="L902">
        <v>2400</v>
      </c>
      <c r="M902">
        <v>2400</v>
      </c>
      <c r="N902">
        <v>0</v>
      </c>
    </row>
    <row r="903" spans="1:14" x14ac:dyDescent="0.25">
      <c r="A903">
        <v>296.88933800000001</v>
      </c>
      <c r="B903" s="1">
        <f>DATE(2011,2,21) + TIME(21,20,38)</f>
        <v>40595.889328703706</v>
      </c>
      <c r="C903">
        <v>1325.5610352000001</v>
      </c>
      <c r="D903">
        <v>1323.1679687999999</v>
      </c>
      <c r="E903">
        <v>1338.2315673999999</v>
      </c>
      <c r="F903">
        <v>1335.9256591999999</v>
      </c>
      <c r="G903">
        <v>80</v>
      </c>
      <c r="H903">
        <v>66.441932678000001</v>
      </c>
      <c r="I903">
        <v>50</v>
      </c>
      <c r="J903">
        <v>49.960742949999997</v>
      </c>
      <c r="K903">
        <v>0</v>
      </c>
      <c r="L903">
        <v>2400</v>
      </c>
      <c r="M903">
        <v>2400</v>
      </c>
      <c r="N903">
        <v>0</v>
      </c>
    </row>
    <row r="904" spans="1:14" x14ac:dyDescent="0.25">
      <c r="A904">
        <v>297.90042</v>
      </c>
      <c r="B904" s="1">
        <f>DATE(2011,2,22) + TIME(21,36,36)</f>
        <v>40596.900416666664</v>
      </c>
      <c r="C904">
        <v>1325.5438231999999</v>
      </c>
      <c r="D904">
        <v>1323.1446533000001</v>
      </c>
      <c r="E904">
        <v>1338.2282714999999</v>
      </c>
      <c r="F904">
        <v>1335.9239502</v>
      </c>
      <c r="G904">
        <v>80</v>
      </c>
      <c r="H904">
        <v>66.314819335999999</v>
      </c>
      <c r="I904">
        <v>50</v>
      </c>
      <c r="J904">
        <v>49.960773467999999</v>
      </c>
      <c r="K904">
        <v>0</v>
      </c>
      <c r="L904">
        <v>2400</v>
      </c>
      <c r="M904">
        <v>2400</v>
      </c>
      <c r="N904">
        <v>0</v>
      </c>
    </row>
    <row r="905" spans="1:14" x14ac:dyDescent="0.25">
      <c r="A905">
        <v>299.92258199999998</v>
      </c>
      <c r="B905" s="1">
        <f>DATE(2011,2,24) + TIME(22,8,31)</f>
        <v>40598.922581018516</v>
      </c>
      <c r="C905">
        <v>1325.5264893000001</v>
      </c>
      <c r="D905">
        <v>1323.1203613</v>
      </c>
      <c r="E905">
        <v>1338.2249756000001</v>
      </c>
      <c r="F905">
        <v>1335.9222411999999</v>
      </c>
      <c r="G905">
        <v>80</v>
      </c>
      <c r="H905">
        <v>66.161895752000007</v>
      </c>
      <c r="I905">
        <v>50</v>
      </c>
      <c r="J905">
        <v>49.960853577000002</v>
      </c>
      <c r="K905">
        <v>0</v>
      </c>
      <c r="L905">
        <v>2400</v>
      </c>
      <c r="M905">
        <v>2400</v>
      </c>
      <c r="N905">
        <v>0</v>
      </c>
    </row>
    <row r="906" spans="1:14" x14ac:dyDescent="0.25">
      <c r="A906">
        <v>301.95953200000002</v>
      </c>
      <c r="B906" s="1">
        <f>DATE(2011,2,26) + TIME(23,1,43)</f>
        <v>40600.95952546296</v>
      </c>
      <c r="C906">
        <v>1325.4971923999999</v>
      </c>
      <c r="D906">
        <v>1323.0834961</v>
      </c>
      <c r="E906">
        <v>1338.2183838000001</v>
      </c>
      <c r="F906">
        <v>1335.9187012</v>
      </c>
      <c r="G906">
        <v>80</v>
      </c>
      <c r="H906">
        <v>65.928482056000007</v>
      </c>
      <c r="I906">
        <v>50</v>
      </c>
      <c r="J906">
        <v>49.960922240999999</v>
      </c>
      <c r="K906">
        <v>0</v>
      </c>
      <c r="L906">
        <v>2400</v>
      </c>
      <c r="M906">
        <v>2400</v>
      </c>
      <c r="N906">
        <v>0</v>
      </c>
    </row>
    <row r="907" spans="1:14" x14ac:dyDescent="0.25">
      <c r="A907">
        <v>304</v>
      </c>
      <c r="B907" s="1">
        <f>DATE(2011,3,1) + TIME(0,0,0)</f>
        <v>40603</v>
      </c>
      <c r="C907">
        <v>1325.4648437999999</v>
      </c>
      <c r="D907">
        <v>1323.0402832</v>
      </c>
      <c r="E907">
        <v>1338.2117920000001</v>
      </c>
      <c r="F907">
        <v>1335.9151611</v>
      </c>
      <c r="G907">
        <v>80</v>
      </c>
      <c r="H907">
        <v>65.677597046000002</v>
      </c>
      <c r="I907">
        <v>50</v>
      </c>
      <c r="J907">
        <v>49.960983276</v>
      </c>
      <c r="K907">
        <v>0</v>
      </c>
      <c r="L907">
        <v>2400</v>
      </c>
      <c r="M907">
        <v>2400</v>
      </c>
      <c r="N907">
        <v>0</v>
      </c>
    </row>
    <row r="908" spans="1:14" x14ac:dyDescent="0.25">
      <c r="A908">
        <v>306.11697099999998</v>
      </c>
      <c r="B908" s="1">
        <f>DATE(2011,3,3) + TIME(2,48,26)</f>
        <v>40605.116967592592</v>
      </c>
      <c r="C908">
        <v>1325.432251</v>
      </c>
      <c r="D908">
        <v>1322.9960937999999</v>
      </c>
      <c r="E908">
        <v>1338.2053223</v>
      </c>
      <c r="F908">
        <v>1335.9116211</v>
      </c>
      <c r="G908">
        <v>80</v>
      </c>
      <c r="H908">
        <v>65.420860290999997</v>
      </c>
      <c r="I908">
        <v>50</v>
      </c>
      <c r="J908">
        <v>49.961051941000001</v>
      </c>
      <c r="K908">
        <v>0</v>
      </c>
      <c r="L908">
        <v>2400</v>
      </c>
      <c r="M908">
        <v>2400</v>
      </c>
      <c r="N908">
        <v>0</v>
      </c>
    </row>
    <row r="909" spans="1:14" x14ac:dyDescent="0.25">
      <c r="A909">
        <v>308.31020100000001</v>
      </c>
      <c r="B909" s="1">
        <f>DATE(2011,3,5) + TIME(7,26,41)</f>
        <v>40607.310196759259</v>
      </c>
      <c r="C909">
        <v>1325.3989257999999</v>
      </c>
      <c r="D909">
        <v>1322.9510498</v>
      </c>
      <c r="E909">
        <v>1338.1986084</v>
      </c>
      <c r="F909">
        <v>1335.9080810999999</v>
      </c>
      <c r="G909">
        <v>80</v>
      </c>
      <c r="H909">
        <v>65.155128478999998</v>
      </c>
      <c r="I909">
        <v>50</v>
      </c>
      <c r="J909">
        <v>49.961120604999998</v>
      </c>
      <c r="K909">
        <v>0</v>
      </c>
      <c r="L909">
        <v>2400</v>
      </c>
      <c r="M909">
        <v>2400</v>
      </c>
      <c r="N909">
        <v>0</v>
      </c>
    </row>
    <row r="910" spans="1:14" x14ac:dyDescent="0.25">
      <c r="A910">
        <v>310.510558</v>
      </c>
      <c r="B910" s="1">
        <f>DATE(2011,3,7) + TIME(12,15,12)</f>
        <v>40609.510555555556</v>
      </c>
      <c r="C910">
        <v>1325.3649902</v>
      </c>
      <c r="D910">
        <v>1322.9052733999999</v>
      </c>
      <c r="E910">
        <v>1338.1918945</v>
      </c>
      <c r="F910">
        <v>1335.9044189000001</v>
      </c>
      <c r="G910">
        <v>80</v>
      </c>
      <c r="H910">
        <v>64.881469726999995</v>
      </c>
      <c r="I910">
        <v>50</v>
      </c>
      <c r="J910">
        <v>49.961189269999998</v>
      </c>
      <c r="K910">
        <v>0</v>
      </c>
      <c r="L910">
        <v>2400</v>
      </c>
      <c r="M910">
        <v>2400</v>
      </c>
      <c r="N910">
        <v>0</v>
      </c>
    </row>
    <row r="911" spans="1:14" x14ac:dyDescent="0.25">
      <c r="A911">
        <v>312.737165</v>
      </c>
      <c r="B911" s="1">
        <f>DATE(2011,3,9) + TIME(17,41,31)</f>
        <v>40611.737164351849</v>
      </c>
      <c r="C911">
        <v>1325.3312988</v>
      </c>
      <c r="D911">
        <v>1322.8594971</v>
      </c>
      <c r="E911">
        <v>1338.1851807</v>
      </c>
      <c r="F911">
        <v>1335.9006348</v>
      </c>
      <c r="G911">
        <v>80</v>
      </c>
      <c r="H911">
        <v>64.604980468999997</v>
      </c>
      <c r="I911">
        <v>50</v>
      </c>
      <c r="J911">
        <v>49.961257934999999</v>
      </c>
      <c r="K911">
        <v>0</v>
      </c>
      <c r="L911">
        <v>2400</v>
      </c>
      <c r="M911">
        <v>2400</v>
      </c>
      <c r="N911">
        <v>0</v>
      </c>
    </row>
    <row r="912" spans="1:14" x14ac:dyDescent="0.25">
      <c r="A912">
        <v>315.00948399999999</v>
      </c>
      <c r="B912" s="1">
        <f>DATE(2011,3,12) + TIME(0,13,39)</f>
        <v>40614.009479166663</v>
      </c>
      <c r="C912">
        <v>1325.2978516000001</v>
      </c>
      <c r="D912">
        <v>1322.8139647999999</v>
      </c>
      <c r="E912">
        <v>1338.1784668</v>
      </c>
      <c r="F912">
        <v>1335.8969727000001</v>
      </c>
      <c r="G912">
        <v>80</v>
      </c>
      <c r="H912">
        <v>64.324676514000004</v>
      </c>
      <c r="I912">
        <v>50</v>
      </c>
      <c r="J912">
        <v>49.961330414000003</v>
      </c>
      <c r="K912">
        <v>0</v>
      </c>
      <c r="L912">
        <v>2400</v>
      </c>
      <c r="M912">
        <v>2400</v>
      </c>
      <c r="N912">
        <v>0</v>
      </c>
    </row>
    <row r="913" spans="1:14" x14ac:dyDescent="0.25">
      <c r="A913">
        <v>317.33204499999999</v>
      </c>
      <c r="B913" s="1">
        <f>DATE(2011,3,14) + TIME(7,58,8)</f>
        <v>40616.332037037035</v>
      </c>
      <c r="C913">
        <v>1325.2644043</v>
      </c>
      <c r="D913">
        <v>1322.7683105000001</v>
      </c>
      <c r="E913">
        <v>1338.1717529</v>
      </c>
      <c r="F913">
        <v>1335.8931885</v>
      </c>
      <c r="G913">
        <v>80</v>
      </c>
      <c r="H913">
        <v>64.038703917999996</v>
      </c>
      <c r="I913">
        <v>50</v>
      </c>
      <c r="J913">
        <v>49.961402892999999</v>
      </c>
      <c r="K913">
        <v>0</v>
      </c>
      <c r="L913">
        <v>2400</v>
      </c>
      <c r="M913">
        <v>2400</v>
      </c>
      <c r="N913">
        <v>0</v>
      </c>
    </row>
    <row r="914" spans="1:14" x14ac:dyDescent="0.25">
      <c r="A914">
        <v>318.49411300000003</v>
      </c>
      <c r="B914" s="1">
        <f>DATE(2011,3,15) + TIME(11,51,31)</f>
        <v>40617.494108796294</v>
      </c>
      <c r="C914">
        <v>1325.2308350000001</v>
      </c>
      <c r="D914">
        <v>1322.7243652</v>
      </c>
      <c r="E914">
        <v>1338.1649170000001</v>
      </c>
      <c r="F914">
        <v>1335.8894043</v>
      </c>
      <c r="G914">
        <v>80</v>
      </c>
      <c r="H914">
        <v>63.791957855</v>
      </c>
      <c r="I914">
        <v>50</v>
      </c>
      <c r="J914">
        <v>49.961425781000003</v>
      </c>
      <c r="K914">
        <v>0</v>
      </c>
      <c r="L914">
        <v>2400</v>
      </c>
      <c r="M914">
        <v>2400</v>
      </c>
      <c r="N914">
        <v>0</v>
      </c>
    </row>
    <row r="915" spans="1:14" x14ac:dyDescent="0.25">
      <c r="A915">
        <v>319.656182</v>
      </c>
      <c r="B915" s="1">
        <f>DATE(2011,3,16) + TIME(15,44,54)</f>
        <v>40618.656180555554</v>
      </c>
      <c r="C915">
        <v>1325.2106934000001</v>
      </c>
      <c r="D915">
        <v>1322.6939697</v>
      </c>
      <c r="E915">
        <v>1338.161499</v>
      </c>
      <c r="F915">
        <v>1335.8874512</v>
      </c>
      <c r="G915">
        <v>80</v>
      </c>
      <c r="H915">
        <v>63.614513397000003</v>
      </c>
      <c r="I915">
        <v>50</v>
      </c>
      <c r="J915">
        <v>49.961456298999998</v>
      </c>
      <c r="K915">
        <v>0</v>
      </c>
      <c r="L915">
        <v>2400</v>
      </c>
      <c r="M915">
        <v>2400</v>
      </c>
      <c r="N915">
        <v>0</v>
      </c>
    </row>
    <row r="916" spans="1:14" x14ac:dyDescent="0.25">
      <c r="A916">
        <v>320.81825099999998</v>
      </c>
      <c r="B916" s="1">
        <f>DATE(2011,3,17) + TIME(19,38,16)</f>
        <v>40619.818240740744</v>
      </c>
      <c r="C916">
        <v>1325.1928711</v>
      </c>
      <c r="D916">
        <v>1322.6688231999999</v>
      </c>
      <c r="E916">
        <v>1338.1582031</v>
      </c>
      <c r="F916">
        <v>1335.8856201000001</v>
      </c>
      <c r="G916">
        <v>80</v>
      </c>
      <c r="H916">
        <v>63.458038330000001</v>
      </c>
      <c r="I916">
        <v>50</v>
      </c>
      <c r="J916">
        <v>49.961490630999997</v>
      </c>
      <c r="K916">
        <v>0</v>
      </c>
      <c r="L916">
        <v>2400</v>
      </c>
      <c r="M916">
        <v>2400</v>
      </c>
      <c r="N916">
        <v>0</v>
      </c>
    </row>
    <row r="917" spans="1:14" x14ac:dyDescent="0.25">
      <c r="A917">
        <v>321.98032000000001</v>
      </c>
      <c r="B917" s="1">
        <f>DATE(2011,3,18) + TIME(23,31,39)</f>
        <v>40620.980312500003</v>
      </c>
      <c r="C917">
        <v>1325.1761475000001</v>
      </c>
      <c r="D917">
        <v>1322.6455077999999</v>
      </c>
      <c r="E917">
        <v>1338.1549072</v>
      </c>
      <c r="F917">
        <v>1335.8836670000001</v>
      </c>
      <c r="G917">
        <v>80</v>
      </c>
      <c r="H917">
        <v>63.307941436999997</v>
      </c>
      <c r="I917">
        <v>50</v>
      </c>
      <c r="J917">
        <v>49.961528778000002</v>
      </c>
      <c r="K917">
        <v>0</v>
      </c>
      <c r="L917">
        <v>2400</v>
      </c>
      <c r="M917">
        <v>2400</v>
      </c>
      <c r="N917">
        <v>0</v>
      </c>
    </row>
    <row r="918" spans="1:14" x14ac:dyDescent="0.25">
      <c r="A918">
        <v>324.30445700000001</v>
      </c>
      <c r="B918" s="1">
        <f>DATE(2011,3,21) + TIME(7,18,25)</f>
        <v>40623.304456018515</v>
      </c>
      <c r="C918">
        <v>1325.1597899999999</v>
      </c>
      <c r="D918">
        <v>1322.6219481999999</v>
      </c>
      <c r="E918">
        <v>1338.1516113</v>
      </c>
      <c r="F918">
        <v>1335.8819579999999</v>
      </c>
      <c r="G918">
        <v>80</v>
      </c>
      <c r="H918">
        <v>63.133056641000003</v>
      </c>
      <c r="I918">
        <v>50</v>
      </c>
      <c r="J918">
        <v>49.961620330999999</v>
      </c>
      <c r="K918">
        <v>0</v>
      </c>
      <c r="L918">
        <v>2400</v>
      </c>
      <c r="M918">
        <v>2400</v>
      </c>
      <c r="N918">
        <v>0</v>
      </c>
    </row>
    <row r="919" spans="1:14" x14ac:dyDescent="0.25">
      <c r="A919">
        <v>326.62897600000002</v>
      </c>
      <c r="B919" s="1">
        <f>DATE(2011,3,23) + TIME(15,5,43)</f>
        <v>40625.628969907404</v>
      </c>
      <c r="C919">
        <v>1325.1319579999999</v>
      </c>
      <c r="D919">
        <v>1322.5865478999999</v>
      </c>
      <c r="E919">
        <v>1338.1450195</v>
      </c>
      <c r="F919">
        <v>1335.8781738</v>
      </c>
      <c r="G919">
        <v>80</v>
      </c>
      <c r="H919">
        <v>62.860797882</v>
      </c>
      <c r="I919">
        <v>50</v>
      </c>
      <c r="J919">
        <v>49.961700438999998</v>
      </c>
      <c r="K919">
        <v>0</v>
      </c>
      <c r="L919">
        <v>2400</v>
      </c>
      <c r="M919">
        <v>2400</v>
      </c>
      <c r="N919">
        <v>0</v>
      </c>
    </row>
    <row r="920" spans="1:14" x14ac:dyDescent="0.25">
      <c r="A920">
        <v>329.02692999999999</v>
      </c>
      <c r="B920" s="1">
        <f>DATE(2011,3,26) + TIME(0,38,46)</f>
        <v>40628.026921296296</v>
      </c>
      <c r="C920">
        <v>1325.1014404</v>
      </c>
      <c r="D920">
        <v>1322.5451660000001</v>
      </c>
      <c r="E920">
        <v>1338.1386719</v>
      </c>
      <c r="F920">
        <v>1335.8745117000001</v>
      </c>
      <c r="G920">
        <v>80</v>
      </c>
      <c r="H920">
        <v>62.569660186999997</v>
      </c>
      <c r="I920">
        <v>50</v>
      </c>
      <c r="J920">
        <v>49.961780548</v>
      </c>
      <c r="K920">
        <v>0</v>
      </c>
      <c r="L920">
        <v>2400</v>
      </c>
      <c r="M920">
        <v>2400</v>
      </c>
      <c r="N920">
        <v>0</v>
      </c>
    </row>
    <row r="921" spans="1:14" x14ac:dyDescent="0.25">
      <c r="A921">
        <v>331.51944700000001</v>
      </c>
      <c r="B921" s="1">
        <f>DATE(2011,3,28) + TIME(12,28,0)</f>
        <v>40630.519444444442</v>
      </c>
      <c r="C921">
        <v>1325.0701904</v>
      </c>
      <c r="D921">
        <v>1322.5023193</v>
      </c>
      <c r="E921">
        <v>1338.1320800999999</v>
      </c>
      <c r="F921">
        <v>1335.8707274999999</v>
      </c>
      <c r="G921">
        <v>80</v>
      </c>
      <c r="H921">
        <v>62.266807556000003</v>
      </c>
      <c r="I921">
        <v>50</v>
      </c>
      <c r="J921">
        <v>49.961864470999998</v>
      </c>
      <c r="K921">
        <v>0</v>
      </c>
      <c r="L921">
        <v>2400</v>
      </c>
      <c r="M921">
        <v>2400</v>
      </c>
      <c r="N921">
        <v>0</v>
      </c>
    </row>
    <row r="922" spans="1:14" x14ac:dyDescent="0.25">
      <c r="A922">
        <v>332.774877</v>
      </c>
      <c r="B922" s="1">
        <f>DATE(2011,3,29) + TIME(18,35,49)</f>
        <v>40631.774872685186</v>
      </c>
      <c r="C922">
        <v>1325.0383300999999</v>
      </c>
      <c r="D922">
        <v>1322.4603271000001</v>
      </c>
      <c r="E922">
        <v>1338.1252440999999</v>
      </c>
      <c r="F922">
        <v>1335.8666992000001</v>
      </c>
      <c r="G922">
        <v>80</v>
      </c>
      <c r="H922">
        <v>61.998790741000001</v>
      </c>
      <c r="I922">
        <v>50</v>
      </c>
      <c r="J922">
        <v>49.961887359999999</v>
      </c>
      <c r="K922">
        <v>0</v>
      </c>
      <c r="L922">
        <v>2400</v>
      </c>
      <c r="M922">
        <v>2400</v>
      </c>
      <c r="N922">
        <v>0</v>
      </c>
    </row>
    <row r="923" spans="1:14" x14ac:dyDescent="0.25">
      <c r="A923">
        <v>335</v>
      </c>
      <c r="B923" s="1">
        <f>DATE(2011,4,1) + TIME(0,0,0)</f>
        <v>40634</v>
      </c>
      <c r="C923">
        <v>1325.019043</v>
      </c>
      <c r="D923">
        <v>1322.4299315999999</v>
      </c>
      <c r="E923">
        <v>1338.1219481999999</v>
      </c>
      <c r="F923">
        <v>1335.8647461</v>
      </c>
      <c r="G923">
        <v>80</v>
      </c>
      <c r="H923">
        <v>61.780494689999998</v>
      </c>
      <c r="I923">
        <v>50</v>
      </c>
      <c r="J923">
        <v>49.961967467999997</v>
      </c>
      <c r="K923">
        <v>0</v>
      </c>
      <c r="L923">
        <v>2400</v>
      </c>
      <c r="M923">
        <v>2400</v>
      </c>
      <c r="N923">
        <v>0</v>
      </c>
    </row>
    <row r="924" spans="1:14" x14ac:dyDescent="0.25">
      <c r="A924">
        <v>337.50551400000001</v>
      </c>
      <c r="B924" s="1">
        <f>DATE(2011,4,3) + TIME(12,7,56)</f>
        <v>40636.505509259259</v>
      </c>
      <c r="C924">
        <v>1324.9929199000001</v>
      </c>
      <c r="D924">
        <v>1322.3948975000001</v>
      </c>
      <c r="E924">
        <v>1338.1159668</v>
      </c>
      <c r="F924">
        <v>1335.8613281</v>
      </c>
      <c r="G924">
        <v>80</v>
      </c>
      <c r="H924">
        <v>61.504402161000002</v>
      </c>
      <c r="I924">
        <v>50</v>
      </c>
      <c r="J924">
        <v>49.962055206000002</v>
      </c>
      <c r="K924">
        <v>0</v>
      </c>
      <c r="L924">
        <v>2400</v>
      </c>
      <c r="M924">
        <v>2400</v>
      </c>
      <c r="N924">
        <v>0</v>
      </c>
    </row>
    <row r="925" spans="1:14" x14ac:dyDescent="0.25">
      <c r="A925">
        <v>340.03719899999999</v>
      </c>
      <c r="B925" s="1">
        <f>DATE(2011,4,6) + TIME(0,53,33)</f>
        <v>40639.037187499998</v>
      </c>
      <c r="C925">
        <v>1324.9633789</v>
      </c>
      <c r="D925">
        <v>1322.3548584</v>
      </c>
      <c r="E925">
        <v>1338.109375</v>
      </c>
      <c r="F925">
        <v>1335.8574219</v>
      </c>
      <c r="G925">
        <v>80</v>
      </c>
      <c r="H925">
        <v>61.193862914999997</v>
      </c>
      <c r="I925">
        <v>50</v>
      </c>
      <c r="J925">
        <v>49.962142944</v>
      </c>
      <c r="K925">
        <v>0</v>
      </c>
      <c r="L925">
        <v>2400</v>
      </c>
      <c r="M925">
        <v>2400</v>
      </c>
      <c r="N925">
        <v>0</v>
      </c>
    </row>
    <row r="926" spans="1:14" x14ac:dyDescent="0.25">
      <c r="A926">
        <v>342.630854</v>
      </c>
      <c r="B926" s="1">
        <f>DATE(2011,4,8) + TIME(15,8,25)</f>
        <v>40641.630844907406</v>
      </c>
      <c r="C926">
        <v>1324.9332274999999</v>
      </c>
      <c r="D926">
        <v>1322.3132324000001</v>
      </c>
      <c r="E926">
        <v>1338.1029053</v>
      </c>
      <c r="F926">
        <v>1335.8536377</v>
      </c>
      <c r="G926">
        <v>80</v>
      </c>
      <c r="H926">
        <v>60.873729705999999</v>
      </c>
      <c r="I926">
        <v>50</v>
      </c>
      <c r="J926">
        <v>49.962226868000002</v>
      </c>
      <c r="K926">
        <v>0</v>
      </c>
      <c r="L926">
        <v>2400</v>
      </c>
      <c r="M926">
        <v>2400</v>
      </c>
      <c r="N926">
        <v>0</v>
      </c>
    </row>
    <row r="927" spans="1:14" x14ac:dyDescent="0.25">
      <c r="A927">
        <v>345.29013900000001</v>
      </c>
      <c r="B927" s="1">
        <f>DATE(2011,4,11) + TIME(6,57,47)</f>
        <v>40644.290127314816</v>
      </c>
      <c r="C927">
        <v>1324.9029541</v>
      </c>
      <c r="D927">
        <v>1322.2713623</v>
      </c>
      <c r="E927">
        <v>1338.0961914</v>
      </c>
      <c r="F927">
        <v>1335.8496094</v>
      </c>
      <c r="G927">
        <v>80</v>
      </c>
      <c r="H927">
        <v>60.545330047999997</v>
      </c>
      <c r="I927">
        <v>50</v>
      </c>
      <c r="J927">
        <v>49.962314606</v>
      </c>
      <c r="K927">
        <v>0</v>
      </c>
      <c r="L927">
        <v>2400</v>
      </c>
      <c r="M927">
        <v>2400</v>
      </c>
      <c r="N927">
        <v>0</v>
      </c>
    </row>
    <row r="928" spans="1:14" x14ac:dyDescent="0.25">
      <c r="A928">
        <v>346.62498299999999</v>
      </c>
      <c r="B928" s="1">
        <f>DATE(2011,4,12) + TIME(14,59,58)</f>
        <v>40645.624976851854</v>
      </c>
      <c r="C928">
        <v>1324.8724365</v>
      </c>
      <c r="D928">
        <v>1322.2308350000001</v>
      </c>
      <c r="E928">
        <v>1338.0894774999999</v>
      </c>
      <c r="F928">
        <v>1335.8455810999999</v>
      </c>
      <c r="G928">
        <v>80</v>
      </c>
      <c r="H928">
        <v>60.256202698000003</v>
      </c>
      <c r="I928">
        <v>50</v>
      </c>
      <c r="J928">
        <v>49.962345122999999</v>
      </c>
      <c r="K928">
        <v>0</v>
      </c>
      <c r="L928">
        <v>2400</v>
      </c>
      <c r="M928">
        <v>2400</v>
      </c>
      <c r="N928">
        <v>0</v>
      </c>
    </row>
    <row r="929" spans="1:14" x14ac:dyDescent="0.25">
      <c r="A929">
        <v>347.95982600000002</v>
      </c>
      <c r="B929" s="1">
        <f>DATE(2011,4,13) + TIME(23,2,8)</f>
        <v>40646.959814814814</v>
      </c>
      <c r="C929">
        <v>1324.8543701000001</v>
      </c>
      <c r="D929">
        <v>1322.2027588000001</v>
      </c>
      <c r="E929">
        <v>1338.0860596</v>
      </c>
      <c r="F929">
        <v>1335.8435059000001</v>
      </c>
      <c r="G929">
        <v>80</v>
      </c>
      <c r="H929">
        <v>60.053375244000001</v>
      </c>
      <c r="I929">
        <v>50</v>
      </c>
      <c r="J929">
        <v>49.962383269999997</v>
      </c>
      <c r="K929">
        <v>0</v>
      </c>
      <c r="L929">
        <v>2400</v>
      </c>
      <c r="M929">
        <v>2400</v>
      </c>
      <c r="N929">
        <v>0</v>
      </c>
    </row>
    <row r="930" spans="1:14" x14ac:dyDescent="0.25">
      <c r="A930">
        <v>349.29467</v>
      </c>
      <c r="B930" s="1">
        <f>DATE(2011,4,15) + TIME(7,4,19)</f>
        <v>40648.294664351852</v>
      </c>
      <c r="C930">
        <v>1324.8386230000001</v>
      </c>
      <c r="D930">
        <v>1322.1799315999999</v>
      </c>
      <c r="E930">
        <v>1338.0827637</v>
      </c>
      <c r="F930">
        <v>1335.8414307</v>
      </c>
      <c r="G930">
        <v>80</v>
      </c>
      <c r="H930">
        <v>59.874229431000003</v>
      </c>
      <c r="I930">
        <v>50</v>
      </c>
      <c r="J930">
        <v>49.962425232000001</v>
      </c>
      <c r="K930">
        <v>0</v>
      </c>
      <c r="L930">
        <v>2400</v>
      </c>
      <c r="M930">
        <v>2400</v>
      </c>
      <c r="N930">
        <v>0</v>
      </c>
    </row>
    <row r="931" spans="1:14" x14ac:dyDescent="0.25">
      <c r="A931">
        <v>350.62951399999997</v>
      </c>
      <c r="B931" s="1">
        <f>DATE(2011,4,16) + TIME(15,6,30)</f>
        <v>40649.629513888889</v>
      </c>
      <c r="C931">
        <v>1324.8236084</v>
      </c>
      <c r="D931">
        <v>1322.1588135</v>
      </c>
      <c r="E931">
        <v>1338.0794678</v>
      </c>
      <c r="F931">
        <v>1335.8394774999999</v>
      </c>
      <c r="G931">
        <v>80</v>
      </c>
      <c r="H931">
        <v>59.701671599999997</v>
      </c>
      <c r="I931">
        <v>50</v>
      </c>
      <c r="J931">
        <v>49.962471008000001</v>
      </c>
      <c r="K931">
        <v>0</v>
      </c>
      <c r="L931">
        <v>2400</v>
      </c>
      <c r="M931">
        <v>2400</v>
      </c>
      <c r="N931">
        <v>0</v>
      </c>
    </row>
    <row r="932" spans="1:14" x14ac:dyDescent="0.25">
      <c r="A932">
        <v>351.964358</v>
      </c>
      <c r="B932" s="1">
        <f>DATE(2011,4,17) + TIME(23,8,40)</f>
        <v>40650.96435185185</v>
      </c>
      <c r="C932">
        <v>1324.8092041</v>
      </c>
      <c r="D932">
        <v>1322.1384277</v>
      </c>
      <c r="E932">
        <v>1338.0761719</v>
      </c>
      <c r="F932">
        <v>1335.8374022999999</v>
      </c>
      <c r="G932">
        <v>80</v>
      </c>
      <c r="H932">
        <v>59.531055449999997</v>
      </c>
      <c r="I932">
        <v>50</v>
      </c>
      <c r="J932">
        <v>49.962516784999998</v>
      </c>
      <c r="K932">
        <v>0</v>
      </c>
      <c r="L932">
        <v>2400</v>
      </c>
      <c r="M932">
        <v>2400</v>
      </c>
      <c r="N932">
        <v>0</v>
      </c>
    </row>
    <row r="933" spans="1:14" x14ac:dyDescent="0.25">
      <c r="A933">
        <v>354.63404500000001</v>
      </c>
      <c r="B933" s="1">
        <f>DATE(2011,4,20) + TIME(15,13,1)</f>
        <v>40653.634039351855</v>
      </c>
      <c r="C933">
        <v>1324.7951660000001</v>
      </c>
      <c r="D933">
        <v>1322.1176757999999</v>
      </c>
      <c r="E933">
        <v>1338.0729980000001</v>
      </c>
      <c r="F933">
        <v>1335.8354492000001</v>
      </c>
      <c r="G933">
        <v>80</v>
      </c>
      <c r="H933">
        <v>59.333633423000002</v>
      </c>
      <c r="I933">
        <v>50</v>
      </c>
      <c r="J933">
        <v>49.962619781000001</v>
      </c>
      <c r="K933">
        <v>0</v>
      </c>
      <c r="L933">
        <v>2400</v>
      </c>
      <c r="M933">
        <v>2400</v>
      </c>
      <c r="N933">
        <v>0</v>
      </c>
    </row>
    <row r="934" spans="1:14" x14ac:dyDescent="0.25">
      <c r="A934">
        <v>357.314707</v>
      </c>
      <c r="B934" s="1">
        <f>DATE(2011,4,23) + TIME(7,33,10)</f>
        <v>40656.314699074072</v>
      </c>
      <c r="C934">
        <v>1324.7707519999999</v>
      </c>
      <c r="D934">
        <v>1322.0860596</v>
      </c>
      <c r="E934">
        <v>1338.0665283000001</v>
      </c>
      <c r="F934">
        <v>1335.831543</v>
      </c>
      <c r="G934">
        <v>80</v>
      </c>
      <c r="H934">
        <v>59.018390656000001</v>
      </c>
      <c r="I934">
        <v>50</v>
      </c>
      <c r="J934">
        <v>49.962711333999998</v>
      </c>
      <c r="K934">
        <v>0</v>
      </c>
      <c r="L934">
        <v>2400</v>
      </c>
      <c r="M934">
        <v>2400</v>
      </c>
      <c r="N934">
        <v>0</v>
      </c>
    </row>
    <row r="935" spans="1:14" x14ac:dyDescent="0.25">
      <c r="A935">
        <v>360.101584</v>
      </c>
      <c r="B935" s="1">
        <f>DATE(2011,4,26) + TIME(2,26,16)</f>
        <v>40659.101574074077</v>
      </c>
      <c r="C935">
        <v>1324.7442627</v>
      </c>
      <c r="D935">
        <v>1322.0490723</v>
      </c>
      <c r="E935">
        <v>1338.0600586</v>
      </c>
      <c r="F935">
        <v>1335.8275146000001</v>
      </c>
      <c r="G935">
        <v>80</v>
      </c>
      <c r="H935">
        <v>58.681999206999997</v>
      </c>
      <c r="I935">
        <v>50</v>
      </c>
      <c r="J935">
        <v>49.962806702000002</v>
      </c>
      <c r="K935">
        <v>0</v>
      </c>
      <c r="L935">
        <v>2400</v>
      </c>
      <c r="M935">
        <v>2400</v>
      </c>
      <c r="N935">
        <v>0</v>
      </c>
    </row>
    <row r="936" spans="1:14" x14ac:dyDescent="0.25">
      <c r="A936">
        <v>361.55488200000002</v>
      </c>
      <c r="B936" s="1">
        <f>DATE(2011,4,27) + TIME(13,19,1)</f>
        <v>40660.554872685185</v>
      </c>
      <c r="C936">
        <v>1324.7167969</v>
      </c>
      <c r="D936">
        <v>1322.0124512</v>
      </c>
      <c r="E936">
        <v>1338.0533447</v>
      </c>
      <c r="F936">
        <v>1335.8233643000001</v>
      </c>
      <c r="G936">
        <v>80</v>
      </c>
      <c r="H936">
        <v>58.377555846999996</v>
      </c>
      <c r="I936">
        <v>50</v>
      </c>
      <c r="J936">
        <v>49.962841034</v>
      </c>
      <c r="K936">
        <v>0</v>
      </c>
      <c r="L936">
        <v>2400</v>
      </c>
      <c r="M936">
        <v>2400</v>
      </c>
      <c r="N936">
        <v>0</v>
      </c>
    </row>
    <row r="937" spans="1:14" x14ac:dyDescent="0.25">
      <c r="A937">
        <v>362.99366099999997</v>
      </c>
      <c r="B937" s="1">
        <f>DATE(2011,4,28) + TIME(23,50,52)</f>
        <v>40661.993657407409</v>
      </c>
      <c r="C937">
        <v>1324.7001952999999</v>
      </c>
      <c r="D937">
        <v>1321.9864502</v>
      </c>
      <c r="E937">
        <v>1338.0499268000001</v>
      </c>
      <c r="F937">
        <v>1335.8211670000001</v>
      </c>
      <c r="G937">
        <v>80</v>
      </c>
      <c r="H937">
        <v>58.163433075</v>
      </c>
      <c r="I937">
        <v>50</v>
      </c>
      <c r="J937">
        <v>49.962886810000001</v>
      </c>
      <c r="K937">
        <v>0</v>
      </c>
      <c r="L937">
        <v>2400</v>
      </c>
      <c r="M937">
        <v>2400</v>
      </c>
      <c r="N937">
        <v>0</v>
      </c>
    </row>
    <row r="938" spans="1:14" x14ac:dyDescent="0.25">
      <c r="A938">
        <v>365</v>
      </c>
      <c r="B938" s="1">
        <f>DATE(2011,5,1) + TIME(0,0,0)</f>
        <v>40664</v>
      </c>
      <c r="C938">
        <v>1324.6860352000001</v>
      </c>
      <c r="D938">
        <v>1321.9648437999999</v>
      </c>
      <c r="E938">
        <v>1338.0466309000001</v>
      </c>
      <c r="F938">
        <v>1335.8190918</v>
      </c>
      <c r="G938">
        <v>80</v>
      </c>
      <c r="H938">
        <v>57.958583832000002</v>
      </c>
      <c r="I938">
        <v>50</v>
      </c>
      <c r="J938">
        <v>49.962955475000001</v>
      </c>
      <c r="K938">
        <v>0</v>
      </c>
      <c r="L938">
        <v>2400</v>
      </c>
      <c r="M938">
        <v>2400</v>
      </c>
      <c r="N938">
        <v>0</v>
      </c>
    </row>
    <row r="939" spans="1:14" x14ac:dyDescent="0.25">
      <c r="A939">
        <v>365.000001</v>
      </c>
      <c r="B939" s="1">
        <f>DATE(2011,5,1) + TIME(0,0,0)</f>
        <v>40664</v>
      </c>
      <c r="C939">
        <v>1328.2991943</v>
      </c>
      <c r="D939">
        <v>1325.6867675999999</v>
      </c>
      <c r="E939">
        <v>1335.1645507999999</v>
      </c>
      <c r="F939">
        <v>1333.5567627</v>
      </c>
      <c r="G939">
        <v>80</v>
      </c>
      <c r="H939">
        <v>57.958755492999998</v>
      </c>
      <c r="I939">
        <v>50</v>
      </c>
      <c r="J939">
        <v>49.962875365999999</v>
      </c>
      <c r="K939">
        <v>2400</v>
      </c>
      <c r="L939">
        <v>0</v>
      </c>
      <c r="M939">
        <v>0</v>
      </c>
      <c r="N939">
        <v>2400</v>
      </c>
    </row>
    <row r="940" spans="1:14" x14ac:dyDescent="0.25">
      <c r="A940">
        <v>365.00000399999999</v>
      </c>
      <c r="B940" s="1">
        <f>DATE(2011,5,1) + TIME(0,0,0)</f>
        <v>40664</v>
      </c>
      <c r="C940">
        <v>1329.5820312000001</v>
      </c>
      <c r="D940">
        <v>1327.1207274999999</v>
      </c>
      <c r="E940">
        <v>1334.1417236</v>
      </c>
      <c r="F940">
        <v>1332.5340576000001</v>
      </c>
      <c r="G940">
        <v>80</v>
      </c>
      <c r="H940">
        <v>57.959060669000003</v>
      </c>
      <c r="I940">
        <v>50</v>
      </c>
      <c r="J940">
        <v>49.962745667</v>
      </c>
      <c r="K940">
        <v>2400</v>
      </c>
      <c r="L940">
        <v>0</v>
      </c>
      <c r="M940">
        <v>0</v>
      </c>
      <c r="N940">
        <v>2400</v>
      </c>
    </row>
    <row r="941" spans="1:14" x14ac:dyDescent="0.25">
      <c r="A941">
        <v>365.00001300000002</v>
      </c>
      <c r="B941" s="1">
        <f>DATE(2011,5,1) + TIME(0,0,1)</f>
        <v>40664.000011574077</v>
      </c>
      <c r="C941">
        <v>1331.1870117000001</v>
      </c>
      <c r="D941">
        <v>1328.7025146000001</v>
      </c>
      <c r="E941">
        <v>1332.9820557</v>
      </c>
      <c r="F941">
        <v>1331.3751221</v>
      </c>
      <c r="G941">
        <v>80</v>
      </c>
      <c r="H941">
        <v>57.959617614999999</v>
      </c>
      <c r="I941">
        <v>50</v>
      </c>
      <c r="J941">
        <v>49.962596892999997</v>
      </c>
      <c r="K941">
        <v>2400</v>
      </c>
      <c r="L941">
        <v>0</v>
      </c>
      <c r="M941">
        <v>0</v>
      </c>
      <c r="N941">
        <v>2400</v>
      </c>
    </row>
    <row r="942" spans="1:14" x14ac:dyDescent="0.25">
      <c r="A942">
        <v>365.00004000000001</v>
      </c>
      <c r="B942" s="1">
        <f>DATE(2011,5,1) + TIME(0,0,3)</f>
        <v>40664.000034722223</v>
      </c>
      <c r="C942">
        <v>1332.8380127</v>
      </c>
      <c r="D942">
        <v>1330.2794189000001</v>
      </c>
      <c r="E942">
        <v>1331.8453368999999</v>
      </c>
      <c r="F942">
        <v>1330.2386475000001</v>
      </c>
      <c r="G942">
        <v>80</v>
      </c>
      <c r="H942">
        <v>57.960906981999997</v>
      </c>
      <c r="I942">
        <v>50</v>
      </c>
      <c r="J942">
        <v>49.962451934999997</v>
      </c>
      <c r="K942">
        <v>2400</v>
      </c>
      <c r="L942">
        <v>0</v>
      </c>
      <c r="M942">
        <v>0</v>
      </c>
      <c r="N942">
        <v>2400</v>
      </c>
    </row>
    <row r="943" spans="1:14" x14ac:dyDescent="0.25">
      <c r="A943">
        <v>365.00012099999998</v>
      </c>
      <c r="B943" s="1">
        <f>DATE(2011,5,1) + TIME(0,0,10)</f>
        <v>40664.000115740739</v>
      </c>
      <c r="C943">
        <v>1334.4610596</v>
      </c>
      <c r="D943">
        <v>1331.831543</v>
      </c>
      <c r="E943">
        <v>1330.7238769999999</v>
      </c>
      <c r="F943">
        <v>1329.1103516000001</v>
      </c>
      <c r="G943">
        <v>80</v>
      </c>
      <c r="H943">
        <v>57.964450835999997</v>
      </c>
      <c r="I943">
        <v>50</v>
      </c>
      <c r="J943">
        <v>49.962295531999999</v>
      </c>
      <c r="K943">
        <v>2400</v>
      </c>
      <c r="L943">
        <v>0</v>
      </c>
      <c r="M943">
        <v>0</v>
      </c>
      <c r="N943">
        <v>2400</v>
      </c>
    </row>
    <row r="944" spans="1:14" x14ac:dyDescent="0.25">
      <c r="A944">
        <v>365.00036399999999</v>
      </c>
      <c r="B944" s="1">
        <f>DATE(2011,5,1) + TIME(0,0,31)</f>
        <v>40664.000358796293</v>
      </c>
      <c r="C944">
        <v>1336.0612793</v>
      </c>
      <c r="D944">
        <v>1333.3616943</v>
      </c>
      <c r="E944">
        <v>1329.5655518000001</v>
      </c>
      <c r="F944">
        <v>1327.9268798999999</v>
      </c>
      <c r="G944">
        <v>80</v>
      </c>
      <c r="H944">
        <v>57.974945067999997</v>
      </c>
      <c r="I944">
        <v>50</v>
      </c>
      <c r="J944">
        <v>49.962112427000001</v>
      </c>
      <c r="K944">
        <v>2400</v>
      </c>
      <c r="L944">
        <v>0</v>
      </c>
      <c r="M944">
        <v>0</v>
      </c>
      <c r="N944">
        <v>2400</v>
      </c>
    </row>
    <row r="945" spans="1:14" x14ac:dyDescent="0.25">
      <c r="A945">
        <v>365.00109300000003</v>
      </c>
      <c r="B945" s="1">
        <f>DATE(2011,5,1) + TIME(0,1,34)</f>
        <v>40664.001087962963</v>
      </c>
      <c r="C945">
        <v>1337.5347899999999</v>
      </c>
      <c r="D945">
        <v>1334.7716064000001</v>
      </c>
      <c r="E945">
        <v>1328.3833007999999</v>
      </c>
      <c r="F945">
        <v>1326.7091064000001</v>
      </c>
      <c r="G945">
        <v>80</v>
      </c>
      <c r="H945">
        <v>58.006710052000003</v>
      </c>
      <c r="I945">
        <v>50</v>
      </c>
      <c r="J945">
        <v>49.961841583000002</v>
      </c>
      <c r="K945">
        <v>2400</v>
      </c>
      <c r="L945">
        <v>0</v>
      </c>
      <c r="M945">
        <v>0</v>
      </c>
      <c r="N945">
        <v>2400</v>
      </c>
    </row>
    <row r="946" spans="1:14" x14ac:dyDescent="0.25">
      <c r="A946">
        <v>365.00328000000002</v>
      </c>
      <c r="B946" s="1">
        <f>DATE(2011,5,1) + TIME(0,4,43)</f>
        <v>40664.003275462965</v>
      </c>
      <c r="C946">
        <v>1338.6131591999999</v>
      </c>
      <c r="D946">
        <v>1335.8115233999999</v>
      </c>
      <c r="E946">
        <v>1327.4283447</v>
      </c>
      <c r="F946">
        <v>1325.7310791</v>
      </c>
      <c r="G946">
        <v>80</v>
      </c>
      <c r="H946">
        <v>58.102615356000001</v>
      </c>
      <c r="I946">
        <v>50</v>
      </c>
      <c r="J946">
        <v>49.961357116999999</v>
      </c>
      <c r="K946">
        <v>2400</v>
      </c>
      <c r="L946">
        <v>0</v>
      </c>
      <c r="M946">
        <v>0</v>
      </c>
      <c r="N946">
        <v>2400</v>
      </c>
    </row>
    <row r="947" spans="1:14" x14ac:dyDescent="0.25">
      <c r="A947">
        <v>365.00984099999999</v>
      </c>
      <c r="B947" s="1">
        <f>DATE(2011,5,1) + TIME(0,14,10)</f>
        <v>40664.009837962964</v>
      </c>
      <c r="C947">
        <v>1339.1065673999999</v>
      </c>
      <c r="D947">
        <v>1336.3027344</v>
      </c>
      <c r="E947">
        <v>1326.9957274999999</v>
      </c>
      <c r="F947">
        <v>1325.2904053</v>
      </c>
      <c r="G947">
        <v>80</v>
      </c>
      <c r="H947">
        <v>58.387699126999998</v>
      </c>
      <c r="I947">
        <v>50</v>
      </c>
      <c r="J947">
        <v>49.960212708</v>
      </c>
      <c r="K947">
        <v>2400</v>
      </c>
      <c r="L947">
        <v>0</v>
      </c>
      <c r="M947">
        <v>0</v>
      </c>
      <c r="N947">
        <v>2400</v>
      </c>
    </row>
    <row r="948" spans="1:14" x14ac:dyDescent="0.25">
      <c r="A948">
        <v>365.02709900000002</v>
      </c>
      <c r="B948" s="1">
        <f>DATE(2011,5,1) + TIME(0,39,1)</f>
        <v>40664.027094907404</v>
      </c>
      <c r="C948">
        <v>1339.1751709</v>
      </c>
      <c r="D948">
        <v>1336.402832</v>
      </c>
      <c r="E948">
        <v>1326.9215088000001</v>
      </c>
      <c r="F948">
        <v>1325.2147216999999</v>
      </c>
      <c r="G948">
        <v>80</v>
      </c>
      <c r="H948">
        <v>59.111938477000002</v>
      </c>
      <c r="I948">
        <v>50</v>
      </c>
      <c r="J948">
        <v>49.957370758000003</v>
      </c>
      <c r="K948">
        <v>2400</v>
      </c>
      <c r="L948">
        <v>0</v>
      </c>
      <c r="M948">
        <v>0</v>
      </c>
      <c r="N948">
        <v>2400</v>
      </c>
    </row>
    <row r="949" spans="1:14" x14ac:dyDescent="0.25">
      <c r="A949">
        <v>365.04466300000001</v>
      </c>
      <c r="B949" s="1">
        <f>DATE(2011,5,1) + TIME(1,4,18)</f>
        <v>40664.044652777775</v>
      </c>
      <c r="C949">
        <v>1339.1696777</v>
      </c>
      <c r="D949">
        <v>1336.4162598</v>
      </c>
      <c r="E949">
        <v>1326.9183350000001</v>
      </c>
      <c r="F949">
        <v>1325.2114257999999</v>
      </c>
      <c r="G949">
        <v>80</v>
      </c>
      <c r="H949">
        <v>59.826774596999996</v>
      </c>
      <c r="I949">
        <v>50</v>
      </c>
      <c r="J949">
        <v>49.954505920000003</v>
      </c>
      <c r="K949">
        <v>2400</v>
      </c>
      <c r="L949">
        <v>0</v>
      </c>
      <c r="M949">
        <v>0</v>
      </c>
      <c r="N949">
        <v>2400</v>
      </c>
    </row>
    <row r="950" spans="1:14" x14ac:dyDescent="0.25">
      <c r="A950">
        <v>365.06254899999999</v>
      </c>
      <c r="B950" s="1">
        <f>DATE(2011,5,1) + TIME(1,30,4)</f>
        <v>40664.0625462963</v>
      </c>
      <c r="C950">
        <v>1339.1556396000001</v>
      </c>
      <c r="D950">
        <v>1336.4195557</v>
      </c>
      <c r="E950">
        <v>1326.9187012</v>
      </c>
      <c r="F950">
        <v>1325.2116699000001</v>
      </c>
      <c r="G950">
        <v>80</v>
      </c>
      <c r="H950">
        <v>60.531883239999999</v>
      </c>
      <c r="I950">
        <v>50</v>
      </c>
      <c r="J950">
        <v>49.951606750000003</v>
      </c>
      <c r="K950">
        <v>2400</v>
      </c>
      <c r="L950">
        <v>0</v>
      </c>
      <c r="M950">
        <v>0</v>
      </c>
      <c r="N950">
        <v>2400</v>
      </c>
    </row>
    <row r="951" spans="1:14" x14ac:dyDescent="0.25">
      <c r="A951">
        <v>365.08076799999998</v>
      </c>
      <c r="B951" s="1">
        <f>DATE(2011,5,1) + TIME(1,56,18)</f>
        <v>40664.080763888887</v>
      </c>
      <c r="C951">
        <v>1339.1431885</v>
      </c>
      <c r="D951">
        <v>1336.4230957</v>
      </c>
      <c r="E951">
        <v>1326.9188231999999</v>
      </c>
      <c r="F951">
        <v>1325.2119141000001</v>
      </c>
      <c r="G951">
        <v>80</v>
      </c>
      <c r="H951">
        <v>61.227546691999997</v>
      </c>
      <c r="I951">
        <v>50</v>
      </c>
      <c r="J951">
        <v>49.948673247999999</v>
      </c>
      <c r="K951">
        <v>2400</v>
      </c>
      <c r="L951">
        <v>0</v>
      </c>
      <c r="M951">
        <v>0</v>
      </c>
      <c r="N951">
        <v>2400</v>
      </c>
    </row>
    <row r="952" spans="1:14" x14ac:dyDescent="0.25">
      <c r="A952">
        <v>365.09933599999999</v>
      </c>
      <c r="B952" s="1">
        <f>DATE(2011,5,1) + TIME(2,23,2)</f>
        <v>40664.099328703705</v>
      </c>
      <c r="C952">
        <v>1339.1335449000001</v>
      </c>
      <c r="D952">
        <v>1336.4279785000001</v>
      </c>
      <c r="E952">
        <v>1326.9189452999999</v>
      </c>
      <c r="F952">
        <v>1325.2119141000001</v>
      </c>
      <c r="G952">
        <v>80</v>
      </c>
      <c r="H952">
        <v>61.913883208999998</v>
      </c>
      <c r="I952">
        <v>50</v>
      </c>
      <c r="J952">
        <v>49.945701599000003</v>
      </c>
      <c r="K952">
        <v>2400</v>
      </c>
      <c r="L952">
        <v>0</v>
      </c>
      <c r="M952">
        <v>0</v>
      </c>
      <c r="N952">
        <v>2400</v>
      </c>
    </row>
    <row r="953" spans="1:14" x14ac:dyDescent="0.25">
      <c r="A953">
        <v>365.11826600000001</v>
      </c>
      <c r="B953" s="1">
        <f>DATE(2011,5,1) + TIME(2,50,18)</f>
        <v>40664.118263888886</v>
      </c>
      <c r="C953">
        <v>1339.1267089999999</v>
      </c>
      <c r="D953">
        <v>1336.4343262</v>
      </c>
      <c r="E953">
        <v>1326.9190673999999</v>
      </c>
      <c r="F953">
        <v>1325.2119141000001</v>
      </c>
      <c r="G953">
        <v>80</v>
      </c>
      <c r="H953">
        <v>62.590869904000002</v>
      </c>
      <c r="I953">
        <v>50</v>
      </c>
      <c r="J953">
        <v>49.942687988000003</v>
      </c>
      <c r="K953">
        <v>2400</v>
      </c>
      <c r="L953">
        <v>0</v>
      </c>
      <c r="M953">
        <v>0</v>
      </c>
      <c r="N953">
        <v>2400</v>
      </c>
    </row>
    <row r="954" spans="1:14" x14ac:dyDescent="0.25">
      <c r="A954">
        <v>365.13757399999997</v>
      </c>
      <c r="B954" s="1">
        <f>DATE(2011,5,1) + TIME(3,18,6)</f>
        <v>40664.137569444443</v>
      </c>
      <c r="C954">
        <v>1339.1226807</v>
      </c>
      <c r="D954">
        <v>1336.4421387</v>
      </c>
      <c r="E954">
        <v>1326.9190673999999</v>
      </c>
      <c r="F954">
        <v>1325.2119141000001</v>
      </c>
      <c r="G954">
        <v>80</v>
      </c>
      <c r="H954">
        <v>63.258445739999999</v>
      </c>
      <c r="I954">
        <v>50</v>
      </c>
      <c r="J954">
        <v>49.939636229999998</v>
      </c>
      <c r="K954">
        <v>2400</v>
      </c>
      <c r="L954">
        <v>0</v>
      </c>
      <c r="M954">
        <v>0</v>
      </c>
      <c r="N954">
        <v>2400</v>
      </c>
    </row>
    <row r="955" spans="1:14" x14ac:dyDescent="0.25">
      <c r="A955">
        <v>365.15727700000002</v>
      </c>
      <c r="B955" s="1">
        <f>DATE(2011,5,1) + TIME(3,46,28)</f>
        <v>40664.157268518517</v>
      </c>
      <c r="C955">
        <v>1339.1214600000001</v>
      </c>
      <c r="D955">
        <v>1336.4514160000001</v>
      </c>
      <c r="E955">
        <v>1326.9191894999999</v>
      </c>
      <c r="F955">
        <v>1325.2119141000001</v>
      </c>
      <c r="G955">
        <v>80</v>
      </c>
      <c r="H955">
        <v>63.916538238999998</v>
      </c>
      <c r="I955">
        <v>50</v>
      </c>
      <c r="J955">
        <v>49.936542510999999</v>
      </c>
      <c r="K955">
        <v>2400</v>
      </c>
      <c r="L955">
        <v>0</v>
      </c>
      <c r="M955">
        <v>0</v>
      </c>
      <c r="N955">
        <v>2400</v>
      </c>
    </row>
    <row r="956" spans="1:14" x14ac:dyDescent="0.25">
      <c r="A956">
        <v>365.177392</v>
      </c>
      <c r="B956" s="1">
        <f>DATE(2011,5,1) + TIME(4,15,26)</f>
        <v>40664.177384259259</v>
      </c>
      <c r="C956">
        <v>1339.1228027</v>
      </c>
      <c r="D956">
        <v>1336.4620361</v>
      </c>
      <c r="E956">
        <v>1326.9191894999999</v>
      </c>
      <c r="F956">
        <v>1325.2117920000001</v>
      </c>
      <c r="G956">
        <v>80</v>
      </c>
      <c r="H956">
        <v>64.565040588000002</v>
      </c>
      <c r="I956">
        <v>50</v>
      </c>
      <c r="J956">
        <v>49.933403015000003</v>
      </c>
      <c r="K956">
        <v>2400</v>
      </c>
      <c r="L956">
        <v>0</v>
      </c>
      <c r="M956">
        <v>0</v>
      </c>
      <c r="N956">
        <v>2400</v>
      </c>
    </row>
    <row r="957" spans="1:14" x14ac:dyDescent="0.25">
      <c r="A957">
        <v>365.19793600000003</v>
      </c>
      <c r="B957" s="1">
        <f>DATE(2011,5,1) + TIME(4,45,1)</f>
        <v>40664.197928240741</v>
      </c>
      <c r="C957">
        <v>1339.1265868999999</v>
      </c>
      <c r="D957">
        <v>1336.473999</v>
      </c>
      <c r="E957">
        <v>1326.9191894999999</v>
      </c>
      <c r="F957">
        <v>1325.2117920000001</v>
      </c>
      <c r="G957">
        <v>80</v>
      </c>
      <c r="H957">
        <v>65.203849792</v>
      </c>
      <c r="I957">
        <v>50</v>
      </c>
      <c r="J957">
        <v>49.930217743</v>
      </c>
      <c r="K957">
        <v>2400</v>
      </c>
      <c r="L957">
        <v>0</v>
      </c>
      <c r="M957">
        <v>0</v>
      </c>
      <c r="N957">
        <v>2400</v>
      </c>
    </row>
    <row r="958" spans="1:14" x14ac:dyDescent="0.25">
      <c r="A958">
        <v>365.21892500000001</v>
      </c>
      <c r="B958" s="1">
        <f>DATE(2011,5,1) + TIME(5,15,15)</f>
        <v>40664.218923611108</v>
      </c>
      <c r="C958">
        <v>1339.1328125</v>
      </c>
      <c r="D958">
        <v>1336.4871826000001</v>
      </c>
      <c r="E958">
        <v>1326.9193115</v>
      </c>
      <c r="F958">
        <v>1325.2117920000001</v>
      </c>
      <c r="G958">
        <v>80</v>
      </c>
      <c r="H958">
        <v>65.832786560000002</v>
      </c>
      <c r="I958">
        <v>50</v>
      </c>
      <c r="J958">
        <v>49.926982879999997</v>
      </c>
      <c r="K958">
        <v>2400</v>
      </c>
      <c r="L958">
        <v>0</v>
      </c>
      <c r="M958">
        <v>0</v>
      </c>
      <c r="N958">
        <v>2400</v>
      </c>
    </row>
    <row r="959" spans="1:14" x14ac:dyDescent="0.25">
      <c r="A959">
        <v>365.240386</v>
      </c>
      <c r="B959" s="1">
        <f>DATE(2011,5,1) + TIME(5,46,9)</f>
        <v>40664.240381944444</v>
      </c>
      <c r="C959">
        <v>1339.1413574000001</v>
      </c>
      <c r="D959">
        <v>1336.5017089999999</v>
      </c>
      <c r="E959">
        <v>1326.9193115</v>
      </c>
      <c r="F959">
        <v>1325.2116699000001</v>
      </c>
      <c r="G959">
        <v>80</v>
      </c>
      <c r="H959">
        <v>66.451690674000005</v>
      </c>
      <c r="I959">
        <v>50</v>
      </c>
      <c r="J959">
        <v>49.923698424999998</v>
      </c>
      <c r="K959">
        <v>2400</v>
      </c>
      <c r="L959">
        <v>0</v>
      </c>
      <c r="M959">
        <v>0</v>
      </c>
      <c r="N959">
        <v>2400</v>
      </c>
    </row>
    <row r="960" spans="1:14" x14ac:dyDescent="0.25">
      <c r="A960">
        <v>365.26233999999999</v>
      </c>
      <c r="B960" s="1">
        <f>DATE(2011,5,1) + TIME(6,17,46)</f>
        <v>40664.262337962966</v>
      </c>
      <c r="C960">
        <v>1339.1522216999999</v>
      </c>
      <c r="D960">
        <v>1336.5173339999999</v>
      </c>
      <c r="E960">
        <v>1326.9193115</v>
      </c>
      <c r="F960">
        <v>1325.2115478999999</v>
      </c>
      <c r="G960">
        <v>80</v>
      </c>
      <c r="H960">
        <v>67.060379028</v>
      </c>
      <c r="I960">
        <v>50</v>
      </c>
      <c r="J960">
        <v>49.920360565000003</v>
      </c>
      <c r="K960">
        <v>2400</v>
      </c>
      <c r="L960">
        <v>0</v>
      </c>
      <c r="M960">
        <v>0</v>
      </c>
      <c r="N960">
        <v>2400</v>
      </c>
    </row>
    <row r="961" spans="1:14" x14ac:dyDescent="0.25">
      <c r="A961">
        <v>365.28481199999999</v>
      </c>
      <c r="B961" s="1">
        <f>DATE(2011,5,1) + TIME(6,50,7)</f>
        <v>40664.284803240742</v>
      </c>
      <c r="C961">
        <v>1339.1651611</v>
      </c>
      <c r="D961">
        <v>1336.5341797000001</v>
      </c>
      <c r="E961">
        <v>1326.9193115</v>
      </c>
      <c r="F961">
        <v>1325.2115478999999</v>
      </c>
      <c r="G961">
        <v>80</v>
      </c>
      <c r="H961">
        <v>67.658645629999995</v>
      </c>
      <c r="I961">
        <v>50</v>
      </c>
      <c r="J961">
        <v>49.916969299000002</v>
      </c>
      <c r="K961">
        <v>2400</v>
      </c>
      <c r="L961">
        <v>0</v>
      </c>
      <c r="M961">
        <v>0</v>
      </c>
      <c r="N961">
        <v>2400</v>
      </c>
    </row>
    <row r="962" spans="1:14" x14ac:dyDescent="0.25">
      <c r="A962">
        <v>365.30782799999997</v>
      </c>
      <c r="B962" s="1">
        <f>DATE(2011,5,1) + TIME(7,23,16)</f>
        <v>40664.307824074072</v>
      </c>
      <c r="C962">
        <v>1339.1801757999999</v>
      </c>
      <c r="D962">
        <v>1336.552124</v>
      </c>
      <c r="E962">
        <v>1326.9193115</v>
      </c>
      <c r="F962">
        <v>1325.2114257999999</v>
      </c>
      <c r="G962">
        <v>80</v>
      </c>
      <c r="H962">
        <v>68.246269225999995</v>
      </c>
      <c r="I962">
        <v>50</v>
      </c>
      <c r="J962">
        <v>49.913516997999999</v>
      </c>
      <c r="K962">
        <v>2400</v>
      </c>
      <c r="L962">
        <v>0</v>
      </c>
      <c r="M962">
        <v>0</v>
      </c>
      <c r="N962">
        <v>2400</v>
      </c>
    </row>
    <row r="963" spans="1:14" x14ac:dyDescent="0.25">
      <c r="A963">
        <v>365.33137199999999</v>
      </c>
      <c r="B963" s="1">
        <f>DATE(2011,5,1) + TIME(7,57,10)</f>
        <v>40664.331365740742</v>
      </c>
      <c r="C963">
        <v>1339.1972656</v>
      </c>
      <c r="D963">
        <v>1336.5711670000001</v>
      </c>
      <c r="E963">
        <v>1326.9193115</v>
      </c>
      <c r="F963">
        <v>1325.2113036999999</v>
      </c>
      <c r="G963">
        <v>80</v>
      </c>
      <c r="H963">
        <v>68.821952820000007</v>
      </c>
      <c r="I963">
        <v>50</v>
      </c>
      <c r="J963">
        <v>49.910011292</v>
      </c>
      <c r="K963">
        <v>2400</v>
      </c>
      <c r="L963">
        <v>0</v>
      </c>
      <c r="M963">
        <v>0</v>
      </c>
      <c r="N963">
        <v>2400</v>
      </c>
    </row>
    <row r="964" spans="1:14" x14ac:dyDescent="0.25">
      <c r="A964">
        <v>365.35544599999997</v>
      </c>
      <c r="B964" s="1">
        <f>DATE(2011,5,1) + TIME(8,31,50)</f>
        <v>40664.355439814812</v>
      </c>
      <c r="C964">
        <v>1339.2163086</v>
      </c>
      <c r="D964">
        <v>1336.5911865</v>
      </c>
      <c r="E964">
        <v>1326.9193115</v>
      </c>
      <c r="F964">
        <v>1325.2111815999999</v>
      </c>
      <c r="G964">
        <v>80</v>
      </c>
      <c r="H964">
        <v>69.384941100999995</v>
      </c>
      <c r="I964">
        <v>50</v>
      </c>
      <c r="J964">
        <v>49.906448363999999</v>
      </c>
      <c r="K964">
        <v>2400</v>
      </c>
      <c r="L964">
        <v>0</v>
      </c>
      <c r="M964">
        <v>0</v>
      </c>
      <c r="N964">
        <v>2400</v>
      </c>
    </row>
    <row r="965" spans="1:14" x14ac:dyDescent="0.25">
      <c r="A965">
        <v>365.38007399999998</v>
      </c>
      <c r="B965" s="1">
        <f>DATE(2011,5,1) + TIME(9,7,18)</f>
        <v>40664.380069444444</v>
      </c>
      <c r="C965">
        <v>1339.2370605000001</v>
      </c>
      <c r="D965">
        <v>1336.6121826000001</v>
      </c>
      <c r="E965">
        <v>1326.9191894999999</v>
      </c>
      <c r="F965">
        <v>1325.2110596</v>
      </c>
      <c r="G965">
        <v>80</v>
      </c>
      <c r="H965">
        <v>69.935012817</v>
      </c>
      <c r="I965">
        <v>50</v>
      </c>
      <c r="J965">
        <v>49.902832031000003</v>
      </c>
      <c r="K965">
        <v>2400</v>
      </c>
      <c r="L965">
        <v>0</v>
      </c>
      <c r="M965">
        <v>0</v>
      </c>
      <c r="N965">
        <v>2400</v>
      </c>
    </row>
    <row r="966" spans="1:14" x14ac:dyDescent="0.25">
      <c r="A966">
        <v>365.40527900000001</v>
      </c>
      <c r="B966" s="1">
        <f>DATE(2011,5,1) + TIME(9,43,36)</f>
        <v>40664.405277777776</v>
      </c>
      <c r="C966">
        <v>1339.2593993999999</v>
      </c>
      <c r="D966">
        <v>1336.6339111</v>
      </c>
      <c r="E966">
        <v>1326.9191894999999</v>
      </c>
      <c r="F966">
        <v>1325.2109375</v>
      </c>
      <c r="G966">
        <v>80</v>
      </c>
      <c r="H966">
        <v>70.471488953000005</v>
      </c>
      <c r="I966">
        <v>50</v>
      </c>
      <c r="J966">
        <v>49.899154662999997</v>
      </c>
      <c r="K966">
        <v>2400</v>
      </c>
      <c r="L966">
        <v>0</v>
      </c>
      <c r="M966">
        <v>0</v>
      </c>
      <c r="N966">
        <v>2400</v>
      </c>
    </row>
    <row r="967" spans="1:14" x14ac:dyDescent="0.25">
      <c r="A967">
        <v>365.43109399999997</v>
      </c>
      <c r="B967" s="1">
        <f>DATE(2011,5,1) + TIME(10,20,46)</f>
        <v>40664.431087962963</v>
      </c>
      <c r="C967">
        <v>1339.2833252</v>
      </c>
      <c r="D967">
        <v>1336.6564940999999</v>
      </c>
      <c r="E967">
        <v>1326.9191894999999</v>
      </c>
      <c r="F967">
        <v>1325.2106934000001</v>
      </c>
      <c r="G967">
        <v>80</v>
      </c>
      <c r="H967">
        <v>70.994522094999994</v>
      </c>
      <c r="I967">
        <v>50</v>
      </c>
      <c r="J967">
        <v>49.895416259999998</v>
      </c>
      <c r="K967">
        <v>2400</v>
      </c>
      <c r="L967">
        <v>0</v>
      </c>
      <c r="M967">
        <v>0</v>
      </c>
      <c r="N967">
        <v>2400</v>
      </c>
    </row>
    <row r="968" spans="1:14" x14ac:dyDescent="0.25">
      <c r="A968">
        <v>365.45755100000002</v>
      </c>
      <c r="B968" s="1">
        <f>DATE(2011,5,1) + TIME(10,58,52)</f>
        <v>40664.457546296297</v>
      </c>
      <c r="C968">
        <v>1339.3087158000001</v>
      </c>
      <c r="D968">
        <v>1336.6798096</v>
      </c>
      <c r="E968">
        <v>1326.9190673999999</v>
      </c>
      <c r="F968">
        <v>1325.2105713000001</v>
      </c>
      <c r="G968">
        <v>80</v>
      </c>
      <c r="H968">
        <v>71.503921508999994</v>
      </c>
      <c r="I968">
        <v>50</v>
      </c>
      <c r="J968">
        <v>49.891613006999997</v>
      </c>
      <c r="K968">
        <v>2400</v>
      </c>
      <c r="L968">
        <v>0</v>
      </c>
      <c r="M968">
        <v>0</v>
      </c>
      <c r="N968">
        <v>2400</v>
      </c>
    </row>
    <row r="969" spans="1:14" x14ac:dyDescent="0.25">
      <c r="A969">
        <v>365.48468200000002</v>
      </c>
      <c r="B969" s="1">
        <f>DATE(2011,5,1) + TIME(11,37,56)</f>
        <v>40664.484675925924</v>
      </c>
      <c r="C969">
        <v>1339.3354492000001</v>
      </c>
      <c r="D969">
        <v>1336.7037353999999</v>
      </c>
      <c r="E969">
        <v>1326.9190673999999</v>
      </c>
      <c r="F969">
        <v>1325.2104492000001</v>
      </c>
      <c r="G969">
        <v>80</v>
      </c>
      <c r="H969">
        <v>71.999443053999997</v>
      </c>
      <c r="I969">
        <v>50</v>
      </c>
      <c r="J969">
        <v>49.887741089000002</v>
      </c>
      <c r="K969">
        <v>2400</v>
      </c>
      <c r="L969">
        <v>0</v>
      </c>
      <c r="M969">
        <v>0</v>
      </c>
      <c r="N969">
        <v>2400</v>
      </c>
    </row>
    <row r="970" spans="1:14" x14ac:dyDescent="0.25">
      <c r="A970">
        <v>365.51252599999998</v>
      </c>
      <c r="B970" s="1">
        <f>DATE(2011,5,1) + TIME(12,18,2)</f>
        <v>40664.512523148151</v>
      </c>
      <c r="C970">
        <v>1339.3635254000001</v>
      </c>
      <c r="D970">
        <v>1336.7283935999999</v>
      </c>
      <c r="E970">
        <v>1326.9189452999999</v>
      </c>
      <c r="F970">
        <v>1325.2102050999999</v>
      </c>
      <c r="G970">
        <v>80</v>
      </c>
      <c r="H970">
        <v>72.480834960999999</v>
      </c>
      <c r="I970">
        <v>50</v>
      </c>
      <c r="J970">
        <v>49.883792876999998</v>
      </c>
      <c r="K970">
        <v>2400</v>
      </c>
      <c r="L970">
        <v>0</v>
      </c>
      <c r="M970">
        <v>0</v>
      </c>
      <c r="N970">
        <v>2400</v>
      </c>
    </row>
    <row r="971" spans="1:14" x14ac:dyDescent="0.25">
      <c r="A971">
        <v>365.54111899999998</v>
      </c>
      <c r="B971" s="1">
        <f>DATE(2011,5,1) + TIME(12,59,12)</f>
        <v>40664.54111111111</v>
      </c>
      <c r="C971">
        <v>1339.3927002</v>
      </c>
      <c r="D971">
        <v>1336.7535399999999</v>
      </c>
      <c r="E971">
        <v>1326.9189452999999</v>
      </c>
      <c r="F971">
        <v>1325.2100829999999</v>
      </c>
      <c r="G971">
        <v>80</v>
      </c>
      <c r="H971">
        <v>72.947853088000002</v>
      </c>
      <c r="I971">
        <v>50</v>
      </c>
      <c r="J971">
        <v>49.879772185999997</v>
      </c>
      <c r="K971">
        <v>2400</v>
      </c>
      <c r="L971">
        <v>0</v>
      </c>
      <c r="M971">
        <v>0</v>
      </c>
      <c r="N971">
        <v>2400</v>
      </c>
    </row>
    <row r="972" spans="1:14" x14ac:dyDescent="0.25">
      <c r="A972">
        <v>365.57050400000003</v>
      </c>
      <c r="B972" s="1">
        <f>DATE(2011,5,1) + TIME(13,41,31)</f>
        <v>40664.570497685185</v>
      </c>
      <c r="C972">
        <v>1339.4230957</v>
      </c>
      <c r="D972">
        <v>1336.7791748</v>
      </c>
      <c r="E972">
        <v>1326.9188231999999</v>
      </c>
      <c r="F972">
        <v>1325.2098389</v>
      </c>
      <c r="G972">
        <v>80</v>
      </c>
      <c r="H972">
        <v>73.400260924999998</v>
      </c>
      <c r="I972">
        <v>50</v>
      </c>
      <c r="J972">
        <v>49.875667571999998</v>
      </c>
      <c r="K972">
        <v>2400</v>
      </c>
      <c r="L972">
        <v>0</v>
      </c>
      <c r="M972">
        <v>0</v>
      </c>
      <c r="N972">
        <v>2400</v>
      </c>
    </row>
    <row r="973" spans="1:14" x14ac:dyDescent="0.25">
      <c r="A973">
        <v>365.60072600000001</v>
      </c>
      <c r="B973" s="1">
        <f>DATE(2011,5,1) + TIME(14,25,2)</f>
        <v>40664.600717592592</v>
      </c>
      <c r="C973">
        <v>1339.4544678</v>
      </c>
      <c r="D973">
        <v>1336.8052978999999</v>
      </c>
      <c r="E973">
        <v>1326.9187012</v>
      </c>
      <c r="F973">
        <v>1325.2095947</v>
      </c>
      <c r="G973">
        <v>80</v>
      </c>
      <c r="H973">
        <v>73.837814331000004</v>
      </c>
      <c r="I973">
        <v>50</v>
      </c>
      <c r="J973">
        <v>49.871479033999996</v>
      </c>
      <c r="K973">
        <v>2400</v>
      </c>
      <c r="L973">
        <v>0</v>
      </c>
      <c r="M973">
        <v>0</v>
      </c>
      <c r="N973">
        <v>2400</v>
      </c>
    </row>
    <row r="974" spans="1:14" x14ac:dyDescent="0.25">
      <c r="A974">
        <v>365.63183500000002</v>
      </c>
      <c r="B974" s="1">
        <f>DATE(2011,5,1) + TIME(15,9,50)</f>
        <v>40664.631828703707</v>
      </c>
      <c r="C974">
        <v>1339.4866943</v>
      </c>
      <c r="D974">
        <v>1336.8319091999999</v>
      </c>
      <c r="E974">
        <v>1326.9185791</v>
      </c>
      <c r="F974">
        <v>1325.2094727000001</v>
      </c>
      <c r="G974">
        <v>80</v>
      </c>
      <c r="H974">
        <v>74.260292053000001</v>
      </c>
      <c r="I974">
        <v>50</v>
      </c>
      <c r="J974">
        <v>49.867202759000001</v>
      </c>
      <c r="K974">
        <v>2400</v>
      </c>
      <c r="L974">
        <v>0</v>
      </c>
      <c r="M974">
        <v>0</v>
      </c>
      <c r="N974">
        <v>2400</v>
      </c>
    </row>
    <row r="975" spans="1:14" x14ac:dyDescent="0.25">
      <c r="A975">
        <v>365.663883</v>
      </c>
      <c r="B975" s="1">
        <f>DATE(2011,5,1) + TIME(15,55,59)</f>
        <v>40664.663877314815</v>
      </c>
      <c r="C975">
        <v>1339.5198975000001</v>
      </c>
      <c r="D975">
        <v>1336.8587646000001</v>
      </c>
      <c r="E975">
        <v>1326.9185791</v>
      </c>
      <c r="F975">
        <v>1325.2092285000001</v>
      </c>
      <c r="G975">
        <v>80</v>
      </c>
      <c r="H975">
        <v>74.667472838999998</v>
      </c>
      <c r="I975">
        <v>50</v>
      </c>
      <c r="J975">
        <v>49.862827301000003</v>
      </c>
      <c r="K975">
        <v>2400</v>
      </c>
      <c r="L975">
        <v>0</v>
      </c>
      <c r="M975">
        <v>0</v>
      </c>
      <c r="N975">
        <v>2400</v>
      </c>
    </row>
    <row r="976" spans="1:14" x14ac:dyDescent="0.25">
      <c r="A976">
        <v>365.69694099999998</v>
      </c>
      <c r="B976" s="1">
        <f>DATE(2011,5,1) + TIME(16,43,35)</f>
        <v>40664.696932870371</v>
      </c>
      <c r="C976">
        <v>1339.5538329999999</v>
      </c>
      <c r="D976">
        <v>1336.8859863</v>
      </c>
      <c r="E976">
        <v>1326.918457</v>
      </c>
      <c r="F976">
        <v>1325.2089844</v>
      </c>
      <c r="G976">
        <v>80</v>
      </c>
      <c r="H976">
        <v>75.059234618999994</v>
      </c>
      <c r="I976">
        <v>50</v>
      </c>
      <c r="J976">
        <v>49.858352660999998</v>
      </c>
      <c r="K976">
        <v>2400</v>
      </c>
      <c r="L976">
        <v>0</v>
      </c>
      <c r="M976">
        <v>0</v>
      </c>
      <c r="N976">
        <v>2400</v>
      </c>
    </row>
    <row r="977" spans="1:14" x14ac:dyDescent="0.25">
      <c r="A977">
        <v>365.73106899999999</v>
      </c>
      <c r="B977" s="1">
        <f>DATE(2011,5,1) + TIME(17,32,44)</f>
        <v>40664.731064814812</v>
      </c>
      <c r="C977">
        <v>1339.5883789</v>
      </c>
      <c r="D977">
        <v>1336.9135742000001</v>
      </c>
      <c r="E977">
        <v>1326.9183350000001</v>
      </c>
      <c r="F977">
        <v>1325.2087402</v>
      </c>
      <c r="G977">
        <v>80</v>
      </c>
      <c r="H977">
        <v>75.435134887999993</v>
      </c>
      <c r="I977">
        <v>50</v>
      </c>
      <c r="J977">
        <v>49.853767394999998</v>
      </c>
      <c r="K977">
        <v>2400</v>
      </c>
      <c r="L977">
        <v>0</v>
      </c>
      <c r="M977">
        <v>0</v>
      </c>
      <c r="N977">
        <v>2400</v>
      </c>
    </row>
    <row r="978" spans="1:14" x14ac:dyDescent="0.25">
      <c r="A978">
        <v>365.76633199999998</v>
      </c>
      <c r="B978" s="1">
        <f>DATE(2011,5,1) + TIME(18,23,31)</f>
        <v>40664.766331018516</v>
      </c>
      <c r="C978">
        <v>1339.6236572</v>
      </c>
      <c r="D978">
        <v>1336.9411620999999</v>
      </c>
      <c r="E978">
        <v>1326.9182129000001</v>
      </c>
      <c r="F978">
        <v>1325.2084961</v>
      </c>
      <c r="G978">
        <v>80</v>
      </c>
      <c r="H978">
        <v>75.795188904</v>
      </c>
      <c r="I978">
        <v>50</v>
      </c>
      <c r="J978">
        <v>49.849067687999998</v>
      </c>
      <c r="K978">
        <v>2400</v>
      </c>
      <c r="L978">
        <v>0</v>
      </c>
      <c r="M978">
        <v>0</v>
      </c>
      <c r="N978">
        <v>2400</v>
      </c>
    </row>
    <row r="979" spans="1:14" x14ac:dyDescent="0.25">
      <c r="A979">
        <v>365.80280800000003</v>
      </c>
      <c r="B979" s="1">
        <f>DATE(2011,5,1) + TIME(19,16,2)</f>
        <v>40664.802800925929</v>
      </c>
      <c r="C979">
        <v>1339.6593018000001</v>
      </c>
      <c r="D979">
        <v>1336.9691161999999</v>
      </c>
      <c r="E979">
        <v>1326.9180908000001</v>
      </c>
      <c r="F979">
        <v>1325.2081298999999</v>
      </c>
      <c r="G979">
        <v>80</v>
      </c>
      <c r="H979">
        <v>76.139274596999996</v>
      </c>
      <c r="I979">
        <v>50</v>
      </c>
      <c r="J979">
        <v>49.844245911000002</v>
      </c>
      <c r="K979">
        <v>2400</v>
      </c>
      <c r="L979">
        <v>0</v>
      </c>
      <c r="M979">
        <v>0</v>
      </c>
      <c r="N979">
        <v>2400</v>
      </c>
    </row>
    <row r="980" spans="1:14" x14ac:dyDescent="0.25">
      <c r="A980">
        <v>365.84058299999998</v>
      </c>
      <c r="B980" s="1">
        <f>DATE(2011,5,1) + TIME(20,10,26)</f>
        <v>40664.840578703705</v>
      </c>
      <c r="C980">
        <v>1339.6955565999999</v>
      </c>
      <c r="D980">
        <v>1336.9970702999999</v>
      </c>
      <c r="E980">
        <v>1326.9178466999999</v>
      </c>
      <c r="F980">
        <v>1325.2078856999999</v>
      </c>
      <c r="G980">
        <v>80</v>
      </c>
      <c r="H980">
        <v>76.467277526999993</v>
      </c>
      <c r="I980">
        <v>50</v>
      </c>
      <c r="J980">
        <v>49.839290619000003</v>
      </c>
      <c r="K980">
        <v>2400</v>
      </c>
      <c r="L980">
        <v>0</v>
      </c>
      <c r="M980">
        <v>0</v>
      </c>
      <c r="N980">
        <v>2400</v>
      </c>
    </row>
    <row r="981" spans="1:14" x14ac:dyDescent="0.25">
      <c r="A981">
        <v>365.87975299999999</v>
      </c>
      <c r="B981" s="1">
        <f>DATE(2011,5,1) + TIME(21,6,50)</f>
        <v>40664.879745370374</v>
      </c>
      <c r="C981">
        <v>1339.7320557</v>
      </c>
      <c r="D981">
        <v>1337.0250243999999</v>
      </c>
      <c r="E981">
        <v>1326.9177245999999</v>
      </c>
      <c r="F981">
        <v>1325.2076416</v>
      </c>
      <c r="G981">
        <v>80</v>
      </c>
      <c r="H981">
        <v>76.779136657999999</v>
      </c>
      <c r="I981">
        <v>50</v>
      </c>
      <c r="J981">
        <v>49.834197998</v>
      </c>
      <c r="K981">
        <v>2400</v>
      </c>
      <c r="L981">
        <v>0</v>
      </c>
      <c r="M981">
        <v>0</v>
      </c>
      <c r="N981">
        <v>2400</v>
      </c>
    </row>
    <row r="982" spans="1:14" x14ac:dyDescent="0.25">
      <c r="A982">
        <v>365.92042400000003</v>
      </c>
      <c r="B982" s="1">
        <f>DATE(2011,5,1) + TIME(22,5,24)</f>
        <v>40664.920416666668</v>
      </c>
      <c r="C982">
        <v>1339.7689209</v>
      </c>
      <c r="D982">
        <v>1337.0529785000001</v>
      </c>
      <c r="E982">
        <v>1326.9176024999999</v>
      </c>
      <c r="F982">
        <v>1325.2072754000001</v>
      </c>
      <c r="G982">
        <v>80</v>
      </c>
      <c r="H982">
        <v>77.074806213000002</v>
      </c>
      <c r="I982">
        <v>50</v>
      </c>
      <c r="J982">
        <v>49.828956603999998</v>
      </c>
      <c r="K982">
        <v>2400</v>
      </c>
      <c r="L982">
        <v>0</v>
      </c>
      <c r="M982">
        <v>0</v>
      </c>
      <c r="N982">
        <v>2400</v>
      </c>
    </row>
    <row r="983" spans="1:14" x14ac:dyDescent="0.25">
      <c r="A983">
        <v>365.962715</v>
      </c>
      <c r="B983" s="1">
        <f>DATE(2011,5,1) + TIME(23,6,18)</f>
        <v>40664.962708333333</v>
      </c>
      <c r="C983">
        <v>1339.8059082</v>
      </c>
      <c r="D983">
        <v>1337.0809326000001</v>
      </c>
      <c r="E983">
        <v>1326.9173584</v>
      </c>
      <c r="F983">
        <v>1325.2069091999999</v>
      </c>
      <c r="G983">
        <v>80</v>
      </c>
      <c r="H983">
        <v>77.354286193999997</v>
      </c>
      <c r="I983">
        <v>50</v>
      </c>
      <c r="J983">
        <v>49.823551178000002</v>
      </c>
      <c r="K983">
        <v>2400</v>
      </c>
      <c r="L983">
        <v>0</v>
      </c>
      <c r="M983">
        <v>0</v>
      </c>
      <c r="N983">
        <v>2400</v>
      </c>
    </row>
    <row r="984" spans="1:14" x14ac:dyDescent="0.25">
      <c r="A984">
        <v>366.00676099999998</v>
      </c>
      <c r="B984" s="1">
        <f>DATE(2011,5,2) + TIME(0,9,44)</f>
        <v>40665.00675925926</v>
      </c>
      <c r="C984">
        <v>1339.8431396000001</v>
      </c>
      <c r="D984">
        <v>1337.1088867000001</v>
      </c>
      <c r="E984">
        <v>1326.9172363</v>
      </c>
      <c r="F984">
        <v>1325.2066649999999</v>
      </c>
      <c r="G984">
        <v>80</v>
      </c>
      <c r="H984">
        <v>77.617622374999996</v>
      </c>
      <c r="I984">
        <v>50</v>
      </c>
      <c r="J984">
        <v>49.817970275999997</v>
      </c>
      <c r="K984">
        <v>2400</v>
      </c>
      <c r="L984">
        <v>0</v>
      </c>
      <c r="M984">
        <v>0</v>
      </c>
      <c r="N984">
        <v>2400</v>
      </c>
    </row>
    <row r="985" spans="1:14" x14ac:dyDescent="0.25">
      <c r="A985">
        <v>366.05271399999998</v>
      </c>
      <c r="B985" s="1">
        <f>DATE(2011,5,2) + TIME(1,15,54)</f>
        <v>40665.052708333336</v>
      </c>
      <c r="C985">
        <v>1339.8803711</v>
      </c>
      <c r="D985">
        <v>1337.1365966999999</v>
      </c>
      <c r="E985">
        <v>1326.9169922000001</v>
      </c>
      <c r="F985">
        <v>1325.2062988</v>
      </c>
      <c r="G985">
        <v>80</v>
      </c>
      <c r="H985">
        <v>77.864875792999996</v>
      </c>
      <c r="I985">
        <v>50</v>
      </c>
      <c r="J985">
        <v>49.812202454000001</v>
      </c>
      <c r="K985">
        <v>2400</v>
      </c>
      <c r="L985">
        <v>0</v>
      </c>
      <c r="M985">
        <v>0</v>
      </c>
      <c r="N985">
        <v>2400</v>
      </c>
    </row>
    <row r="986" spans="1:14" x14ac:dyDescent="0.25">
      <c r="A986">
        <v>366.10075499999999</v>
      </c>
      <c r="B986" s="1">
        <f>DATE(2011,5,2) + TIME(2,25,5)</f>
        <v>40665.100752314815</v>
      </c>
      <c r="C986">
        <v>1339.9176024999999</v>
      </c>
      <c r="D986">
        <v>1337.1640625</v>
      </c>
      <c r="E986">
        <v>1326.9168701000001</v>
      </c>
      <c r="F986">
        <v>1325.2059326000001</v>
      </c>
      <c r="G986">
        <v>80</v>
      </c>
      <c r="H986">
        <v>78.096214294000006</v>
      </c>
      <c r="I986">
        <v>50</v>
      </c>
      <c r="J986">
        <v>49.806224823000001</v>
      </c>
      <c r="K986">
        <v>2400</v>
      </c>
      <c r="L986">
        <v>0</v>
      </c>
      <c r="M986">
        <v>0</v>
      </c>
      <c r="N986">
        <v>2400</v>
      </c>
    </row>
    <row r="987" spans="1:14" x14ac:dyDescent="0.25">
      <c r="A987">
        <v>366.15101199999998</v>
      </c>
      <c r="B987" s="1">
        <f>DATE(2011,5,2) + TIME(3,37,27)</f>
        <v>40665.151006944441</v>
      </c>
      <c r="C987">
        <v>1339.9547118999999</v>
      </c>
      <c r="D987">
        <v>1337.1914062000001</v>
      </c>
      <c r="E987">
        <v>1326.916626</v>
      </c>
      <c r="F987">
        <v>1325.2055664</v>
      </c>
      <c r="G987">
        <v>80</v>
      </c>
      <c r="H987">
        <v>78.311523437999995</v>
      </c>
      <c r="I987">
        <v>50</v>
      </c>
      <c r="J987">
        <v>49.800029754999997</v>
      </c>
      <c r="K987">
        <v>2400</v>
      </c>
      <c r="L987">
        <v>0</v>
      </c>
      <c r="M987">
        <v>0</v>
      </c>
      <c r="N987">
        <v>2400</v>
      </c>
    </row>
    <row r="988" spans="1:14" x14ac:dyDescent="0.25">
      <c r="A988">
        <v>366.20349700000003</v>
      </c>
      <c r="B988" s="1">
        <f>DATE(2011,5,2) + TIME(4,53,2)</f>
        <v>40665.20349537037</v>
      </c>
      <c r="C988">
        <v>1339.9916992000001</v>
      </c>
      <c r="D988">
        <v>1337.2185059000001</v>
      </c>
      <c r="E988">
        <v>1326.9163818</v>
      </c>
      <c r="F988">
        <v>1325.2050781</v>
      </c>
      <c r="G988">
        <v>80</v>
      </c>
      <c r="H988">
        <v>78.510391235</v>
      </c>
      <c r="I988">
        <v>50</v>
      </c>
      <c r="J988">
        <v>49.793621063000003</v>
      </c>
      <c r="K988">
        <v>2400</v>
      </c>
      <c r="L988">
        <v>0</v>
      </c>
      <c r="M988">
        <v>0</v>
      </c>
      <c r="N988">
        <v>2400</v>
      </c>
    </row>
    <row r="989" spans="1:14" x14ac:dyDescent="0.25">
      <c r="A989">
        <v>366.25839500000001</v>
      </c>
      <c r="B989" s="1">
        <f>DATE(2011,5,2) + TIME(6,12,5)</f>
        <v>40665.258391203701</v>
      </c>
      <c r="C989">
        <v>1340.0281981999999</v>
      </c>
      <c r="D989">
        <v>1337.2451172000001</v>
      </c>
      <c r="E989">
        <v>1326.9161377</v>
      </c>
      <c r="F989">
        <v>1325.2047118999999</v>
      </c>
      <c r="G989">
        <v>80</v>
      </c>
      <c r="H989">
        <v>78.693183899000005</v>
      </c>
      <c r="I989">
        <v>50</v>
      </c>
      <c r="J989">
        <v>49.786979674999998</v>
      </c>
      <c r="K989">
        <v>2400</v>
      </c>
      <c r="L989">
        <v>0</v>
      </c>
      <c r="M989">
        <v>0</v>
      </c>
      <c r="N989">
        <v>2400</v>
      </c>
    </row>
    <row r="990" spans="1:14" x14ac:dyDescent="0.25">
      <c r="A990">
        <v>366.31591200000003</v>
      </c>
      <c r="B990" s="1">
        <f>DATE(2011,5,2) + TIME(7,34,54)</f>
        <v>40665.31590277778</v>
      </c>
      <c r="C990">
        <v>1340.0643310999999</v>
      </c>
      <c r="D990">
        <v>1337.2713623</v>
      </c>
      <c r="E990">
        <v>1326.9158935999999</v>
      </c>
      <c r="F990">
        <v>1325.2043457</v>
      </c>
      <c r="G990">
        <v>80</v>
      </c>
      <c r="H990">
        <v>78.860321045000006</v>
      </c>
      <c r="I990">
        <v>50</v>
      </c>
      <c r="J990">
        <v>49.780090332</v>
      </c>
      <c r="K990">
        <v>2400</v>
      </c>
      <c r="L990">
        <v>0</v>
      </c>
      <c r="M990">
        <v>0</v>
      </c>
      <c r="N990">
        <v>2400</v>
      </c>
    </row>
    <row r="991" spans="1:14" x14ac:dyDescent="0.25">
      <c r="A991">
        <v>366.376282</v>
      </c>
      <c r="B991" s="1">
        <f>DATE(2011,5,2) + TIME(9,1,50)</f>
        <v>40665.376273148147</v>
      </c>
      <c r="C991">
        <v>1340.0997314000001</v>
      </c>
      <c r="D991">
        <v>1337.296875</v>
      </c>
      <c r="E991">
        <v>1326.9155272999999</v>
      </c>
      <c r="F991">
        <v>1325.2038574000001</v>
      </c>
      <c r="G991">
        <v>80</v>
      </c>
      <c r="H991">
        <v>79.012290954999997</v>
      </c>
      <c r="I991">
        <v>50</v>
      </c>
      <c r="J991">
        <v>49.772930144999997</v>
      </c>
      <c r="K991">
        <v>2400</v>
      </c>
      <c r="L991">
        <v>0</v>
      </c>
      <c r="M991">
        <v>0</v>
      </c>
      <c r="N991">
        <v>2400</v>
      </c>
    </row>
    <row r="992" spans="1:14" x14ac:dyDescent="0.25">
      <c r="A992">
        <v>366.43979100000001</v>
      </c>
      <c r="B992" s="1">
        <f>DATE(2011,5,2) + TIME(10,33,17)</f>
        <v>40665.439780092594</v>
      </c>
      <c r="C992">
        <v>1340.1343993999999</v>
      </c>
      <c r="D992">
        <v>1337.3218993999999</v>
      </c>
      <c r="E992">
        <v>1326.9152832</v>
      </c>
      <c r="F992">
        <v>1325.2033690999999</v>
      </c>
      <c r="G992">
        <v>80</v>
      </c>
      <c r="H992">
        <v>79.149688721000004</v>
      </c>
      <c r="I992">
        <v>50</v>
      </c>
      <c r="J992">
        <v>49.765468597000002</v>
      </c>
      <c r="K992">
        <v>2400</v>
      </c>
      <c r="L992">
        <v>0</v>
      </c>
      <c r="M992">
        <v>0</v>
      </c>
      <c r="N992">
        <v>2400</v>
      </c>
    </row>
    <row r="993" spans="1:14" x14ac:dyDescent="0.25">
      <c r="A993">
        <v>366.50600600000001</v>
      </c>
      <c r="B993" s="1">
        <f>DATE(2011,5,2) + TIME(12,8,38)</f>
        <v>40665.505995370368</v>
      </c>
      <c r="C993">
        <v>1340.1685791</v>
      </c>
      <c r="D993">
        <v>1337.3463135</v>
      </c>
      <c r="E993">
        <v>1326.9149170000001</v>
      </c>
      <c r="F993">
        <v>1325.2028809000001</v>
      </c>
      <c r="G993">
        <v>80</v>
      </c>
      <c r="H993">
        <v>79.271942139000004</v>
      </c>
      <c r="I993">
        <v>50</v>
      </c>
      <c r="J993">
        <v>49.757766724</v>
      </c>
      <c r="K993">
        <v>2400</v>
      </c>
      <c r="L993">
        <v>0</v>
      </c>
      <c r="M993">
        <v>0</v>
      </c>
      <c r="N993">
        <v>2400</v>
      </c>
    </row>
    <row r="994" spans="1:14" x14ac:dyDescent="0.25">
      <c r="A994">
        <v>366.57229599999999</v>
      </c>
      <c r="B994" s="1">
        <f>DATE(2011,5,2) + TIME(13,44,6)</f>
        <v>40665.572291666664</v>
      </c>
      <c r="C994">
        <v>1340.2019043</v>
      </c>
      <c r="D994">
        <v>1337.3699951000001</v>
      </c>
      <c r="E994">
        <v>1326.9145507999999</v>
      </c>
      <c r="F994">
        <v>1325.2022704999999</v>
      </c>
      <c r="G994">
        <v>80</v>
      </c>
      <c r="H994">
        <v>79.376296996999997</v>
      </c>
      <c r="I994">
        <v>50</v>
      </c>
      <c r="J994">
        <v>49.750110626000001</v>
      </c>
      <c r="K994">
        <v>2400</v>
      </c>
      <c r="L994">
        <v>0</v>
      </c>
      <c r="M994">
        <v>0</v>
      </c>
      <c r="N994">
        <v>2400</v>
      </c>
    </row>
    <row r="995" spans="1:14" x14ac:dyDescent="0.25">
      <c r="A995">
        <v>366.63890800000001</v>
      </c>
      <c r="B995" s="1">
        <f>DATE(2011,5,2) + TIME(15,20,1)</f>
        <v>40665.63890046296</v>
      </c>
      <c r="C995">
        <v>1340.2326660000001</v>
      </c>
      <c r="D995">
        <v>1337.3919678</v>
      </c>
      <c r="E995">
        <v>1326.9141846</v>
      </c>
      <c r="F995">
        <v>1325.2017822</v>
      </c>
      <c r="G995">
        <v>80</v>
      </c>
      <c r="H995">
        <v>79.465553283999995</v>
      </c>
      <c r="I995">
        <v>50</v>
      </c>
      <c r="J995">
        <v>49.742465973000002</v>
      </c>
      <c r="K995">
        <v>2400</v>
      </c>
      <c r="L995">
        <v>0</v>
      </c>
      <c r="M995">
        <v>0</v>
      </c>
      <c r="N995">
        <v>2400</v>
      </c>
    </row>
    <row r="996" spans="1:14" x14ac:dyDescent="0.25">
      <c r="A996">
        <v>366.70599800000002</v>
      </c>
      <c r="B996" s="1">
        <f>DATE(2011,5,2) + TIME(16,56,38)</f>
        <v>40665.705995370372</v>
      </c>
      <c r="C996">
        <v>1340.2611084</v>
      </c>
      <c r="D996">
        <v>1337.4121094</v>
      </c>
      <c r="E996">
        <v>1326.9138184000001</v>
      </c>
      <c r="F996">
        <v>1325.2012939000001</v>
      </c>
      <c r="G996">
        <v>80</v>
      </c>
      <c r="H996">
        <v>79.541931152000004</v>
      </c>
      <c r="I996">
        <v>50</v>
      </c>
      <c r="J996">
        <v>49.734817505000002</v>
      </c>
      <c r="K996">
        <v>2400</v>
      </c>
      <c r="L996">
        <v>0</v>
      </c>
      <c r="M996">
        <v>0</v>
      </c>
      <c r="N996">
        <v>2400</v>
      </c>
    </row>
    <row r="997" spans="1:14" x14ac:dyDescent="0.25">
      <c r="A997">
        <v>366.77371900000003</v>
      </c>
      <c r="B997" s="1">
        <f>DATE(2011,5,2) + TIME(18,34,9)</f>
        <v>40665.773715277777</v>
      </c>
      <c r="C997">
        <v>1340.2873535000001</v>
      </c>
      <c r="D997">
        <v>1337.4309082</v>
      </c>
      <c r="E997">
        <v>1326.9134521000001</v>
      </c>
      <c r="F997">
        <v>1325.2008057</v>
      </c>
      <c r="G997">
        <v>80</v>
      </c>
      <c r="H997">
        <v>79.607284546000002</v>
      </c>
      <c r="I997">
        <v>50</v>
      </c>
      <c r="J997">
        <v>49.727149963000002</v>
      </c>
      <c r="K997">
        <v>2400</v>
      </c>
      <c r="L997">
        <v>0</v>
      </c>
      <c r="M997">
        <v>0</v>
      </c>
      <c r="N997">
        <v>2400</v>
      </c>
    </row>
    <row r="998" spans="1:14" x14ac:dyDescent="0.25">
      <c r="A998">
        <v>366.84224799999998</v>
      </c>
      <c r="B998" s="1">
        <f>DATE(2011,5,2) + TIME(20,12,50)</f>
        <v>40665.842245370368</v>
      </c>
      <c r="C998">
        <v>1340.3117675999999</v>
      </c>
      <c r="D998">
        <v>1337.4481201000001</v>
      </c>
      <c r="E998">
        <v>1326.9130858999999</v>
      </c>
      <c r="F998">
        <v>1325.2001952999999</v>
      </c>
      <c r="G998">
        <v>80</v>
      </c>
      <c r="H998">
        <v>79.663215636999993</v>
      </c>
      <c r="I998">
        <v>50</v>
      </c>
      <c r="J998">
        <v>49.719444275000001</v>
      </c>
      <c r="K998">
        <v>2400</v>
      </c>
      <c r="L998">
        <v>0</v>
      </c>
      <c r="M998">
        <v>0</v>
      </c>
      <c r="N998">
        <v>2400</v>
      </c>
    </row>
    <row r="999" spans="1:14" x14ac:dyDescent="0.25">
      <c r="A999">
        <v>366.91172999999998</v>
      </c>
      <c r="B999" s="1">
        <f>DATE(2011,5,2) + TIME(21,52,53)</f>
        <v>40665.911724537036</v>
      </c>
      <c r="C999">
        <v>1340.3342285000001</v>
      </c>
      <c r="D999">
        <v>1337.4642334</v>
      </c>
      <c r="E999">
        <v>1326.9127197</v>
      </c>
      <c r="F999">
        <v>1325.199707</v>
      </c>
      <c r="G999">
        <v>80</v>
      </c>
      <c r="H999">
        <v>79.711036682</v>
      </c>
      <c r="I999">
        <v>50</v>
      </c>
      <c r="J999">
        <v>49.711681366000001</v>
      </c>
      <c r="K999">
        <v>2400</v>
      </c>
      <c r="L999">
        <v>0</v>
      </c>
      <c r="M999">
        <v>0</v>
      </c>
      <c r="N999">
        <v>2400</v>
      </c>
    </row>
    <row r="1000" spans="1:14" x14ac:dyDescent="0.25">
      <c r="A1000">
        <v>366.98231700000002</v>
      </c>
      <c r="B1000" s="1">
        <f>DATE(2011,5,2) + TIME(23,34,32)</f>
        <v>40665.982314814813</v>
      </c>
      <c r="C1000">
        <v>1340.3549805</v>
      </c>
      <c r="D1000">
        <v>1337.479126</v>
      </c>
      <c r="E1000">
        <v>1326.9123535000001</v>
      </c>
      <c r="F1000">
        <v>1325.1990966999999</v>
      </c>
      <c r="G1000">
        <v>80</v>
      </c>
      <c r="H1000">
        <v>79.751892089999998</v>
      </c>
      <c r="I1000">
        <v>50</v>
      </c>
      <c r="J1000">
        <v>49.703849792</v>
      </c>
      <c r="K1000">
        <v>2400</v>
      </c>
      <c r="L1000">
        <v>0</v>
      </c>
      <c r="M1000">
        <v>0</v>
      </c>
      <c r="N1000">
        <v>2400</v>
      </c>
    </row>
    <row r="1001" spans="1:14" x14ac:dyDescent="0.25">
      <c r="A1001">
        <v>367.05417999999997</v>
      </c>
      <c r="B1001" s="1">
        <f>DATE(2011,5,3) + TIME(1,18,1)</f>
        <v>40666.054178240738</v>
      </c>
      <c r="C1001">
        <v>1340.3742675999999</v>
      </c>
      <c r="D1001">
        <v>1337.4929199000001</v>
      </c>
      <c r="E1001">
        <v>1326.9118652</v>
      </c>
      <c r="F1001">
        <v>1325.1984863</v>
      </c>
      <c r="G1001">
        <v>80</v>
      </c>
      <c r="H1001">
        <v>79.786758422999995</v>
      </c>
      <c r="I1001">
        <v>50</v>
      </c>
      <c r="J1001">
        <v>49.695930480999998</v>
      </c>
      <c r="K1001">
        <v>2400</v>
      </c>
      <c r="L1001">
        <v>0</v>
      </c>
      <c r="M1001">
        <v>0</v>
      </c>
      <c r="N1001">
        <v>2400</v>
      </c>
    </row>
    <row r="1002" spans="1:14" x14ac:dyDescent="0.25">
      <c r="A1002">
        <v>367.12753500000002</v>
      </c>
      <c r="B1002" s="1">
        <f>DATE(2011,5,3) + TIME(3,3,38)</f>
        <v>40666.127523148149</v>
      </c>
      <c r="C1002">
        <v>1340.3918457</v>
      </c>
      <c r="D1002">
        <v>1337.5056152</v>
      </c>
      <c r="E1002">
        <v>1326.911499</v>
      </c>
      <c r="F1002">
        <v>1325.1979980000001</v>
      </c>
      <c r="G1002">
        <v>80</v>
      </c>
      <c r="H1002">
        <v>79.816482543999996</v>
      </c>
      <c r="I1002">
        <v>50</v>
      </c>
      <c r="J1002">
        <v>49.687900542999998</v>
      </c>
      <c r="K1002">
        <v>2400</v>
      </c>
      <c r="L1002">
        <v>0</v>
      </c>
      <c r="M1002">
        <v>0</v>
      </c>
      <c r="N1002">
        <v>2400</v>
      </c>
    </row>
    <row r="1003" spans="1:14" x14ac:dyDescent="0.25">
      <c r="A1003">
        <v>367.20261599999998</v>
      </c>
      <c r="B1003" s="1">
        <f>DATE(2011,5,3) + TIME(4,51,46)</f>
        <v>40666.202615740738</v>
      </c>
      <c r="C1003">
        <v>1340.4080810999999</v>
      </c>
      <c r="D1003">
        <v>1337.5173339999999</v>
      </c>
      <c r="E1003">
        <v>1326.9110106999999</v>
      </c>
      <c r="F1003">
        <v>1325.1973877</v>
      </c>
      <c r="G1003">
        <v>80</v>
      </c>
      <c r="H1003">
        <v>79.841781616000006</v>
      </c>
      <c r="I1003">
        <v>50</v>
      </c>
      <c r="J1003">
        <v>49.679737091</v>
      </c>
      <c r="K1003">
        <v>2400</v>
      </c>
      <c r="L1003">
        <v>0</v>
      </c>
      <c r="M1003">
        <v>0</v>
      </c>
      <c r="N1003">
        <v>2400</v>
      </c>
    </row>
    <row r="1004" spans="1:14" x14ac:dyDescent="0.25">
      <c r="A1004">
        <v>367.27964400000002</v>
      </c>
      <c r="B1004" s="1">
        <f>DATE(2011,5,3) + TIME(6,42,41)</f>
        <v>40666.279641203706</v>
      </c>
      <c r="C1004">
        <v>1340.4229736</v>
      </c>
      <c r="D1004">
        <v>1337.5281981999999</v>
      </c>
      <c r="E1004">
        <v>1326.9105225000001</v>
      </c>
      <c r="F1004">
        <v>1325.1967772999999</v>
      </c>
      <c r="G1004">
        <v>80</v>
      </c>
      <c r="H1004">
        <v>79.863273621000005</v>
      </c>
      <c r="I1004">
        <v>50</v>
      </c>
      <c r="J1004">
        <v>49.671417236000003</v>
      </c>
      <c r="K1004">
        <v>2400</v>
      </c>
      <c r="L1004">
        <v>0</v>
      </c>
      <c r="M1004">
        <v>0</v>
      </c>
      <c r="N1004">
        <v>2400</v>
      </c>
    </row>
    <row r="1005" spans="1:14" x14ac:dyDescent="0.25">
      <c r="A1005">
        <v>367.35886099999999</v>
      </c>
      <c r="B1005" s="1">
        <f>DATE(2011,5,3) + TIME(8,36,45)</f>
        <v>40666.358854166669</v>
      </c>
      <c r="C1005">
        <v>1340.4366454999999</v>
      </c>
      <c r="D1005">
        <v>1337.5383300999999</v>
      </c>
      <c r="E1005">
        <v>1326.9100341999999</v>
      </c>
      <c r="F1005">
        <v>1325.1961670000001</v>
      </c>
      <c r="G1005">
        <v>80</v>
      </c>
      <c r="H1005">
        <v>79.881484985</v>
      </c>
      <c r="I1005">
        <v>50</v>
      </c>
      <c r="J1005">
        <v>49.662921906000001</v>
      </c>
      <c r="K1005">
        <v>2400</v>
      </c>
      <c r="L1005">
        <v>0</v>
      </c>
      <c r="M1005">
        <v>0</v>
      </c>
      <c r="N1005">
        <v>2400</v>
      </c>
    </row>
    <row r="1006" spans="1:14" x14ac:dyDescent="0.25">
      <c r="A1006">
        <v>367.43904099999997</v>
      </c>
      <c r="B1006" s="1">
        <f>DATE(2011,5,3) + TIME(10,32,13)</f>
        <v>40666.439039351855</v>
      </c>
      <c r="C1006">
        <v>1340.4490966999999</v>
      </c>
      <c r="D1006">
        <v>1337.5476074000001</v>
      </c>
      <c r="E1006">
        <v>1326.9095459</v>
      </c>
      <c r="F1006">
        <v>1325.1954346</v>
      </c>
      <c r="G1006">
        <v>80</v>
      </c>
      <c r="H1006">
        <v>79.896644592000001</v>
      </c>
      <c r="I1006">
        <v>50</v>
      </c>
      <c r="J1006">
        <v>49.654373169000003</v>
      </c>
      <c r="K1006">
        <v>2400</v>
      </c>
      <c r="L1006">
        <v>0</v>
      </c>
      <c r="M1006">
        <v>0</v>
      </c>
      <c r="N1006">
        <v>2400</v>
      </c>
    </row>
    <row r="1007" spans="1:14" x14ac:dyDescent="0.25">
      <c r="A1007">
        <v>367.52032300000002</v>
      </c>
      <c r="B1007" s="1">
        <f>DATE(2011,5,3) + TIME(12,29,15)</f>
        <v>40666.520312499997</v>
      </c>
      <c r="C1007">
        <v>1340.4602050999999</v>
      </c>
      <c r="D1007">
        <v>1337.5559082</v>
      </c>
      <c r="E1007">
        <v>1326.9090576000001</v>
      </c>
      <c r="F1007">
        <v>1325.1948242000001</v>
      </c>
      <c r="G1007">
        <v>80</v>
      </c>
      <c r="H1007">
        <v>79.909248352000006</v>
      </c>
      <c r="I1007">
        <v>50</v>
      </c>
      <c r="J1007">
        <v>49.645755768000001</v>
      </c>
      <c r="K1007">
        <v>2400</v>
      </c>
      <c r="L1007">
        <v>0</v>
      </c>
      <c r="M1007">
        <v>0</v>
      </c>
      <c r="N1007">
        <v>2400</v>
      </c>
    </row>
    <row r="1008" spans="1:14" x14ac:dyDescent="0.25">
      <c r="A1008">
        <v>367.60285199999998</v>
      </c>
      <c r="B1008" s="1">
        <f>DATE(2011,5,3) + TIME(14,28,6)</f>
        <v>40666.602847222224</v>
      </c>
      <c r="C1008">
        <v>1340.4699707</v>
      </c>
      <c r="D1008">
        <v>1337.5634766000001</v>
      </c>
      <c r="E1008">
        <v>1326.9085693</v>
      </c>
      <c r="F1008">
        <v>1325.1940918</v>
      </c>
      <c r="G1008">
        <v>80</v>
      </c>
      <c r="H1008">
        <v>79.919723511000001</v>
      </c>
      <c r="I1008">
        <v>50</v>
      </c>
      <c r="J1008">
        <v>49.637054442999997</v>
      </c>
      <c r="K1008">
        <v>2400</v>
      </c>
      <c r="L1008">
        <v>0</v>
      </c>
      <c r="M1008">
        <v>0</v>
      </c>
      <c r="N1008">
        <v>2400</v>
      </c>
    </row>
    <row r="1009" spans="1:14" x14ac:dyDescent="0.25">
      <c r="A1009">
        <v>367.686778</v>
      </c>
      <c r="B1009" s="1">
        <f>DATE(2011,5,3) + TIME(16,28,57)</f>
        <v>40666.68677083333</v>
      </c>
      <c r="C1009">
        <v>1340.4772949000001</v>
      </c>
      <c r="D1009">
        <v>1337.5692139</v>
      </c>
      <c r="E1009">
        <v>1326.9080810999999</v>
      </c>
      <c r="F1009">
        <v>1325.1934814000001</v>
      </c>
      <c r="G1009">
        <v>80</v>
      </c>
      <c r="H1009">
        <v>79.928421021000005</v>
      </c>
      <c r="I1009">
        <v>50</v>
      </c>
      <c r="J1009">
        <v>49.628253936999997</v>
      </c>
      <c r="K1009">
        <v>2400</v>
      </c>
      <c r="L1009">
        <v>0</v>
      </c>
      <c r="M1009">
        <v>0</v>
      </c>
      <c r="N1009">
        <v>2400</v>
      </c>
    </row>
    <row r="1010" spans="1:14" x14ac:dyDescent="0.25">
      <c r="A1010">
        <v>367.77231799999998</v>
      </c>
      <c r="B1010" s="1">
        <f>DATE(2011,5,3) + TIME(18,32,8)</f>
        <v>40666.772314814814</v>
      </c>
      <c r="C1010">
        <v>1340.4827881000001</v>
      </c>
      <c r="D1010">
        <v>1337.5738524999999</v>
      </c>
      <c r="E1010">
        <v>1326.9074707</v>
      </c>
      <c r="F1010">
        <v>1325.192749</v>
      </c>
      <c r="G1010">
        <v>80</v>
      </c>
      <c r="H1010">
        <v>79.935630798000005</v>
      </c>
      <c r="I1010">
        <v>50</v>
      </c>
      <c r="J1010">
        <v>49.619338988999999</v>
      </c>
      <c r="K1010">
        <v>2400</v>
      </c>
      <c r="L1010">
        <v>0</v>
      </c>
      <c r="M1010">
        <v>0</v>
      </c>
      <c r="N1010">
        <v>2400</v>
      </c>
    </row>
    <row r="1011" spans="1:14" x14ac:dyDescent="0.25">
      <c r="A1011">
        <v>367.859622</v>
      </c>
      <c r="B1011" s="1">
        <f>DATE(2011,5,3) + TIME(20,37,51)</f>
        <v>40666.859618055554</v>
      </c>
      <c r="C1011">
        <v>1340.4873047000001</v>
      </c>
      <c r="D1011">
        <v>1337.5778809000001</v>
      </c>
      <c r="E1011">
        <v>1326.9068603999999</v>
      </c>
      <c r="F1011">
        <v>1325.1920166</v>
      </c>
      <c r="G1011">
        <v>80</v>
      </c>
      <c r="H1011">
        <v>79.941596985000004</v>
      </c>
      <c r="I1011">
        <v>50</v>
      </c>
      <c r="J1011">
        <v>49.610290526999997</v>
      </c>
      <c r="K1011">
        <v>2400</v>
      </c>
      <c r="L1011">
        <v>0</v>
      </c>
      <c r="M1011">
        <v>0</v>
      </c>
      <c r="N1011">
        <v>2400</v>
      </c>
    </row>
    <row r="1012" spans="1:14" x14ac:dyDescent="0.25">
      <c r="A1012">
        <v>367.94887</v>
      </c>
      <c r="B1012" s="1">
        <f>DATE(2011,5,3) + TIME(22,46,22)</f>
        <v>40666.948865740742</v>
      </c>
      <c r="C1012">
        <v>1340.4912108999999</v>
      </c>
      <c r="D1012">
        <v>1337.5814209</v>
      </c>
      <c r="E1012">
        <v>1326.9063721</v>
      </c>
      <c r="F1012">
        <v>1325.1912841999999</v>
      </c>
      <c r="G1012">
        <v>80</v>
      </c>
      <c r="H1012">
        <v>79.946525574000006</v>
      </c>
      <c r="I1012">
        <v>50</v>
      </c>
      <c r="J1012">
        <v>49.601097107000001</v>
      </c>
      <c r="K1012">
        <v>2400</v>
      </c>
      <c r="L1012">
        <v>0</v>
      </c>
      <c r="M1012">
        <v>0</v>
      </c>
      <c r="N1012">
        <v>2400</v>
      </c>
    </row>
    <row r="1013" spans="1:14" x14ac:dyDescent="0.25">
      <c r="A1013">
        <v>368.040256</v>
      </c>
      <c r="B1013" s="1">
        <f>DATE(2011,5,4) + TIME(0,57,58)</f>
        <v>40667.040254629632</v>
      </c>
      <c r="C1013">
        <v>1340.4942627</v>
      </c>
      <c r="D1013">
        <v>1337.5844727000001</v>
      </c>
      <c r="E1013">
        <v>1326.9057617000001</v>
      </c>
      <c r="F1013">
        <v>1325.1905518000001</v>
      </c>
      <c r="G1013">
        <v>80</v>
      </c>
      <c r="H1013">
        <v>79.950592040999993</v>
      </c>
      <c r="I1013">
        <v>50</v>
      </c>
      <c r="J1013">
        <v>49.591735839999998</v>
      </c>
      <c r="K1013">
        <v>2400</v>
      </c>
      <c r="L1013">
        <v>0</v>
      </c>
      <c r="M1013">
        <v>0</v>
      </c>
      <c r="N1013">
        <v>2400</v>
      </c>
    </row>
    <row r="1014" spans="1:14" x14ac:dyDescent="0.25">
      <c r="A1014">
        <v>368.13399199999998</v>
      </c>
      <c r="B1014" s="1">
        <f>DATE(2011,5,4) + TIME(3,12,56)</f>
        <v>40667.133981481478</v>
      </c>
      <c r="C1014">
        <v>1340.496582</v>
      </c>
      <c r="D1014">
        <v>1337.5871582</v>
      </c>
      <c r="E1014">
        <v>1326.9051514</v>
      </c>
      <c r="F1014">
        <v>1325.1898193</v>
      </c>
      <c r="G1014">
        <v>80</v>
      </c>
      <c r="H1014">
        <v>79.953933715999995</v>
      </c>
      <c r="I1014">
        <v>50</v>
      </c>
      <c r="J1014">
        <v>49.582195282000001</v>
      </c>
      <c r="K1014">
        <v>2400</v>
      </c>
      <c r="L1014">
        <v>0</v>
      </c>
      <c r="M1014">
        <v>0</v>
      </c>
      <c r="N1014">
        <v>2400</v>
      </c>
    </row>
    <row r="1015" spans="1:14" x14ac:dyDescent="0.25">
      <c r="A1015">
        <v>368.23031200000003</v>
      </c>
      <c r="B1015" s="1">
        <f>DATE(2011,5,4) + TIME(5,31,38)</f>
        <v>40667.230300925927</v>
      </c>
      <c r="C1015">
        <v>1340.4981689000001</v>
      </c>
      <c r="D1015">
        <v>1337.5893555</v>
      </c>
      <c r="E1015">
        <v>1326.9045410000001</v>
      </c>
      <c r="F1015">
        <v>1325.1889647999999</v>
      </c>
      <c r="G1015">
        <v>80</v>
      </c>
      <c r="H1015">
        <v>79.956680297999995</v>
      </c>
      <c r="I1015">
        <v>50</v>
      </c>
      <c r="J1015">
        <v>49.572448729999998</v>
      </c>
      <c r="K1015">
        <v>2400</v>
      </c>
      <c r="L1015">
        <v>0</v>
      </c>
      <c r="M1015">
        <v>0</v>
      </c>
      <c r="N1015">
        <v>2400</v>
      </c>
    </row>
    <row r="1016" spans="1:14" x14ac:dyDescent="0.25">
      <c r="A1016">
        <v>368.32947300000001</v>
      </c>
      <c r="B1016" s="1">
        <f>DATE(2011,5,4) + TIME(7,54,26)</f>
        <v>40667.329467592594</v>
      </c>
      <c r="C1016">
        <v>1340.4990233999999</v>
      </c>
      <c r="D1016">
        <v>1337.5910644999999</v>
      </c>
      <c r="E1016">
        <v>1326.9038086</v>
      </c>
      <c r="F1016">
        <v>1325.1882324000001</v>
      </c>
      <c r="G1016">
        <v>80</v>
      </c>
      <c r="H1016">
        <v>79.958930968999994</v>
      </c>
      <c r="I1016">
        <v>50</v>
      </c>
      <c r="J1016">
        <v>49.562473296999997</v>
      </c>
      <c r="K1016">
        <v>2400</v>
      </c>
      <c r="L1016">
        <v>0</v>
      </c>
      <c r="M1016">
        <v>0</v>
      </c>
      <c r="N1016">
        <v>2400</v>
      </c>
    </row>
    <row r="1017" spans="1:14" x14ac:dyDescent="0.25">
      <c r="A1017">
        <v>368.43177500000002</v>
      </c>
      <c r="B1017" s="1">
        <f>DATE(2011,5,4) + TIME(10,21,45)</f>
        <v>40667.431770833333</v>
      </c>
      <c r="C1017">
        <v>1340.4991454999999</v>
      </c>
      <c r="D1017">
        <v>1337.5924072</v>
      </c>
      <c r="E1017">
        <v>1326.9031981999999</v>
      </c>
      <c r="F1017">
        <v>1325.1873779</v>
      </c>
      <c r="G1017">
        <v>80</v>
      </c>
      <c r="H1017">
        <v>79.960769653</v>
      </c>
      <c r="I1017">
        <v>50</v>
      </c>
      <c r="J1017">
        <v>49.552249908</v>
      </c>
      <c r="K1017">
        <v>2400</v>
      </c>
      <c r="L1017">
        <v>0</v>
      </c>
      <c r="M1017">
        <v>0</v>
      </c>
      <c r="N1017">
        <v>2400</v>
      </c>
    </row>
    <row r="1018" spans="1:14" x14ac:dyDescent="0.25">
      <c r="A1018">
        <v>368.53772600000002</v>
      </c>
      <c r="B1018" s="1">
        <f>DATE(2011,5,4) + TIME(12,54,19)</f>
        <v>40667.537719907406</v>
      </c>
      <c r="C1018">
        <v>1340.4987793</v>
      </c>
      <c r="D1018">
        <v>1337.5932617000001</v>
      </c>
      <c r="E1018">
        <v>1326.9024658000001</v>
      </c>
      <c r="F1018">
        <v>1325.1864014</v>
      </c>
      <c r="G1018">
        <v>80</v>
      </c>
      <c r="H1018">
        <v>79.962272643999995</v>
      </c>
      <c r="I1018">
        <v>50</v>
      </c>
      <c r="J1018">
        <v>49.541732787999997</v>
      </c>
      <c r="K1018">
        <v>2400</v>
      </c>
      <c r="L1018">
        <v>0</v>
      </c>
      <c r="M1018">
        <v>0</v>
      </c>
      <c r="N1018">
        <v>2400</v>
      </c>
    </row>
    <row r="1019" spans="1:14" x14ac:dyDescent="0.25">
      <c r="A1019">
        <v>368.64772299999998</v>
      </c>
      <c r="B1019" s="1">
        <f>DATE(2011,5,4) + TIME(15,32,43)</f>
        <v>40667.647719907407</v>
      </c>
      <c r="C1019">
        <v>1340.4976807</v>
      </c>
      <c r="D1019">
        <v>1337.5938721</v>
      </c>
      <c r="E1019">
        <v>1326.9017334</v>
      </c>
      <c r="F1019">
        <v>1325.1855469</v>
      </c>
      <c r="G1019">
        <v>80</v>
      </c>
      <c r="H1019">
        <v>79.963493346999996</v>
      </c>
      <c r="I1019">
        <v>50</v>
      </c>
      <c r="J1019">
        <v>49.530883789000001</v>
      </c>
      <c r="K1019">
        <v>2400</v>
      </c>
      <c r="L1019">
        <v>0</v>
      </c>
      <c r="M1019">
        <v>0</v>
      </c>
      <c r="N1019">
        <v>2400</v>
      </c>
    </row>
    <row r="1020" spans="1:14" x14ac:dyDescent="0.25">
      <c r="A1020">
        <v>368.76100100000002</v>
      </c>
      <c r="B1020" s="1">
        <f>DATE(2011,5,4) + TIME(18,15,50)</f>
        <v>40667.760995370372</v>
      </c>
      <c r="C1020">
        <v>1340.4960937999999</v>
      </c>
      <c r="D1020">
        <v>1337.5941161999999</v>
      </c>
      <c r="E1020">
        <v>1326.9008789</v>
      </c>
      <c r="F1020">
        <v>1325.1845702999999</v>
      </c>
      <c r="G1020">
        <v>80</v>
      </c>
      <c r="H1020">
        <v>79.964477539000001</v>
      </c>
      <c r="I1020">
        <v>50</v>
      </c>
      <c r="J1020">
        <v>49.519783019999998</v>
      </c>
      <c r="K1020">
        <v>2400</v>
      </c>
      <c r="L1020">
        <v>0</v>
      </c>
      <c r="M1020">
        <v>0</v>
      </c>
      <c r="N1020">
        <v>2400</v>
      </c>
    </row>
    <row r="1021" spans="1:14" x14ac:dyDescent="0.25">
      <c r="A1021">
        <v>368.877612</v>
      </c>
      <c r="B1021" s="1">
        <f>DATE(2011,5,4) + TIME(21,3,45)</f>
        <v>40667.877604166664</v>
      </c>
      <c r="C1021">
        <v>1340.4937743999999</v>
      </c>
      <c r="D1021">
        <v>1337.5939940999999</v>
      </c>
      <c r="E1021">
        <v>1326.9001464999999</v>
      </c>
      <c r="F1021">
        <v>1325.1835937999999</v>
      </c>
      <c r="G1021">
        <v>80</v>
      </c>
      <c r="H1021">
        <v>79.965263367000006</v>
      </c>
      <c r="I1021">
        <v>50</v>
      </c>
      <c r="J1021">
        <v>49.508415221999996</v>
      </c>
      <c r="K1021">
        <v>2400</v>
      </c>
      <c r="L1021">
        <v>0</v>
      </c>
      <c r="M1021">
        <v>0</v>
      </c>
      <c r="N1021">
        <v>2400</v>
      </c>
    </row>
    <row r="1022" spans="1:14" x14ac:dyDescent="0.25">
      <c r="A1022">
        <v>368.99789800000002</v>
      </c>
      <c r="B1022" s="1">
        <f>DATE(2011,5,4) + TIME(23,56,58)</f>
        <v>40667.997893518521</v>
      </c>
      <c r="C1022">
        <v>1340.4909668</v>
      </c>
      <c r="D1022">
        <v>1337.5935059000001</v>
      </c>
      <c r="E1022">
        <v>1326.8992920000001</v>
      </c>
      <c r="F1022">
        <v>1325.1824951000001</v>
      </c>
      <c r="G1022">
        <v>80</v>
      </c>
      <c r="H1022">
        <v>79.965888977000006</v>
      </c>
      <c r="I1022">
        <v>50</v>
      </c>
      <c r="J1022">
        <v>49.496761321999998</v>
      </c>
      <c r="K1022">
        <v>2400</v>
      </c>
      <c r="L1022">
        <v>0</v>
      </c>
      <c r="M1022">
        <v>0</v>
      </c>
      <c r="N1022">
        <v>2400</v>
      </c>
    </row>
    <row r="1023" spans="1:14" x14ac:dyDescent="0.25">
      <c r="A1023">
        <v>369.12222300000002</v>
      </c>
      <c r="B1023" s="1">
        <f>DATE(2011,5,5) + TIME(2,56,0)</f>
        <v>40668.12222222222</v>
      </c>
      <c r="C1023">
        <v>1340.4870605000001</v>
      </c>
      <c r="D1023">
        <v>1337.5922852000001</v>
      </c>
      <c r="E1023">
        <v>1326.8984375</v>
      </c>
      <c r="F1023">
        <v>1325.1815185999999</v>
      </c>
      <c r="G1023">
        <v>80</v>
      </c>
      <c r="H1023">
        <v>79.966384887999993</v>
      </c>
      <c r="I1023">
        <v>50</v>
      </c>
      <c r="J1023">
        <v>49.484790801999999</v>
      </c>
      <c r="K1023">
        <v>2400</v>
      </c>
      <c r="L1023">
        <v>0</v>
      </c>
      <c r="M1023">
        <v>0</v>
      </c>
      <c r="N1023">
        <v>2400</v>
      </c>
    </row>
    <row r="1024" spans="1:14" x14ac:dyDescent="0.25">
      <c r="A1024">
        <v>369.25072699999998</v>
      </c>
      <c r="B1024" s="1">
        <f>DATE(2011,5,5) + TIME(6,1,2)</f>
        <v>40668.250717592593</v>
      </c>
      <c r="C1024">
        <v>1340.4812012</v>
      </c>
      <c r="D1024">
        <v>1337.5899658000001</v>
      </c>
      <c r="E1024">
        <v>1326.8974608999999</v>
      </c>
      <c r="F1024">
        <v>1325.1804199000001</v>
      </c>
      <c r="G1024">
        <v>80</v>
      </c>
      <c r="H1024">
        <v>79.966781616000006</v>
      </c>
      <c r="I1024">
        <v>50</v>
      </c>
      <c r="J1024">
        <v>49.472492217999999</v>
      </c>
      <c r="K1024">
        <v>2400</v>
      </c>
      <c r="L1024">
        <v>0</v>
      </c>
      <c r="M1024">
        <v>0</v>
      </c>
      <c r="N1024">
        <v>2400</v>
      </c>
    </row>
    <row r="1025" spans="1:14" x14ac:dyDescent="0.25">
      <c r="A1025">
        <v>369.380807</v>
      </c>
      <c r="B1025" s="1">
        <f>DATE(2011,5,5) + TIME(9,8,21)</f>
        <v>40668.380798611113</v>
      </c>
      <c r="C1025">
        <v>1340.4750977000001</v>
      </c>
      <c r="D1025">
        <v>1337.5875243999999</v>
      </c>
      <c r="E1025">
        <v>1326.8966064000001</v>
      </c>
      <c r="F1025">
        <v>1325.1791992000001</v>
      </c>
      <c r="G1025">
        <v>80</v>
      </c>
      <c r="H1025">
        <v>79.967086792000003</v>
      </c>
      <c r="I1025">
        <v>50</v>
      </c>
      <c r="J1025">
        <v>49.460086822999997</v>
      </c>
      <c r="K1025">
        <v>2400</v>
      </c>
      <c r="L1025">
        <v>0</v>
      </c>
      <c r="M1025">
        <v>0</v>
      </c>
      <c r="N1025">
        <v>2400</v>
      </c>
    </row>
    <row r="1026" spans="1:14" x14ac:dyDescent="0.25">
      <c r="A1026">
        <v>369.51282200000003</v>
      </c>
      <c r="B1026" s="1">
        <f>DATE(2011,5,5) + TIME(12,18,27)</f>
        <v>40668.512812499997</v>
      </c>
      <c r="C1026">
        <v>1340.46875</v>
      </c>
      <c r="D1026">
        <v>1337.5848389</v>
      </c>
      <c r="E1026">
        <v>1326.8956298999999</v>
      </c>
      <c r="F1026">
        <v>1325.1781006000001</v>
      </c>
      <c r="G1026">
        <v>80</v>
      </c>
      <c r="H1026">
        <v>79.967323303000001</v>
      </c>
      <c r="I1026">
        <v>50</v>
      </c>
      <c r="J1026">
        <v>49.447547913000001</v>
      </c>
      <c r="K1026">
        <v>2400</v>
      </c>
      <c r="L1026">
        <v>0</v>
      </c>
      <c r="M1026">
        <v>0</v>
      </c>
      <c r="N1026">
        <v>2400</v>
      </c>
    </row>
    <row r="1027" spans="1:14" x14ac:dyDescent="0.25">
      <c r="A1027">
        <v>369.647111</v>
      </c>
      <c r="B1027" s="1">
        <f>DATE(2011,5,5) + TIME(15,31,50)</f>
        <v>40668.647106481483</v>
      </c>
      <c r="C1027">
        <v>1340.4621582</v>
      </c>
      <c r="D1027">
        <v>1337.5820312000001</v>
      </c>
      <c r="E1027">
        <v>1326.8946533000001</v>
      </c>
      <c r="F1027">
        <v>1325.1768798999999</v>
      </c>
      <c r="G1027">
        <v>80</v>
      </c>
      <c r="H1027">
        <v>79.967498778999996</v>
      </c>
      <c r="I1027">
        <v>50</v>
      </c>
      <c r="J1027">
        <v>49.434848785</v>
      </c>
      <c r="K1027">
        <v>2400</v>
      </c>
      <c r="L1027">
        <v>0</v>
      </c>
      <c r="M1027">
        <v>0</v>
      </c>
      <c r="N1027">
        <v>2400</v>
      </c>
    </row>
    <row r="1028" spans="1:14" x14ac:dyDescent="0.25">
      <c r="A1028">
        <v>369.78402899999998</v>
      </c>
      <c r="B1028" s="1">
        <f>DATE(2011,5,5) + TIME(18,49,0)</f>
        <v>40668.78402777778</v>
      </c>
      <c r="C1028">
        <v>1340.4553223</v>
      </c>
      <c r="D1028">
        <v>1337.5792236</v>
      </c>
      <c r="E1028">
        <v>1326.8935547000001</v>
      </c>
      <c r="F1028">
        <v>1325.1756591999999</v>
      </c>
      <c r="G1028">
        <v>80</v>
      </c>
      <c r="H1028">
        <v>79.967636107999994</v>
      </c>
      <c r="I1028">
        <v>50</v>
      </c>
      <c r="J1028">
        <v>49.421958922999998</v>
      </c>
      <c r="K1028">
        <v>2400</v>
      </c>
      <c r="L1028">
        <v>0</v>
      </c>
      <c r="M1028">
        <v>0</v>
      </c>
      <c r="N1028">
        <v>2400</v>
      </c>
    </row>
    <row r="1029" spans="1:14" x14ac:dyDescent="0.25">
      <c r="A1029">
        <v>369.92429900000002</v>
      </c>
      <c r="B1029" s="1">
        <f>DATE(2011,5,5) + TIME(22,10,59)</f>
        <v>40668.924293981479</v>
      </c>
      <c r="C1029">
        <v>1340.4483643000001</v>
      </c>
      <c r="D1029">
        <v>1337.5761719</v>
      </c>
      <c r="E1029">
        <v>1326.8925781</v>
      </c>
      <c r="F1029">
        <v>1325.1744385</v>
      </c>
      <c r="G1029">
        <v>80</v>
      </c>
      <c r="H1029">
        <v>79.967742920000006</v>
      </c>
      <c r="I1029">
        <v>50</v>
      </c>
      <c r="J1029">
        <v>49.408828735</v>
      </c>
      <c r="K1029">
        <v>2400</v>
      </c>
      <c r="L1029">
        <v>0</v>
      </c>
      <c r="M1029">
        <v>0</v>
      </c>
      <c r="N1029">
        <v>2400</v>
      </c>
    </row>
    <row r="1030" spans="1:14" x14ac:dyDescent="0.25">
      <c r="A1030">
        <v>370.06840899999997</v>
      </c>
      <c r="B1030" s="1">
        <f>DATE(2011,5,6) + TIME(1,38,30)</f>
        <v>40669.068402777775</v>
      </c>
      <c r="C1030">
        <v>1340.4410399999999</v>
      </c>
      <c r="D1030">
        <v>1337.5731201000001</v>
      </c>
      <c r="E1030">
        <v>1326.8914795000001</v>
      </c>
      <c r="F1030">
        <v>1325.1730957</v>
      </c>
      <c r="G1030">
        <v>80</v>
      </c>
      <c r="H1030">
        <v>79.967819214000002</v>
      </c>
      <c r="I1030">
        <v>50</v>
      </c>
      <c r="J1030">
        <v>49.395412444999998</v>
      </c>
      <c r="K1030">
        <v>2400</v>
      </c>
      <c r="L1030">
        <v>0</v>
      </c>
      <c r="M1030">
        <v>0</v>
      </c>
      <c r="N1030">
        <v>2400</v>
      </c>
    </row>
    <row r="1031" spans="1:14" x14ac:dyDescent="0.25">
      <c r="A1031">
        <v>370.21507000000003</v>
      </c>
      <c r="B1031" s="1">
        <f>DATE(2011,5,6) + TIME(5,9,42)</f>
        <v>40669.215069444443</v>
      </c>
      <c r="C1031">
        <v>1340.4335937999999</v>
      </c>
      <c r="D1031">
        <v>1337.5699463000001</v>
      </c>
      <c r="E1031">
        <v>1326.8903809000001</v>
      </c>
      <c r="F1031">
        <v>1325.1717529</v>
      </c>
      <c r="G1031">
        <v>80</v>
      </c>
      <c r="H1031">
        <v>79.967872619999994</v>
      </c>
      <c r="I1031">
        <v>50</v>
      </c>
      <c r="J1031">
        <v>49.381820679</v>
      </c>
      <c r="K1031">
        <v>2400</v>
      </c>
      <c r="L1031">
        <v>0</v>
      </c>
      <c r="M1031">
        <v>0</v>
      </c>
      <c r="N1031">
        <v>2400</v>
      </c>
    </row>
    <row r="1032" spans="1:14" x14ac:dyDescent="0.25">
      <c r="A1032">
        <v>370.36243999999999</v>
      </c>
      <c r="B1032" s="1">
        <f>DATE(2011,5,6) + TIME(8,41,54)</f>
        <v>40669.362430555557</v>
      </c>
      <c r="C1032">
        <v>1340.4260254000001</v>
      </c>
      <c r="D1032">
        <v>1337.5666504000001</v>
      </c>
      <c r="E1032">
        <v>1326.8892822</v>
      </c>
      <c r="F1032">
        <v>1325.1704102000001</v>
      </c>
      <c r="G1032">
        <v>80</v>
      </c>
      <c r="H1032">
        <v>79.967910767000006</v>
      </c>
      <c r="I1032">
        <v>50</v>
      </c>
      <c r="J1032">
        <v>49.368202209000003</v>
      </c>
      <c r="K1032">
        <v>2400</v>
      </c>
      <c r="L1032">
        <v>0</v>
      </c>
      <c r="M1032">
        <v>0</v>
      </c>
      <c r="N1032">
        <v>2400</v>
      </c>
    </row>
    <row r="1033" spans="1:14" x14ac:dyDescent="0.25">
      <c r="A1033">
        <v>370.51080999999999</v>
      </c>
      <c r="B1033" s="1">
        <f>DATE(2011,5,6) + TIME(12,15,34)</f>
        <v>40669.510810185187</v>
      </c>
      <c r="C1033">
        <v>1340.4183350000001</v>
      </c>
      <c r="D1033">
        <v>1337.5633545000001</v>
      </c>
      <c r="E1033">
        <v>1326.8881836</v>
      </c>
      <c r="F1033">
        <v>1325.1689452999999</v>
      </c>
      <c r="G1033">
        <v>80</v>
      </c>
      <c r="H1033">
        <v>79.967933654999996</v>
      </c>
      <c r="I1033">
        <v>50</v>
      </c>
      <c r="J1033">
        <v>49.354537964000002</v>
      </c>
      <c r="K1033">
        <v>2400</v>
      </c>
      <c r="L1033">
        <v>0</v>
      </c>
      <c r="M1033">
        <v>0</v>
      </c>
      <c r="N1033">
        <v>2400</v>
      </c>
    </row>
    <row r="1034" spans="1:14" x14ac:dyDescent="0.25">
      <c r="A1034">
        <v>370.66046599999999</v>
      </c>
      <c r="B1034" s="1">
        <f>DATE(2011,5,6) + TIME(15,51,4)</f>
        <v>40669.660462962966</v>
      </c>
      <c r="C1034">
        <v>1340.4106445</v>
      </c>
      <c r="D1034">
        <v>1337.5600586</v>
      </c>
      <c r="E1034">
        <v>1326.8869629000001</v>
      </c>
      <c r="F1034">
        <v>1325.1676024999999</v>
      </c>
      <c r="G1034">
        <v>80</v>
      </c>
      <c r="H1034">
        <v>79.967941284000005</v>
      </c>
      <c r="I1034">
        <v>50</v>
      </c>
      <c r="J1034">
        <v>49.340805054</v>
      </c>
      <c r="K1034">
        <v>2400</v>
      </c>
      <c r="L1034">
        <v>0</v>
      </c>
      <c r="M1034">
        <v>0</v>
      </c>
      <c r="N1034">
        <v>2400</v>
      </c>
    </row>
    <row r="1035" spans="1:14" x14ac:dyDescent="0.25">
      <c r="A1035">
        <v>370.81168500000001</v>
      </c>
      <c r="B1035" s="1">
        <f>DATE(2011,5,6) + TIME(19,28,49)</f>
        <v>40669.811678240738</v>
      </c>
      <c r="C1035">
        <v>1340.4029541</v>
      </c>
      <c r="D1035">
        <v>1337.5566406</v>
      </c>
      <c r="E1035">
        <v>1326.8858643000001</v>
      </c>
      <c r="F1035">
        <v>1325.1661377</v>
      </c>
      <c r="G1035">
        <v>80</v>
      </c>
      <c r="H1035">
        <v>79.967941284000005</v>
      </c>
      <c r="I1035">
        <v>50</v>
      </c>
      <c r="J1035">
        <v>49.326984406000001</v>
      </c>
      <c r="K1035">
        <v>2400</v>
      </c>
      <c r="L1035">
        <v>0</v>
      </c>
      <c r="M1035">
        <v>0</v>
      </c>
      <c r="N1035">
        <v>2400</v>
      </c>
    </row>
    <row r="1036" spans="1:14" x14ac:dyDescent="0.25">
      <c r="A1036">
        <v>370.96475099999998</v>
      </c>
      <c r="B1036" s="1">
        <f>DATE(2011,5,6) + TIME(23,9,14)</f>
        <v>40669.964745370373</v>
      </c>
      <c r="C1036">
        <v>1340.3951416</v>
      </c>
      <c r="D1036">
        <v>1337.5533447</v>
      </c>
      <c r="E1036">
        <v>1326.8846435999999</v>
      </c>
      <c r="F1036">
        <v>1325.1646728999999</v>
      </c>
      <c r="G1036">
        <v>80</v>
      </c>
      <c r="H1036">
        <v>79.967933654999996</v>
      </c>
      <c r="I1036">
        <v>50</v>
      </c>
      <c r="J1036">
        <v>49.313060759999999</v>
      </c>
      <c r="K1036">
        <v>2400</v>
      </c>
      <c r="L1036">
        <v>0</v>
      </c>
      <c r="M1036">
        <v>0</v>
      </c>
      <c r="N1036">
        <v>2400</v>
      </c>
    </row>
    <row r="1037" spans="1:14" x14ac:dyDescent="0.25">
      <c r="A1037">
        <v>371.12002999999999</v>
      </c>
      <c r="B1037" s="1">
        <f>DATE(2011,5,7) + TIME(2,52,50)</f>
        <v>40670.120023148149</v>
      </c>
      <c r="C1037">
        <v>1340.3874512</v>
      </c>
      <c r="D1037">
        <v>1337.5500488</v>
      </c>
      <c r="E1037">
        <v>1326.8834228999999</v>
      </c>
      <c r="F1037">
        <v>1325.1632079999999</v>
      </c>
      <c r="G1037">
        <v>80</v>
      </c>
      <c r="H1037">
        <v>79.967918396000002</v>
      </c>
      <c r="I1037">
        <v>50</v>
      </c>
      <c r="J1037">
        <v>49.299003601000003</v>
      </c>
      <c r="K1037">
        <v>2400</v>
      </c>
      <c r="L1037">
        <v>0</v>
      </c>
      <c r="M1037">
        <v>0</v>
      </c>
      <c r="N1037">
        <v>2400</v>
      </c>
    </row>
    <row r="1038" spans="1:14" x14ac:dyDescent="0.25">
      <c r="A1038">
        <v>371.27776499999999</v>
      </c>
      <c r="B1038" s="1">
        <f>DATE(2011,5,7) + TIME(6,39,58)</f>
        <v>40670.277754629627</v>
      </c>
      <c r="C1038">
        <v>1340.3795166</v>
      </c>
      <c r="D1038">
        <v>1337.5466309000001</v>
      </c>
      <c r="E1038">
        <v>1326.8820800999999</v>
      </c>
      <c r="F1038">
        <v>1325.1616211</v>
      </c>
      <c r="G1038">
        <v>80</v>
      </c>
      <c r="H1038">
        <v>79.967903136999993</v>
      </c>
      <c r="I1038">
        <v>50</v>
      </c>
      <c r="J1038">
        <v>49.284793854</v>
      </c>
      <c r="K1038">
        <v>2400</v>
      </c>
      <c r="L1038">
        <v>0</v>
      </c>
      <c r="M1038">
        <v>0</v>
      </c>
      <c r="N1038">
        <v>2400</v>
      </c>
    </row>
    <row r="1039" spans="1:14" x14ac:dyDescent="0.25">
      <c r="A1039">
        <v>371.43828000000002</v>
      </c>
      <c r="B1039" s="1">
        <f>DATE(2011,5,7) + TIME(10,31,7)</f>
        <v>40670.438275462962</v>
      </c>
      <c r="C1039">
        <v>1340.3717041</v>
      </c>
      <c r="D1039">
        <v>1337.5432129000001</v>
      </c>
      <c r="E1039">
        <v>1326.8808594</v>
      </c>
      <c r="F1039">
        <v>1325.1600341999999</v>
      </c>
      <c r="G1039">
        <v>80</v>
      </c>
      <c r="H1039">
        <v>79.967880249000004</v>
      </c>
      <c r="I1039">
        <v>50</v>
      </c>
      <c r="J1039">
        <v>49.270412444999998</v>
      </c>
      <c r="K1039">
        <v>2400</v>
      </c>
      <c r="L1039">
        <v>0</v>
      </c>
      <c r="M1039">
        <v>0</v>
      </c>
      <c r="N1039">
        <v>2400</v>
      </c>
    </row>
    <row r="1040" spans="1:14" x14ac:dyDescent="0.25">
      <c r="A1040">
        <v>371.601921</v>
      </c>
      <c r="B1040" s="1">
        <f>DATE(2011,5,7) + TIME(14,26,45)</f>
        <v>40670.601909722223</v>
      </c>
      <c r="C1040">
        <v>1340.3637695</v>
      </c>
      <c r="D1040">
        <v>1337.5397949000001</v>
      </c>
      <c r="E1040">
        <v>1326.8795166</v>
      </c>
      <c r="F1040">
        <v>1325.1584473</v>
      </c>
      <c r="G1040">
        <v>80</v>
      </c>
      <c r="H1040">
        <v>79.967849731000001</v>
      </c>
      <c r="I1040">
        <v>50</v>
      </c>
      <c r="J1040">
        <v>49.255832671999997</v>
      </c>
      <c r="K1040">
        <v>2400</v>
      </c>
      <c r="L1040">
        <v>0</v>
      </c>
      <c r="M1040">
        <v>0</v>
      </c>
      <c r="N1040">
        <v>2400</v>
      </c>
    </row>
    <row r="1041" spans="1:14" x14ac:dyDescent="0.25">
      <c r="A1041">
        <v>371.76905599999998</v>
      </c>
      <c r="B1041" s="1">
        <f>DATE(2011,5,7) + TIME(18,27,26)</f>
        <v>40670.769050925926</v>
      </c>
      <c r="C1041">
        <v>1340.3557129000001</v>
      </c>
      <c r="D1041">
        <v>1337.5363769999999</v>
      </c>
      <c r="E1041">
        <v>1326.8781738</v>
      </c>
      <c r="F1041">
        <v>1325.1567382999999</v>
      </c>
      <c r="G1041">
        <v>80</v>
      </c>
      <c r="H1041">
        <v>79.967819214000002</v>
      </c>
      <c r="I1041">
        <v>50</v>
      </c>
      <c r="J1041">
        <v>49.241027832</v>
      </c>
      <c r="K1041">
        <v>2400</v>
      </c>
      <c r="L1041">
        <v>0</v>
      </c>
      <c r="M1041">
        <v>0</v>
      </c>
      <c r="N1041">
        <v>2400</v>
      </c>
    </row>
    <row r="1042" spans="1:14" x14ac:dyDescent="0.25">
      <c r="A1042">
        <v>371.940089</v>
      </c>
      <c r="B1042" s="1">
        <f>DATE(2011,5,7) + TIME(22,33,43)</f>
        <v>40670.940081018518</v>
      </c>
      <c r="C1042">
        <v>1340.3476562000001</v>
      </c>
      <c r="D1042">
        <v>1337.5329589999999</v>
      </c>
      <c r="E1042">
        <v>1326.8768310999999</v>
      </c>
      <c r="F1042">
        <v>1325.1550293</v>
      </c>
      <c r="G1042">
        <v>80</v>
      </c>
      <c r="H1042">
        <v>79.967788696</v>
      </c>
      <c r="I1042">
        <v>50</v>
      </c>
      <c r="J1042">
        <v>49.225967406999999</v>
      </c>
      <c r="K1042">
        <v>2400</v>
      </c>
      <c r="L1042">
        <v>0</v>
      </c>
      <c r="M1042">
        <v>0</v>
      </c>
      <c r="N1042">
        <v>2400</v>
      </c>
    </row>
    <row r="1043" spans="1:14" x14ac:dyDescent="0.25">
      <c r="A1043">
        <v>372.11545699999999</v>
      </c>
      <c r="B1043" s="1">
        <f>DATE(2011,5,8) + TIME(2,46,15)</f>
        <v>40671.115451388891</v>
      </c>
      <c r="C1043">
        <v>1340.3394774999999</v>
      </c>
      <c r="D1043">
        <v>1337.5294189000001</v>
      </c>
      <c r="E1043">
        <v>1326.8753661999999</v>
      </c>
      <c r="F1043">
        <v>1325.1533202999999</v>
      </c>
      <c r="G1043">
        <v>80</v>
      </c>
      <c r="H1043">
        <v>79.967750549000002</v>
      </c>
      <c r="I1043">
        <v>50</v>
      </c>
      <c r="J1043">
        <v>49.21062088</v>
      </c>
      <c r="K1043">
        <v>2400</v>
      </c>
      <c r="L1043">
        <v>0</v>
      </c>
      <c r="M1043">
        <v>0</v>
      </c>
      <c r="N1043">
        <v>2400</v>
      </c>
    </row>
    <row r="1044" spans="1:14" x14ac:dyDescent="0.25">
      <c r="A1044">
        <v>372.29590000000002</v>
      </c>
      <c r="B1044" s="1">
        <f>DATE(2011,5,8) + TIME(7,6,5)</f>
        <v>40671.295891203707</v>
      </c>
      <c r="C1044">
        <v>1340.3311768000001</v>
      </c>
      <c r="D1044">
        <v>1337.526001</v>
      </c>
      <c r="E1044">
        <v>1326.8739014</v>
      </c>
      <c r="F1044">
        <v>1325.1514893000001</v>
      </c>
      <c r="G1044">
        <v>80</v>
      </c>
      <c r="H1044">
        <v>79.967712402000004</v>
      </c>
      <c r="I1044">
        <v>50</v>
      </c>
      <c r="J1044">
        <v>49.194938659999998</v>
      </c>
      <c r="K1044">
        <v>2400</v>
      </c>
      <c r="L1044">
        <v>0</v>
      </c>
      <c r="M1044">
        <v>0</v>
      </c>
      <c r="N1044">
        <v>2400</v>
      </c>
    </row>
    <row r="1045" spans="1:14" x14ac:dyDescent="0.25">
      <c r="A1045">
        <v>372.48135600000001</v>
      </c>
      <c r="B1045" s="1">
        <f>DATE(2011,5,8) + TIME(11,33,9)</f>
        <v>40671.481354166666</v>
      </c>
      <c r="C1045">
        <v>1340.322876</v>
      </c>
      <c r="D1045">
        <v>1337.5224608999999</v>
      </c>
      <c r="E1045">
        <v>1326.8723144999999</v>
      </c>
      <c r="F1045">
        <v>1325.1495361</v>
      </c>
      <c r="G1045">
        <v>80</v>
      </c>
      <c r="H1045">
        <v>79.967666625999996</v>
      </c>
      <c r="I1045">
        <v>50</v>
      </c>
      <c r="J1045">
        <v>49.178920746000003</v>
      </c>
      <c r="K1045">
        <v>2400</v>
      </c>
      <c r="L1045">
        <v>0</v>
      </c>
      <c r="M1045">
        <v>0</v>
      </c>
      <c r="N1045">
        <v>2400</v>
      </c>
    </row>
    <row r="1046" spans="1:14" x14ac:dyDescent="0.25">
      <c r="A1046">
        <v>372.67107299999998</v>
      </c>
      <c r="B1046" s="1">
        <f>DATE(2011,5,8) + TIME(16,6,20)</f>
        <v>40671.671064814815</v>
      </c>
      <c r="C1046">
        <v>1340.3143310999999</v>
      </c>
      <c r="D1046">
        <v>1337.5187988</v>
      </c>
      <c r="E1046">
        <v>1326.8707274999999</v>
      </c>
      <c r="F1046">
        <v>1325.1475829999999</v>
      </c>
      <c r="G1046">
        <v>80</v>
      </c>
      <c r="H1046">
        <v>79.967628478999998</v>
      </c>
      <c r="I1046">
        <v>50</v>
      </c>
      <c r="J1046">
        <v>49.162624358999999</v>
      </c>
      <c r="K1046">
        <v>2400</v>
      </c>
      <c r="L1046">
        <v>0</v>
      </c>
      <c r="M1046">
        <v>0</v>
      </c>
      <c r="N1046">
        <v>2400</v>
      </c>
    </row>
    <row r="1047" spans="1:14" x14ac:dyDescent="0.25">
      <c r="A1047">
        <v>372.86554699999999</v>
      </c>
      <c r="B1047" s="1">
        <f>DATE(2011,5,8) + TIME(20,46,23)</f>
        <v>40671.865543981483</v>
      </c>
      <c r="C1047">
        <v>1340.3057861</v>
      </c>
      <c r="D1047">
        <v>1337.5152588000001</v>
      </c>
      <c r="E1047">
        <v>1326.8691406</v>
      </c>
      <c r="F1047">
        <v>1325.1455077999999</v>
      </c>
      <c r="G1047">
        <v>80</v>
      </c>
      <c r="H1047">
        <v>79.967582703000005</v>
      </c>
      <c r="I1047">
        <v>50</v>
      </c>
      <c r="J1047">
        <v>49.146018982000001</v>
      </c>
      <c r="K1047">
        <v>2400</v>
      </c>
      <c r="L1047">
        <v>0</v>
      </c>
      <c r="M1047">
        <v>0</v>
      </c>
      <c r="N1047">
        <v>2400</v>
      </c>
    </row>
    <row r="1048" spans="1:14" x14ac:dyDescent="0.25">
      <c r="A1048">
        <v>373.06529499999999</v>
      </c>
      <c r="B1048" s="1">
        <f>DATE(2011,5,9) + TIME(1,34,1)</f>
        <v>40672.065289351849</v>
      </c>
      <c r="C1048">
        <v>1340.2971190999999</v>
      </c>
      <c r="D1048">
        <v>1337.5117187999999</v>
      </c>
      <c r="E1048">
        <v>1326.8674315999999</v>
      </c>
      <c r="F1048">
        <v>1325.1434326000001</v>
      </c>
      <c r="G1048">
        <v>80</v>
      </c>
      <c r="H1048">
        <v>79.967529296999999</v>
      </c>
      <c r="I1048">
        <v>50</v>
      </c>
      <c r="J1048">
        <v>49.129070282000001</v>
      </c>
      <c r="K1048">
        <v>2400</v>
      </c>
      <c r="L1048">
        <v>0</v>
      </c>
      <c r="M1048">
        <v>0</v>
      </c>
      <c r="N1048">
        <v>2400</v>
      </c>
    </row>
    <row r="1049" spans="1:14" x14ac:dyDescent="0.25">
      <c r="A1049">
        <v>373.27118000000002</v>
      </c>
      <c r="B1049" s="1">
        <f>DATE(2011,5,9) + TIME(6,30,29)</f>
        <v>40672.271168981482</v>
      </c>
      <c r="C1049">
        <v>1340.2883300999999</v>
      </c>
      <c r="D1049">
        <v>1337.5080565999999</v>
      </c>
      <c r="E1049">
        <v>1326.8657227000001</v>
      </c>
      <c r="F1049">
        <v>1325.1412353999999</v>
      </c>
      <c r="G1049">
        <v>80</v>
      </c>
      <c r="H1049">
        <v>79.967483521000005</v>
      </c>
      <c r="I1049">
        <v>50</v>
      </c>
      <c r="J1049">
        <v>49.111721039000003</v>
      </c>
      <c r="K1049">
        <v>2400</v>
      </c>
      <c r="L1049">
        <v>0</v>
      </c>
      <c r="M1049">
        <v>0</v>
      </c>
      <c r="N1049">
        <v>2400</v>
      </c>
    </row>
    <row r="1050" spans="1:14" x14ac:dyDescent="0.25">
      <c r="A1050">
        <v>373.48089099999999</v>
      </c>
      <c r="B1050" s="1">
        <f>DATE(2011,5,9) + TIME(11,32,28)</f>
        <v>40672.480879629627</v>
      </c>
      <c r="C1050">
        <v>1340.2795410000001</v>
      </c>
      <c r="D1050">
        <v>1337.5043945</v>
      </c>
      <c r="E1050">
        <v>1326.8638916</v>
      </c>
      <c r="F1050">
        <v>1325.1389160000001</v>
      </c>
      <c r="G1050">
        <v>80</v>
      </c>
      <c r="H1050">
        <v>79.967430114999999</v>
      </c>
      <c r="I1050">
        <v>50</v>
      </c>
      <c r="J1050">
        <v>49.094127655000001</v>
      </c>
      <c r="K1050">
        <v>2400</v>
      </c>
      <c r="L1050">
        <v>0</v>
      </c>
      <c r="M1050">
        <v>0</v>
      </c>
      <c r="N1050">
        <v>2400</v>
      </c>
    </row>
    <row r="1051" spans="1:14" x14ac:dyDescent="0.25">
      <c r="A1051">
        <v>373.69343500000002</v>
      </c>
      <c r="B1051" s="1">
        <f>DATE(2011,5,9) + TIME(16,38,32)</f>
        <v>40672.693425925929</v>
      </c>
      <c r="C1051">
        <v>1340.2706298999999</v>
      </c>
      <c r="D1051">
        <v>1337.5007324000001</v>
      </c>
      <c r="E1051">
        <v>1326.8619385</v>
      </c>
      <c r="F1051">
        <v>1325.1364745999999</v>
      </c>
      <c r="G1051">
        <v>80</v>
      </c>
      <c r="H1051">
        <v>79.967376709000007</v>
      </c>
      <c r="I1051">
        <v>50</v>
      </c>
      <c r="J1051">
        <v>49.076362609999997</v>
      </c>
      <c r="K1051">
        <v>2400</v>
      </c>
      <c r="L1051">
        <v>0</v>
      </c>
      <c r="M1051">
        <v>0</v>
      </c>
      <c r="N1051">
        <v>2400</v>
      </c>
    </row>
    <row r="1052" spans="1:14" x14ac:dyDescent="0.25">
      <c r="A1052">
        <v>373.90929199999999</v>
      </c>
      <c r="B1052" s="1">
        <f>DATE(2011,5,9) + TIME(21,49,22)</f>
        <v>40672.909282407411</v>
      </c>
      <c r="C1052">
        <v>1340.2618408000001</v>
      </c>
      <c r="D1052">
        <v>1337.4970702999999</v>
      </c>
      <c r="E1052">
        <v>1326.8601074000001</v>
      </c>
      <c r="F1052">
        <v>1325.1341553</v>
      </c>
      <c r="G1052">
        <v>80</v>
      </c>
      <c r="H1052">
        <v>79.967330933</v>
      </c>
      <c r="I1052">
        <v>50</v>
      </c>
      <c r="J1052">
        <v>49.058406830000003</v>
      </c>
      <c r="K1052">
        <v>2400</v>
      </c>
      <c r="L1052">
        <v>0</v>
      </c>
      <c r="M1052">
        <v>0</v>
      </c>
      <c r="N1052">
        <v>2400</v>
      </c>
    </row>
    <row r="1053" spans="1:14" x14ac:dyDescent="0.25">
      <c r="A1053">
        <v>374.12882000000002</v>
      </c>
      <c r="B1053" s="1">
        <f>DATE(2011,5,10) + TIME(3,5,30)</f>
        <v>40673.128819444442</v>
      </c>
      <c r="C1053">
        <v>1340.2530518000001</v>
      </c>
      <c r="D1053">
        <v>1337.4935303</v>
      </c>
      <c r="E1053">
        <v>1326.8580322</v>
      </c>
      <c r="F1053">
        <v>1325.1315918</v>
      </c>
      <c r="G1053">
        <v>80</v>
      </c>
      <c r="H1053">
        <v>79.967277526999993</v>
      </c>
      <c r="I1053">
        <v>50</v>
      </c>
      <c r="J1053">
        <v>49.040233612000002</v>
      </c>
      <c r="K1053">
        <v>2400</v>
      </c>
      <c r="L1053">
        <v>0</v>
      </c>
      <c r="M1053">
        <v>0</v>
      </c>
      <c r="N1053">
        <v>2400</v>
      </c>
    </row>
    <row r="1054" spans="1:14" x14ac:dyDescent="0.25">
      <c r="A1054">
        <v>374.35243100000002</v>
      </c>
      <c r="B1054" s="1">
        <f>DATE(2011,5,10) + TIME(8,27,30)</f>
        <v>40673.352430555555</v>
      </c>
      <c r="C1054">
        <v>1340.2442627</v>
      </c>
      <c r="D1054">
        <v>1337.4899902</v>
      </c>
      <c r="E1054">
        <v>1326.8560791</v>
      </c>
      <c r="F1054">
        <v>1325.1290283000001</v>
      </c>
      <c r="G1054">
        <v>80</v>
      </c>
      <c r="H1054">
        <v>79.967216492000006</v>
      </c>
      <c r="I1054">
        <v>50</v>
      </c>
      <c r="J1054">
        <v>49.021827698000003</v>
      </c>
      <c r="K1054">
        <v>2400</v>
      </c>
      <c r="L1054">
        <v>0</v>
      </c>
      <c r="M1054">
        <v>0</v>
      </c>
      <c r="N1054">
        <v>2400</v>
      </c>
    </row>
    <row r="1055" spans="1:14" x14ac:dyDescent="0.25">
      <c r="A1055">
        <v>374.58059300000002</v>
      </c>
      <c r="B1055" s="1">
        <f>DATE(2011,5,10) + TIME(13,56,3)</f>
        <v>40673.580590277779</v>
      </c>
      <c r="C1055">
        <v>1340.2354736</v>
      </c>
      <c r="D1055">
        <v>1337.4863281</v>
      </c>
      <c r="E1055">
        <v>1326.8540039</v>
      </c>
      <c r="F1055">
        <v>1325.1264647999999</v>
      </c>
      <c r="G1055">
        <v>80</v>
      </c>
      <c r="H1055">
        <v>79.967163085999999</v>
      </c>
      <c r="I1055">
        <v>50</v>
      </c>
      <c r="J1055">
        <v>49.003154754999997</v>
      </c>
      <c r="K1055">
        <v>2400</v>
      </c>
      <c r="L1055">
        <v>0</v>
      </c>
      <c r="M1055">
        <v>0</v>
      </c>
      <c r="N1055">
        <v>2400</v>
      </c>
    </row>
    <row r="1056" spans="1:14" x14ac:dyDescent="0.25">
      <c r="A1056">
        <v>374.81229999999999</v>
      </c>
      <c r="B1056" s="1">
        <f>DATE(2011,5,10) + TIME(19,29,42)</f>
        <v>40673.812291666669</v>
      </c>
      <c r="C1056">
        <v>1340.2268065999999</v>
      </c>
      <c r="D1056">
        <v>1337.4827881000001</v>
      </c>
      <c r="E1056">
        <v>1326.8518065999999</v>
      </c>
      <c r="F1056">
        <v>1325.1236572</v>
      </c>
      <c r="G1056">
        <v>80</v>
      </c>
      <c r="H1056">
        <v>79.967109679999993</v>
      </c>
      <c r="I1056">
        <v>50</v>
      </c>
      <c r="J1056">
        <v>48.984283447000003</v>
      </c>
      <c r="K1056">
        <v>2400</v>
      </c>
      <c r="L1056">
        <v>0</v>
      </c>
      <c r="M1056">
        <v>0</v>
      </c>
      <c r="N1056">
        <v>2400</v>
      </c>
    </row>
    <row r="1057" spans="1:14" x14ac:dyDescent="0.25">
      <c r="A1057">
        <v>375.04542099999998</v>
      </c>
      <c r="B1057" s="1">
        <f>DATE(2011,5,11) + TIME(1,5,24)</f>
        <v>40674.045416666668</v>
      </c>
      <c r="C1057">
        <v>1340.2180175999999</v>
      </c>
      <c r="D1057">
        <v>1337.4792480000001</v>
      </c>
      <c r="E1057">
        <v>1326.8496094</v>
      </c>
      <c r="F1057">
        <v>1325.1208495999999</v>
      </c>
      <c r="G1057">
        <v>80</v>
      </c>
      <c r="H1057">
        <v>79.967056274000001</v>
      </c>
      <c r="I1057">
        <v>50</v>
      </c>
      <c r="J1057">
        <v>48.965362548999998</v>
      </c>
      <c r="K1057">
        <v>2400</v>
      </c>
      <c r="L1057">
        <v>0</v>
      </c>
      <c r="M1057">
        <v>0</v>
      </c>
      <c r="N1057">
        <v>2400</v>
      </c>
    </row>
    <row r="1058" spans="1:14" x14ac:dyDescent="0.25">
      <c r="A1058">
        <v>375.28046499999999</v>
      </c>
      <c r="B1058" s="1">
        <f>DATE(2011,5,11) + TIME(6,43,52)</f>
        <v>40674.280462962961</v>
      </c>
      <c r="C1058">
        <v>1340.2093506000001</v>
      </c>
      <c r="D1058">
        <v>1337.4758300999999</v>
      </c>
      <c r="E1058">
        <v>1326.8474120999999</v>
      </c>
      <c r="F1058">
        <v>1325.1180420000001</v>
      </c>
      <c r="G1058">
        <v>80</v>
      </c>
      <c r="H1058">
        <v>79.967002868999998</v>
      </c>
      <c r="I1058">
        <v>50</v>
      </c>
      <c r="J1058">
        <v>48.946369171000001</v>
      </c>
      <c r="K1058">
        <v>2400</v>
      </c>
      <c r="L1058">
        <v>0</v>
      </c>
      <c r="M1058">
        <v>0</v>
      </c>
      <c r="N1058">
        <v>2400</v>
      </c>
    </row>
    <row r="1059" spans="1:14" x14ac:dyDescent="0.25">
      <c r="A1059">
        <v>375.51795099999998</v>
      </c>
      <c r="B1059" s="1">
        <f>DATE(2011,5,11) + TIME(12,25,50)</f>
        <v>40674.517939814818</v>
      </c>
      <c r="C1059">
        <v>1340.2008057</v>
      </c>
      <c r="D1059">
        <v>1337.4722899999999</v>
      </c>
      <c r="E1059">
        <v>1326.8450928</v>
      </c>
      <c r="F1059">
        <v>1325.1151123</v>
      </c>
      <c r="G1059">
        <v>80</v>
      </c>
      <c r="H1059">
        <v>79.966941833000007</v>
      </c>
      <c r="I1059">
        <v>50</v>
      </c>
      <c r="J1059">
        <v>48.927268982000001</v>
      </c>
      <c r="K1059">
        <v>2400</v>
      </c>
      <c r="L1059">
        <v>0</v>
      </c>
      <c r="M1059">
        <v>0</v>
      </c>
      <c r="N1059">
        <v>2400</v>
      </c>
    </row>
    <row r="1060" spans="1:14" x14ac:dyDescent="0.25">
      <c r="A1060">
        <v>375.75845099999998</v>
      </c>
      <c r="B1060" s="1">
        <f>DATE(2011,5,11) + TIME(18,12,10)</f>
        <v>40674.758449074077</v>
      </c>
      <c r="C1060">
        <v>1340.1922606999999</v>
      </c>
      <c r="D1060">
        <v>1337.4689940999999</v>
      </c>
      <c r="E1060">
        <v>1326.8427733999999</v>
      </c>
      <c r="F1060">
        <v>1325.1121826000001</v>
      </c>
      <c r="G1060">
        <v>80</v>
      </c>
      <c r="H1060">
        <v>79.966888428000004</v>
      </c>
      <c r="I1060">
        <v>50</v>
      </c>
      <c r="J1060">
        <v>48.908031463999997</v>
      </c>
      <c r="K1060">
        <v>2400</v>
      </c>
      <c r="L1060">
        <v>0</v>
      </c>
      <c r="M1060">
        <v>0</v>
      </c>
      <c r="N1060">
        <v>2400</v>
      </c>
    </row>
    <row r="1061" spans="1:14" x14ac:dyDescent="0.25">
      <c r="A1061">
        <v>376.00240500000001</v>
      </c>
      <c r="B1061" s="1">
        <f>DATE(2011,5,12) + TIME(0,3,27)</f>
        <v>40675.002395833333</v>
      </c>
      <c r="C1061">
        <v>1340.1838379000001</v>
      </c>
      <c r="D1061">
        <v>1337.4655762</v>
      </c>
      <c r="E1061">
        <v>1326.840332</v>
      </c>
      <c r="F1061">
        <v>1325.1090088000001</v>
      </c>
      <c r="G1061">
        <v>80</v>
      </c>
      <c r="H1061">
        <v>79.966835021999998</v>
      </c>
      <c r="I1061">
        <v>50</v>
      </c>
      <c r="J1061">
        <v>48.888637543000002</v>
      </c>
      <c r="K1061">
        <v>2400</v>
      </c>
      <c r="L1061">
        <v>0</v>
      </c>
      <c r="M1061">
        <v>0</v>
      </c>
      <c r="N1061">
        <v>2400</v>
      </c>
    </row>
    <row r="1062" spans="1:14" x14ac:dyDescent="0.25">
      <c r="A1062">
        <v>376.25036399999999</v>
      </c>
      <c r="B1062" s="1">
        <f>DATE(2011,5,12) + TIME(6,0,31)</f>
        <v>40675.250358796293</v>
      </c>
      <c r="C1062">
        <v>1340.1755370999999</v>
      </c>
      <c r="D1062">
        <v>1337.4622803</v>
      </c>
      <c r="E1062">
        <v>1326.8378906</v>
      </c>
      <c r="F1062">
        <v>1325.105957</v>
      </c>
      <c r="G1062">
        <v>80</v>
      </c>
      <c r="H1062">
        <v>79.966781616000006</v>
      </c>
      <c r="I1062">
        <v>50</v>
      </c>
      <c r="J1062">
        <v>48.869052887000002</v>
      </c>
      <c r="K1062">
        <v>2400</v>
      </c>
      <c r="L1062">
        <v>0</v>
      </c>
      <c r="M1062">
        <v>0</v>
      </c>
      <c r="N1062">
        <v>2400</v>
      </c>
    </row>
    <row r="1063" spans="1:14" x14ac:dyDescent="0.25">
      <c r="A1063">
        <v>376.50290799999999</v>
      </c>
      <c r="B1063" s="1">
        <f>DATE(2011,5,12) + TIME(12,4,11)</f>
        <v>40675.502905092595</v>
      </c>
      <c r="C1063">
        <v>1340.1671143000001</v>
      </c>
      <c r="D1063">
        <v>1337.4589844</v>
      </c>
      <c r="E1063">
        <v>1326.8354492000001</v>
      </c>
      <c r="F1063">
        <v>1325.1026611</v>
      </c>
      <c r="G1063">
        <v>80</v>
      </c>
      <c r="H1063">
        <v>79.966728209999999</v>
      </c>
      <c r="I1063">
        <v>50</v>
      </c>
      <c r="J1063">
        <v>48.849235534999998</v>
      </c>
      <c r="K1063">
        <v>2400</v>
      </c>
      <c r="L1063">
        <v>0</v>
      </c>
      <c r="M1063">
        <v>0</v>
      </c>
      <c r="N1063">
        <v>2400</v>
      </c>
    </row>
    <row r="1064" spans="1:14" x14ac:dyDescent="0.25">
      <c r="A1064">
        <v>376.76065599999998</v>
      </c>
      <c r="B1064" s="1">
        <f>DATE(2011,5,12) + TIME(18,15,20)</f>
        <v>40675.760648148149</v>
      </c>
      <c r="C1064">
        <v>1340.1588135</v>
      </c>
      <c r="D1064">
        <v>1337.4556885</v>
      </c>
      <c r="E1064">
        <v>1326.8328856999999</v>
      </c>
      <c r="F1064">
        <v>1325.0993652</v>
      </c>
      <c r="G1064">
        <v>80</v>
      </c>
      <c r="H1064">
        <v>79.966667174999998</v>
      </c>
      <c r="I1064">
        <v>50</v>
      </c>
      <c r="J1064">
        <v>48.829154967999997</v>
      </c>
      <c r="K1064">
        <v>2400</v>
      </c>
      <c r="L1064">
        <v>0</v>
      </c>
      <c r="M1064">
        <v>0</v>
      </c>
      <c r="N1064">
        <v>2400</v>
      </c>
    </row>
    <row r="1065" spans="1:14" x14ac:dyDescent="0.25">
      <c r="A1065">
        <v>377.02512999999999</v>
      </c>
      <c r="B1065" s="1">
        <f>DATE(2011,5,13) + TIME(0,36,11)</f>
        <v>40676.025127314817</v>
      </c>
      <c r="C1065">
        <v>1340.1503906</v>
      </c>
      <c r="D1065">
        <v>1337.4525146000001</v>
      </c>
      <c r="E1065">
        <v>1326.8302002</v>
      </c>
      <c r="F1065">
        <v>1325.0959473</v>
      </c>
      <c r="G1065">
        <v>80</v>
      </c>
      <c r="H1065">
        <v>79.966613769999995</v>
      </c>
      <c r="I1065">
        <v>50</v>
      </c>
      <c r="J1065">
        <v>48.808715820000003</v>
      </c>
      <c r="K1065">
        <v>2400</v>
      </c>
      <c r="L1065">
        <v>0</v>
      </c>
      <c r="M1065">
        <v>0</v>
      </c>
      <c r="N1065">
        <v>2400</v>
      </c>
    </row>
    <row r="1066" spans="1:14" x14ac:dyDescent="0.25">
      <c r="A1066">
        <v>377.29789099999999</v>
      </c>
      <c r="B1066" s="1">
        <f>DATE(2011,5,13) + TIME(7,8,57)</f>
        <v>40676.297881944447</v>
      </c>
      <c r="C1066">
        <v>1340.1419678</v>
      </c>
      <c r="D1066">
        <v>1337.4492187999999</v>
      </c>
      <c r="E1066">
        <v>1326.8275146000001</v>
      </c>
      <c r="F1066">
        <v>1325.0924072</v>
      </c>
      <c r="G1066">
        <v>80</v>
      </c>
      <c r="H1066">
        <v>79.966560364000003</v>
      </c>
      <c r="I1066">
        <v>50</v>
      </c>
      <c r="J1066">
        <v>48.787822722999998</v>
      </c>
      <c r="K1066">
        <v>2400</v>
      </c>
      <c r="L1066">
        <v>0</v>
      </c>
      <c r="M1066">
        <v>0</v>
      </c>
      <c r="N1066">
        <v>2400</v>
      </c>
    </row>
    <row r="1067" spans="1:14" x14ac:dyDescent="0.25">
      <c r="A1067">
        <v>377.579656</v>
      </c>
      <c r="B1067" s="1">
        <f>DATE(2011,5,13) + TIME(13,54,42)</f>
        <v>40676.579652777778</v>
      </c>
      <c r="C1067">
        <v>1340.1334228999999</v>
      </c>
      <c r="D1067">
        <v>1337.4459228999999</v>
      </c>
      <c r="E1067">
        <v>1326.8245850000001</v>
      </c>
      <c r="F1067">
        <v>1325.0886230000001</v>
      </c>
      <c r="G1067">
        <v>80</v>
      </c>
      <c r="H1067">
        <v>79.966499329000001</v>
      </c>
      <c r="I1067">
        <v>50</v>
      </c>
      <c r="J1067">
        <v>48.766429901000002</v>
      </c>
      <c r="K1067">
        <v>2400</v>
      </c>
      <c r="L1067">
        <v>0</v>
      </c>
      <c r="M1067">
        <v>0</v>
      </c>
      <c r="N1067">
        <v>2400</v>
      </c>
    </row>
    <row r="1068" spans="1:14" x14ac:dyDescent="0.25">
      <c r="A1068">
        <v>377.86535199999997</v>
      </c>
      <c r="B1068" s="1">
        <f>DATE(2011,5,13) + TIME(20,46,6)</f>
        <v>40676.865347222221</v>
      </c>
      <c r="C1068">
        <v>1340.1247559000001</v>
      </c>
      <c r="D1068">
        <v>1337.4425048999999</v>
      </c>
      <c r="E1068">
        <v>1326.8216553</v>
      </c>
      <c r="F1068">
        <v>1325.0847168</v>
      </c>
      <c r="G1068">
        <v>80</v>
      </c>
      <c r="H1068">
        <v>79.966438292999996</v>
      </c>
      <c r="I1068">
        <v>50</v>
      </c>
      <c r="J1068">
        <v>48.744827270999998</v>
      </c>
      <c r="K1068">
        <v>2400</v>
      </c>
      <c r="L1068">
        <v>0</v>
      </c>
      <c r="M1068">
        <v>0</v>
      </c>
      <c r="N1068">
        <v>2400</v>
      </c>
    </row>
    <row r="1069" spans="1:14" x14ac:dyDescent="0.25">
      <c r="A1069">
        <v>378.155598</v>
      </c>
      <c r="B1069" s="1">
        <f>DATE(2011,5,14) + TIME(3,44,3)</f>
        <v>40677.155590277776</v>
      </c>
      <c r="C1069">
        <v>1340.1162108999999</v>
      </c>
      <c r="D1069">
        <v>1337.4392089999999</v>
      </c>
      <c r="E1069">
        <v>1326.8186035000001</v>
      </c>
      <c r="F1069">
        <v>1325.0808105000001</v>
      </c>
      <c r="G1069">
        <v>80</v>
      </c>
      <c r="H1069">
        <v>79.966384887999993</v>
      </c>
      <c r="I1069">
        <v>50</v>
      </c>
      <c r="J1069">
        <v>48.722991942999997</v>
      </c>
      <c r="K1069">
        <v>2400</v>
      </c>
      <c r="L1069">
        <v>0</v>
      </c>
      <c r="M1069">
        <v>0</v>
      </c>
      <c r="N1069">
        <v>2400</v>
      </c>
    </row>
    <row r="1070" spans="1:14" x14ac:dyDescent="0.25">
      <c r="A1070">
        <v>378.451053</v>
      </c>
      <c r="B1070" s="1">
        <f>DATE(2011,5,14) + TIME(10,49,30)</f>
        <v>40677.451041666667</v>
      </c>
      <c r="C1070">
        <v>1340.1076660000001</v>
      </c>
      <c r="D1070">
        <v>1337.4360352000001</v>
      </c>
      <c r="E1070">
        <v>1326.8154297000001</v>
      </c>
      <c r="F1070">
        <v>1325.0766602000001</v>
      </c>
      <c r="G1070">
        <v>80</v>
      </c>
      <c r="H1070">
        <v>79.966323853000006</v>
      </c>
      <c r="I1070">
        <v>50</v>
      </c>
      <c r="J1070">
        <v>48.700893401999998</v>
      </c>
      <c r="K1070">
        <v>2400</v>
      </c>
      <c r="L1070">
        <v>0</v>
      </c>
      <c r="M1070">
        <v>0</v>
      </c>
      <c r="N1070">
        <v>2400</v>
      </c>
    </row>
    <row r="1071" spans="1:14" x14ac:dyDescent="0.25">
      <c r="A1071">
        <v>378.75242100000003</v>
      </c>
      <c r="B1071" s="1">
        <f>DATE(2011,5,14) + TIME(18,3,29)</f>
        <v>40677.752418981479</v>
      </c>
      <c r="C1071">
        <v>1340.0991211</v>
      </c>
      <c r="D1071">
        <v>1337.4327393000001</v>
      </c>
      <c r="E1071">
        <v>1326.8121338000001</v>
      </c>
      <c r="F1071">
        <v>1325.0725098</v>
      </c>
      <c r="G1071">
        <v>80</v>
      </c>
      <c r="H1071">
        <v>79.966270446999999</v>
      </c>
      <c r="I1071">
        <v>50</v>
      </c>
      <c r="J1071">
        <v>48.678501128999997</v>
      </c>
      <c r="K1071">
        <v>2400</v>
      </c>
      <c r="L1071">
        <v>0</v>
      </c>
      <c r="M1071">
        <v>0</v>
      </c>
      <c r="N1071">
        <v>2400</v>
      </c>
    </row>
    <row r="1072" spans="1:14" x14ac:dyDescent="0.25">
      <c r="A1072">
        <v>379.06045899999998</v>
      </c>
      <c r="B1072" s="1">
        <f>DATE(2011,5,15) + TIME(1,27,3)</f>
        <v>40678.06045138889</v>
      </c>
      <c r="C1072">
        <v>1340.0905762</v>
      </c>
      <c r="D1072">
        <v>1337.4294434000001</v>
      </c>
      <c r="E1072">
        <v>1326.8088379000001</v>
      </c>
      <c r="F1072">
        <v>1325.0681152</v>
      </c>
      <c r="G1072">
        <v>80</v>
      </c>
      <c r="H1072">
        <v>79.966209411999998</v>
      </c>
      <c r="I1072">
        <v>50</v>
      </c>
      <c r="J1072">
        <v>48.655776977999999</v>
      </c>
      <c r="K1072">
        <v>2400</v>
      </c>
      <c r="L1072">
        <v>0</v>
      </c>
      <c r="M1072">
        <v>0</v>
      </c>
      <c r="N1072">
        <v>2400</v>
      </c>
    </row>
    <row r="1073" spans="1:14" x14ac:dyDescent="0.25">
      <c r="A1073">
        <v>379.37601000000001</v>
      </c>
      <c r="B1073" s="1">
        <f>DATE(2011,5,15) + TIME(9,1,27)</f>
        <v>40678.376006944447</v>
      </c>
      <c r="C1073">
        <v>1340.0820312000001</v>
      </c>
      <c r="D1073">
        <v>1337.4262695</v>
      </c>
      <c r="E1073">
        <v>1326.8054199000001</v>
      </c>
      <c r="F1073">
        <v>1325.0635986</v>
      </c>
      <c r="G1073">
        <v>80</v>
      </c>
      <c r="H1073">
        <v>79.966156006000006</v>
      </c>
      <c r="I1073">
        <v>50</v>
      </c>
      <c r="J1073">
        <v>48.632671356000003</v>
      </c>
      <c r="K1073">
        <v>2400</v>
      </c>
      <c r="L1073">
        <v>0</v>
      </c>
      <c r="M1073">
        <v>0</v>
      </c>
      <c r="N1073">
        <v>2400</v>
      </c>
    </row>
    <row r="1074" spans="1:14" x14ac:dyDescent="0.25">
      <c r="A1074">
        <v>379.69597299999998</v>
      </c>
      <c r="B1074" s="1">
        <f>DATE(2011,5,15) + TIME(16,42,12)</f>
        <v>40678.695972222224</v>
      </c>
      <c r="C1074">
        <v>1340.0734863</v>
      </c>
      <c r="D1074">
        <v>1337.4229736</v>
      </c>
      <c r="E1074">
        <v>1326.8018798999999</v>
      </c>
      <c r="F1074">
        <v>1325.0588379000001</v>
      </c>
      <c r="G1074">
        <v>80</v>
      </c>
      <c r="H1074">
        <v>79.966094971000004</v>
      </c>
      <c r="I1074">
        <v>50</v>
      </c>
      <c r="J1074">
        <v>48.609359740999999</v>
      </c>
      <c r="K1074">
        <v>2400</v>
      </c>
      <c r="L1074">
        <v>0</v>
      </c>
      <c r="M1074">
        <v>0</v>
      </c>
      <c r="N1074">
        <v>2400</v>
      </c>
    </row>
    <row r="1075" spans="1:14" x14ac:dyDescent="0.25">
      <c r="A1075">
        <v>380.01906000000002</v>
      </c>
      <c r="B1075" s="1">
        <f>DATE(2011,5,16) + TIME(0,27,26)</f>
        <v>40679.019050925926</v>
      </c>
      <c r="C1075">
        <v>1340.0649414</v>
      </c>
      <c r="D1075">
        <v>1337.4197998</v>
      </c>
      <c r="E1075">
        <v>1326.7982178</v>
      </c>
      <c r="F1075">
        <v>1325.0540771000001</v>
      </c>
      <c r="G1075">
        <v>80</v>
      </c>
      <c r="H1075">
        <v>79.966033936000002</v>
      </c>
      <c r="I1075">
        <v>50</v>
      </c>
      <c r="J1075">
        <v>48.585922240999999</v>
      </c>
      <c r="K1075">
        <v>2400</v>
      </c>
      <c r="L1075">
        <v>0</v>
      </c>
      <c r="M1075">
        <v>0</v>
      </c>
      <c r="N1075">
        <v>2400</v>
      </c>
    </row>
    <row r="1076" spans="1:14" x14ac:dyDescent="0.25">
      <c r="A1076">
        <v>380.34570500000001</v>
      </c>
      <c r="B1076" s="1">
        <f>DATE(2011,5,16) + TIME(8,17,48)</f>
        <v>40679.345694444448</v>
      </c>
      <c r="C1076">
        <v>1340.0566406</v>
      </c>
      <c r="D1076">
        <v>1337.416626</v>
      </c>
      <c r="E1076">
        <v>1326.7944336</v>
      </c>
      <c r="F1076">
        <v>1325.0491943</v>
      </c>
      <c r="G1076">
        <v>80</v>
      </c>
      <c r="H1076">
        <v>79.965980529999996</v>
      </c>
      <c r="I1076">
        <v>50</v>
      </c>
      <c r="J1076">
        <v>48.562347412000001</v>
      </c>
      <c r="K1076">
        <v>2400</v>
      </c>
      <c r="L1076">
        <v>0</v>
      </c>
      <c r="M1076">
        <v>0</v>
      </c>
      <c r="N1076">
        <v>2400</v>
      </c>
    </row>
    <row r="1077" spans="1:14" x14ac:dyDescent="0.25">
      <c r="A1077">
        <v>380.67365000000001</v>
      </c>
      <c r="B1077" s="1">
        <f>DATE(2011,5,16) + TIME(16,10,3)</f>
        <v>40679.673645833333</v>
      </c>
      <c r="C1077">
        <v>1340.0483397999999</v>
      </c>
      <c r="D1077">
        <v>1337.4134521000001</v>
      </c>
      <c r="E1077">
        <v>1326.7906493999999</v>
      </c>
      <c r="F1077">
        <v>1325.0441894999999</v>
      </c>
      <c r="G1077">
        <v>80</v>
      </c>
      <c r="H1077">
        <v>79.965927124000004</v>
      </c>
      <c r="I1077">
        <v>50</v>
      </c>
      <c r="J1077">
        <v>48.538772582999997</v>
      </c>
      <c r="K1077">
        <v>2400</v>
      </c>
      <c r="L1077">
        <v>0</v>
      </c>
      <c r="M1077">
        <v>0</v>
      </c>
      <c r="N1077">
        <v>2400</v>
      </c>
    </row>
    <row r="1078" spans="1:14" x14ac:dyDescent="0.25">
      <c r="A1078">
        <v>381.003694</v>
      </c>
      <c r="B1078" s="1">
        <f>DATE(2011,5,17) + TIME(0,5,19)</f>
        <v>40680.003692129627</v>
      </c>
      <c r="C1078">
        <v>1340.0400391000001</v>
      </c>
      <c r="D1078">
        <v>1337.4104004000001</v>
      </c>
      <c r="E1078">
        <v>1326.7868652</v>
      </c>
      <c r="F1078">
        <v>1325.0390625</v>
      </c>
      <c r="G1078">
        <v>80</v>
      </c>
      <c r="H1078">
        <v>79.965866089000002</v>
      </c>
      <c r="I1078">
        <v>50</v>
      </c>
      <c r="J1078">
        <v>48.515171051000003</v>
      </c>
      <c r="K1078">
        <v>2400</v>
      </c>
      <c r="L1078">
        <v>0</v>
      </c>
      <c r="M1078">
        <v>0</v>
      </c>
      <c r="N1078">
        <v>2400</v>
      </c>
    </row>
    <row r="1079" spans="1:14" x14ac:dyDescent="0.25">
      <c r="A1079">
        <v>381.33663000000001</v>
      </c>
      <c r="B1079" s="1">
        <f>DATE(2011,5,17) + TIME(8,4,44)</f>
        <v>40680.33662037037</v>
      </c>
      <c r="C1079">
        <v>1340.0319824000001</v>
      </c>
      <c r="D1079">
        <v>1337.4073486</v>
      </c>
      <c r="E1079">
        <v>1326.7829589999999</v>
      </c>
      <c r="F1079">
        <v>1325.0338135</v>
      </c>
      <c r="G1079">
        <v>80</v>
      </c>
      <c r="H1079">
        <v>79.965812682999996</v>
      </c>
      <c r="I1079">
        <v>50</v>
      </c>
      <c r="J1079">
        <v>48.491508484000001</v>
      </c>
      <c r="K1079">
        <v>2400</v>
      </c>
      <c r="L1079">
        <v>0</v>
      </c>
      <c r="M1079">
        <v>0</v>
      </c>
      <c r="N1079">
        <v>2400</v>
      </c>
    </row>
    <row r="1080" spans="1:14" x14ac:dyDescent="0.25">
      <c r="A1080">
        <v>381.67339399999997</v>
      </c>
      <c r="B1080" s="1">
        <f>DATE(2011,5,17) + TIME(16,9,41)</f>
        <v>40680.673391203702</v>
      </c>
      <c r="C1080">
        <v>1340.0240478999999</v>
      </c>
      <c r="D1080">
        <v>1337.4044189000001</v>
      </c>
      <c r="E1080">
        <v>1326.7789307</v>
      </c>
      <c r="F1080">
        <v>1325.0285644999999</v>
      </c>
      <c r="G1080">
        <v>80</v>
      </c>
      <c r="H1080">
        <v>79.965759277000004</v>
      </c>
      <c r="I1080">
        <v>50</v>
      </c>
      <c r="J1080">
        <v>48.467742919999999</v>
      </c>
      <c r="K1080">
        <v>2400</v>
      </c>
      <c r="L1080">
        <v>0</v>
      </c>
      <c r="M1080">
        <v>0</v>
      </c>
      <c r="N1080">
        <v>2400</v>
      </c>
    </row>
    <row r="1081" spans="1:14" x14ac:dyDescent="0.25">
      <c r="A1081">
        <v>382.01469800000001</v>
      </c>
      <c r="B1081" s="1">
        <f>DATE(2011,5,18) + TIME(0,21,9)</f>
        <v>40681.014687499999</v>
      </c>
      <c r="C1081">
        <v>1340.0161132999999</v>
      </c>
      <c r="D1081">
        <v>1337.4013672000001</v>
      </c>
      <c r="E1081">
        <v>1326.7749022999999</v>
      </c>
      <c r="F1081">
        <v>1325.0230713000001</v>
      </c>
      <c r="G1081">
        <v>80</v>
      </c>
      <c r="H1081">
        <v>79.965705872000001</v>
      </c>
      <c r="I1081">
        <v>50</v>
      </c>
      <c r="J1081">
        <v>48.443840027</v>
      </c>
      <c r="K1081">
        <v>2400</v>
      </c>
      <c r="L1081">
        <v>0</v>
      </c>
      <c r="M1081">
        <v>0</v>
      </c>
      <c r="N1081">
        <v>2400</v>
      </c>
    </row>
    <row r="1082" spans="1:14" x14ac:dyDescent="0.25">
      <c r="A1082">
        <v>382.36138499999998</v>
      </c>
      <c r="B1082" s="1">
        <f>DATE(2011,5,18) + TIME(8,40,23)</f>
        <v>40681.361377314817</v>
      </c>
      <c r="C1082">
        <v>1340.0081786999999</v>
      </c>
      <c r="D1082">
        <v>1337.3985596</v>
      </c>
      <c r="E1082">
        <v>1326.7707519999999</v>
      </c>
      <c r="F1082">
        <v>1325.0175781</v>
      </c>
      <c r="G1082">
        <v>80</v>
      </c>
      <c r="H1082">
        <v>79.965652465999995</v>
      </c>
      <c r="I1082">
        <v>50</v>
      </c>
      <c r="J1082">
        <v>48.419754028</v>
      </c>
      <c r="K1082">
        <v>2400</v>
      </c>
      <c r="L1082">
        <v>0</v>
      </c>
      <c r="M1082">
        <v>0</v>
      </c>
      <c r="N1082">
        <v>2400</v>
      </c>
    </row>
    <row r="1083" spans="1:14" x14ac:dyDescent="0.25">
      <c r="A1083">
        <v>382.71436</v>
      </c>
      <c r="B1083" s="1">
        <f>DATE(2011,5,18) + TIME(17,8,40)</f>
        <v>40681.71435185185</v>
      </c>
      <c r="C1083">
        <v>1340.0003661999999</v>
      </c>
      <c r="D1083">
        <v>1337.3956298999999</v>
      </c>
      <c r="E1083">
        <v>1326.7664795000001</v>
      </c>
      <c r="F1083">
        <v>1325.0118408000001</v>
      </c>
      <c r="G1083">
        <v>80</v>
      </c>
      <c r="H1083">
        <v>79.965599060000002</v>
      </c>
      <c r="I1083">
        <v>50</v>
      </c>
      <c r="J1083">
        <v>48.395431518999999</v>
      </c>
      <c r="K1083">
        <v>2400</v>
      </c>
      <c r="L1083">
        <v>0</v>
      </c>
      <c r="M1083">
        <v>0</v>
      </c>
      <c r="N1083">
        <v>2400</v>
      </c>
    </row>
    <row r="1084" spans="1:14" x14ac:dyDescent="0.25">
      <c r="A1084">
        <v>383.074861</v>
      </c>
      <c r="B1084" s="1">
        <f>DATE(2011,5,19) + TIME(1,47,47)</f>
        <v>40682.074849537035</v>
      </c>
      <c r="C1084">
        <v>1339.9925536999999</v>
      </c>
      <c r="D1084">
        <v>1337.3927002</v>
      </c>
      <c r="E1084">
        <v>1326.7620850000001</v>
      </c>
      <c r="F1084">
        <v>1325.0059814000001</v>
      </c>
      <c r="G1084">
        <v>80</v>
      </c>
      <c r="H1084">
        <v>79.965538025000001</v>
      </c>
      <c r="I1084">
        <v>50</v>
      </c>
      <c r="J1084">
        <v>48.370815276999998</v>
      </c>
      <c r="K1084">
        <v>2400</v>
      </c>
      <c r="L1084">
        <v>0</v>
      </c>
      <c r="M1084">
        <v>0</v>
      </c>
      <c r="N1084">
        <v>2400</v>
      </c>
    </row>
    <row r="1085" spans="1:14" x14ac:dyDescent="0.25">
      <c r="A1085">
        <v>383.44671199999999</v>
      </c>
      <c r="B1085" s="1">
        <f>DATE(2011,5,19) + TIME(10,43,15)</f>
        <v>40682.446701388886</v>
      </c>
      <c r="C1085">
        <v>1339.9846190999999</v>
      </c>
      <c r="D1085">
        <v>1337.3897704999999</v>
      </c>
      <c r="E1085">
        <v>1326.7575684000001</v>
      </c>
      <c r="F1085">
        <v>1324.9998779</v>
      </c>
      <c r="G1085">
        <v>80</v>
      </c>
      <c r="H1085">
        <v>79.965484618999994</v>
      </c>
      <c r="I1085">
        <v>50</v>
      </c>
      <c r="J1085">
        <v>48.345710754000002</v>
      </c>
      <c r="K1085">
        <v>2400</v>
      </c>
      <c r="L1085">
        <v>0</v>
      </c>
      <c r="M1085">
        <v>0</v>
      </c>
      <c r="N1085">
        <v>2400</v>
      </c>
    </row>
    <row r="1086" spans="1:14" x14ac:dyDescent="0.25">
      <c r="A1086">
        <v>383.83155799999997</v>
      </c>
      <c r="B1086" s="1">
        <f>DATE(2011,5,19) + TIME(19,57,26)</f>
        <v>40682.831550925926</v>
      </c>
      <c r="C1086">
        <v>1339.9766846</v>
      </c>
      <c r="D1086">
        <v>1337.3868408000001</v>
      </c>
      <c r="E1086">
        <v>1326.7528076000001</v>
      </c>
      <c r="F1086">
        <v>1324.9936522999999</v>
      </c>
      <c r="G1086">
        <v>80</v>
      </c>
      <c r="H1086">
        <v>79.965431213000002</v>
      </c>
      <c r="I1086">
        <v>50</v>
      </c>
      <c r="J1086">
        <v>48.320018767999997</v>
      </c>
      <c r="K1086">
        <v>2400</v>
      </c>
      <c r="L1086">
        <v>0</v>
      </c>
      <c r="M1086">
        <v>0</v>
      </c>
      <c r="N1086">
        <v>2400</v>
      </c>
    </row>
    <row r="1087" spans="1:14" x14ac:dyDescent="0.25">
      <c r="A1087">
        <v>384.23046399999998</v>
      </c>
      <c r="B1087" s="1">
        <f>DATE(2011,5,20) + TIME(5,31,52)</f>
        <v>40683.230462962965</v>
      </c>
      <c r="C1087">
        <v>1339.9686279</v>
      </c>
      <c r="D1087">
        <v>1337.3839111</v>
      </c>
      <c r="E1087">
        <v>1326.7479248</v>
      </c>
      <c r="F1087">
        <v>1324.9870605000001</v>
      </c>
      <c r="G1087">
        <v>80</v>
      </c>
      <c r="H1087">
        <v>79.965377808</v>
      </c>
      <c r="I1087">
        <v>50</v>
      </c>
      <c r="J1087">
        <v>48.293678284000002</v>
      </c>
      <c r="K1087">
        <v>2400</v>
      </c>
      <c r="L1087">
        <v>0</v>
      </c>
      <c r="M1087">
        <v>0</v>
      </c>
      <c r="N1087">
        <v>2400</v>
      </c>
    </row>
    <row r="1088" spans="1:14" x14ac:dyDescent="0.25">
      <c r="A1088">
        <v>384.63287400000002</v>
      </c>
      <c r="B1088" s="1">
        <f>DATE(2011,5,20) + TIME(15,11,20)</f>
        <v>40683.632870370369</v>
      </c>
      <c r="C1088">
        <v>1339.9604492000001</v>
      </c>
      <c r="D1088">
        <v>1337.3808594</v>
      </c>
      <c r="E1088">
        <v>1326.7427978999999</v>
      </c>
      <c r="F1088">
        <v>1324.9801024999999</v>
      </c>
      <c r="G1088">
        <v>80</v>
      </c>
      <c r="H1088">
        <v>79.965324401999993</v>
      </c>
      <c r="I1088">
        <v>50</v>
      </c>
      <c r="J1088">
        <v>48.267150878999999</v>
      </c>
      <c r="K1088">
        <v>2400</v>
      </c>
      <c r="L1088">
        <v>0</v>
      </c>
      <c r="M1088">
        <v>0</v>
      </c>
      <c r="N1088">
        <v>2400</v>
      </c>
    </row>
    <row r="1089" spans="1:14" x14ac:dyDescent="0.25">
      <c r="A1089">
        <v>385.03993600000001</v>
      </c>
      <c r="B1089" s="1">
        <f>DATE(2011,5,21) + TIME(0,57,30)</f>
        <v>40684.039930555555</v>
      </c>
      <c r="C1089">
        <v>1339.9523925999999</v>
      </c>
      <c r="D1089">
        <v>1337.3778076000001</v>
      </c>
      <c r="E1089">
        <v>1326.7376709</v>
      </c>
      <c r="F1089">
        <v>1324.9731445</v>
      </c>
      <c r="G1089">
        <v>80</v>
      </c>
      <c r="H1089">
        <v>79.965270996000001</v>
      </c>
      <c r="I1089">
        <v>50</v>
      </c>
      <c r="J1089">
        <v>48.240436553999999</v>
      </c>
      <c r="K1089">
        <v>2400</v>
      </c>
      <c r="L1089">
        <v>0</v>
      </c>
      <c r="M1089">
        <v>0</v>
      </c>
      <c r="N1089">
        <v>2400</v>
      </c>
    </row>
    <row r="1090" spans="1:14" x14ac:dyDescent="0.25">
      <c r="A1090">
        <v>385.45269000000002</v>
      </c>
      <c r="B1090" s="1">
        <f>DATE(2011,5,21) + TIME(10,51,52)</f>
        <v>40684.452685185184</v>
      </c>
      <c r="C1090">
        <v>1339.9443358999999</v>
      </c>
      <c r="D1090">
        <v>1337.3748779</v>
      </c>
      <c r="E1090">
        <v>1326.7322998</v>
      </c>
      <c r="F1090">
        <v>1324.9659423999999</v>
      </c>
      <c r="G1090">
        <v>80</v>
      </c>
      <c r="H1090">
        <v>79.965217589999995</v>
      </c>
      <c r="I1090">
        <v>50</v>
      </c>
      <c r="J1090">
        <v>48.213516235</v>
      </c>
      <c r="K1090">
        <v>2400</v>
      </c>
      <c r="L1090">
        <v>0</v>
      </c>
      <c r="M1090">
        <v>0</v>
      </c>
      <c r="N1090">
        <v>2400</v>
      </c>
    </row>
    <row r="1091" spans="1:14" x14ac:dyDescent="0.25">
      <c r="A1091">
        <v>385.872117</v>
      </c>
      <c r="B1091" s="1">
        <f>DATE(2011,5,21) + TIME(20,55,50)</f>
        <v>40684.872106481482</v>
      </c>
      <c r="C1091">
        <v>1339.9364014</v>
      </c>
      <c r="D1091">
        <v>1337.3719481999999</v>
      </c>
      <c r="E1091">
        <v>1326.7268065999999</v>
      </c>
      <c r="F1091">
        <v>1324.9586182</v>
      </c>
      <c r="G1091">
        <v>80</v>
      </c>
      <c r="H1091">
        <v>79.965164185000006</v>
      </c>
      <c r="I1091">
        <v>50</v>
      </c>
      <c r="J1091">
        <v>48.186359406000001</v>
      </c>
      <c r="K1091">
        <v>2400</v>
      </c>
      <c r="L1091">
        <v>0</v>
      </c>
      <c r="M1091">
        <v>0</v>
      </c>
      <c r="N1091">
        <v>2400</v>
      </c>
    </row>
    <row r="1092" spans="1:14" x14ac:dyDescent="0.25">
      <c r="A1092">
        <v>386.29936199999997</v>
      </c>
      <c r="B1092" s="1">
        <f>DATE(2011,5,22) + TIME(7,11,4)</f>
        <v>40685.299351851849</v>
      </c>
      <c r="C1092">
        <v>1339.9284668</v>
      </c>
      <c r="D1092">
        <v>1337.3690185999999</v>
      </c>
      <c r="E1092">
        <v>1326.7213135</v>
      </c>
      <c r="F1092">
        <v>1324.9510498</v>
      </c>
      <c r="G1092">
        <v>80</v>
      </c>
      <c r="H1092">
        <v>79.965110779</v>
      </c>
      <c r="I1092">
        <v>50</v>
      </c>
      <c r="J1092">
        <v>48.158920287999997</v>
      </c>
      <c r="K1092">
        <v>2400</v>
      </c>
      <c r="L1092">
        <v>0</v>
      </c>
      <c r="M1092">
        <v>0</v>
      </c>
      <c r="N1092">
        <v>2400</v>
      </c>
    </row>
    <row r="1093" spans="1:14" x14ac:dyDescent="0.25">
      <c r="A1093">
        <v>386.73568</v>
      </c>
      <c r="B1093" s="1">
        <f>DATE(2011,5,22) + TIME(17,39,22)</f>
        <v>40685.735671296294</v>
      </c>
      <c r="C1093">
        <v>1339.9205322</v>
      </c>
      <c r="D1093">
        <v>1337.3660889</v>
      </c>
      <c r="E1093">
        <v>1326.7155762</v>
      </c>
      <c r="F1093">
        <v>1324.9432373</v>
      </c>
      <c r="G1093">
        <v>80</v>
      </c>
      <c r="H1093">
        <v>79.965057372999993</v>
      </c>
      <c r="I1093">
        <v>50</v>
      </c>
      <c r="J1093">
        <v>48.131149292000003</v>
      </c>
      <c r="K1093">
        <v>2400</v>
      </c>
      <c r="L1093">
        <v>0</v>
      </c>
      <c r="M1093">
        <v>0</v>
      </c>
      <c r="N1093">
        <v>2400</v>
      </c>
    </row>
    <row r="1094" spans="1:14" x14ac:dyDescent="0.25">
      <c r="A1094">
        <v>387.175299</v>
      </c>
      <c r="B1094" s="1">
        <f>DATE(2011,5,23) + TIME(4,12,25)</f>
        <v>40686.17528935185</v>
      </c>
      <c r="C1094">
        <v>1339.9125977000001</v>
      </c>
      <c r="D1094">
        <v>1337.3631591999999</v>
      </c>
      <c r="E1094">
        <v>1326.7095947</v>
      </c>
      <c r="F1094">
        <v>1324.9351807</v>
      </c>
      <c r="G1094">
        <v>80</v>
      </c>
      <c r="H1094">
        <v>79.965003967000001</v>
      </c>
      <c r="I1094">
        <v>50</v>
      </c>
      <c r="J1094">
        <v>48.103290557999998</v>
      </c>
      <c r="K1094">
        <v>2400</v>
      </c>
      <c r="L1094">
        <v>0</v>
      </c>
      <c r="M1094">
        <v>0</v>
      </c>
      <c r="N1094">
        <v>2400</v>
      </c>
    </row>
    <row r="1095" spans="1:14" x14ac:dyDescent="0.25">
      <c r="A1095">
        <v>387.61625199999997</v>
      </c>
      <c r="B1095" s="1">
        <f>DATE(2011,5,23) + TIME(14,47,24)</f>
        <v>40686.616249999999</v>
      </c>
      <c r="C1095">
        <v>1339.9047852000001</v>
      </c>
      <c r="D1095">
        <v>1337.3603516000001</v>
      </c>
      <c r="E1095">
        <v>1326.7036132999999</v>
      </c>
      <c r="F1095">
        <v>1324.927124</v>
      </c>
      <c r="G1095">
        <v>80</v>
      </c>
      <c r="H1095">
        <v>79.964950561999999</v>
      </c>
      <c r="I1095">
        <v>50</v>
      </c>
      <c r="J1095">
        <v>48.075462340999998</v>
      </c>
      <c r="K1095">
        <v>2400</v>
      </c>
      <c r="L1095">
        <v>0</v>
      </c>
      <c r="M1095">
        <v>0</v>
      </c>
      <c r="N1095">
        <v>2400</v>
      </c>
    </row>
    <row r="1096" spans="1:14" x14ac:dyDescent="0.25">
      <c r="A1096">
        <v>388.05980499999998</v>
      </c>
      <c r="B1096" s="1">
        <f>DATE(2011,5,24) + TIME(1,26,7)</f>
        <v>40687.059803240743</v>
      </c>
      <c r="C1096">
        <v>1339.8969727000001</v>
      </c>
      <c r="D1096">
        <v>1337.3574219</v>
      </c>
      <c r="E1096">
        <v>1326.6976318</v>
      </c>
      <c r="F1096">
        <v>1324.9188231999999</v>
      </c>
      <c r="G1096">
        <v>80</v>
      </c>
      <c r="H1096">
        <v>79.964897156000006</v>
      </c>
      <c r="I1096">
        <v>50</v>
      </c>
      <c r="J1096">
        <v>48.047641753999997</v>
      </c>
      <c r="K1096">
        <v>2400</v>
      </c>
      <c r="L1096">
        <v>0</v>
      </c>
      <c r="M1096">
        <v>0</v>
      </c>
      <c r="N1096">
        <v>2400</v>
      </c>
    </row>
    <row r="1097" spans="1:14" x14ac:dyDescent="0.25">
      <c r="A1097">
        <v>388.50721299999998</v>
      </c>
      <c r="B1097" s="1">
        <f>DATE(2011,5,24) + TIME(12,10,23)</f>
        <v>40687.507210648146</v>
      </c>
      <c r="C1097">
        <v>1339.8894043</v>
      </c>
      <c r="D1097">
        <v>1337.3546143000001</v>
      </c>
      <c r="E1097">
        <v>1326.6914062000001</v>
      </c>
      <c r="F1097">
        <v>1324.9104004000001</v>
      </c>
      <c r="G1097">
        <v>80</v>
      </c>
      <c r="H1097">
        <v>79.96484375</v>
      </c>
      <c r="I1097">
        <v>50</v>
      </c>
      <c r="J1097">
        <v>48.019794464</v>
      </c>
      <c r="K1097">
        <v>2400</v>
      </c>
      <c r="L1097">
        <v>0</v>
      </c>
      <c r="M1097">
        <v>0</v>
      </c>
      <c r="N1097">
        <v>2400</v>
      </c>
    </row>
    <row r="1098" spans="1:14" x14ac:dyDescent="0.25">
      <c r="A1098">
        <v>388.959945</v>
      </c>
      <c r="B1098" s="1">
        <f>DATE(2011,5,24) + TIME(23,2,19)</f>
        <v>40687.95994212963</v>
      </c>
      <c r="C1098">
        <v>1339.8818358999999</v>
      </c>
      <c r="D1098">
        <v>1337.3518065999999</v>
      </c>
      <c r="E1098">
        <v>1326.6851807</v>
      </c>
      <c r="F1098">
        <v>1324.9018555</v>
      </c>
      <c r="G1098">
        <v>80</v>
      </c>
      <c r="H1098">
        <v>79.964797974000007</v>
      </c>
      <c r="I1098">
        <v>50</v>
      </c>
      <c r="J1098">
        <v>47.991859435999999</v>
      </c>
      <c r="K1098">
        <v>2400</v>
      </c>
      <c r="L1098">
        <v>0</v>
      </c>
      <c r="M1098">
        <v>0</v>
      </c>
      <c r="N1098">
        <v>2400</v>
      </c>
    </row>
    <row r="1099" spans="1:14" x14ac:dyDescent="0.25">
      <c r="A1099">
        <v>389.41917899999999</v>
      </c>
      <c r="B1099" s="1">
        <f>DATE(2011,5,25) + TIME(10,3,37)</f>
        <v>40688.419178240743</v>
      </c>
      <c r="C1099">
        <v>1339.8743896000001</v>
      </c>
      <c r="D1099">
        <v>1337.3491211</v>
      </c>
      <c r="E1099">
        <v>1326.6788329999999</v>
      </c>
      <c r="F1099">
        <v>1324.8930664</v>
      </c>
      <c r="G1099">
        <v>80</v>
      </c>
      <c r="H1099">
        <v>79.964744568</v>
      </c>
      <c r="I1099">
        <v>50</v>
      </c>
      <c r="J1099">
        <v>47.963787078999999</v>
      </c>
      <c r="K1099">
        <v>2400</v>
      </c>
      <c r="L1099">
        <v>0</v>
      </c>
      <c r="M1099">
        <v>0</v>
      </c>
      <c r="N1099">
        <v>2400</v>
      </c>
    </row>
    <row r="1100" spans="1:14" x14ac:dyDescent="0.25">
      <c r="A1100">
        <v>389.88632899999999</v>
      </c>
      <c r="B1100" s="1">
        <f>DATE(2011,5,25) + TIME(21,16,18)</f>
        <v>40688.886319444442</v>
      </c>
      <c r="C1100">
        <v>1339.8669434000001</v>
      </c>
      <c r="D1100">
        <v>1337.3463135</v>
      </c>
      <c r="E1100">
        <v>1326.6722411999999</v>
      </c>
      <c r="F1100">
        <v>1324.8841553</v>
      </c>
      <c r="G1100">
        <v>80</v>
      </c>
      <c r="H1100">
        <v>79.964698791999993</v>
      </c>
      <c r="I1100">
        <v>50</v>
      </c>
      <c r="J1100">
        <v>47.935512543000002</v>
      </c>
      <c r="K1100">
        <v>2400</v>
      </c>
      <c r="L1100">
        <v>0</v>
      </c>
      <c r="M1100">
        <v>0</v>
      </c>
      <c r="N1100">
        <v>2400</v>
      </c>
    </row>
    <row r="1101" spans="1:14" x14ac:dyDescent="0.25">
      <c r="A1101">
        <v>390.363111</v>
      </c>
      <c r="B1101" s="1">
        <f>DATE(2011,5,26) + TIME(8,42,52)</f>
        <v>40689.36310185185</v>
      </c>
      <c r="C1101">
        <v>1339.8594971</v>
      </c>
      <c r="D1101">
        <v>1337.3435059000001</v>
      </c>
      <c r="E1101">
        <v>1326.6656493999999</v>
      </c>
      <c r="F1101">
        <v>1324.875</v>
      </c>
      <c r="G1101">
        <v>80</v>
      </c>
      <c r="H1101">
        <v>79.964653014999996</v>
      </c>
      <c r="I1101">
        <v>50</v>
      </c>
      <c r="J1101">
        <v>47.906955719000003</v>
      </c>
      <c r="K1101">
        <v>2400</v>
      </c>
      <c r="L1101">
        <v>0</v>
      </c>
      <c r="M1101">
        <v>0</v>
      </c>
      <c r="N1101">
        <v>2400</v>
      </c>
    </row>
    <row r="1102" spans="1:14" x14ac:dyDescent="0.25">
      <c r="A1102">
        <v>390.853206</v>
      </c>
      <c r="B1102" s="1">
        <f>DATE(2011,5,26) + TIME(20,28,37)</f>
        <v>40689.853206018517</v>
      </c>
      <c r="C1102">
        <v>1339.8520507999999</v>
      </c>
      <c r="D1102">
        <v>1337.3406981999999</v>
      </c>
      <c r="E1102">
        <v>1326.6586914</v>
      </c>
      <c r="F1102">
        <v>1324.8656006000001</v>
      </c>
      <c r="G1102">
        <v>80</v>
      </c>
      <c r="H1102">
        <v>79.964599609000004</v>
      </c>
      <c r="I1102">
        <v>50</v>
      </c>
      <c r="J1102">
        <v>47.877960205000001</v>
      </c>
      <c r="K1102">
        <v>2400</v>
      </c>
      <c r="L1102">
        <v>0</v>
      </c>
      <c r="M1102">
        <v>0</v>
      </c>
      <c r="N1102">
        <v>2400</v>
      </c>
    </row>
    <row r="1103" spans="1:14" x14ac:dyDescent="0.25">
      <c r="A1103">
        <v>391.35649999999998</v>
      </c>
      <c r="B1103" s="1">
        <f>DATE(2011,5,27) + TIME(8,33,21)</f>
        <v>40690.356493055559</v>
      </c>
      <c r="C1103">
        <v>1339.8444824000001</v>
      </c>
      <c r="D1103">
        <v>1337.3378906</v>
      </c>
      <c r="E1103">
        <v>1326.6516113</v>
      </c>
      <c r="F1103">
        <v>1324.8558350000001</v>
      </c>
      <c r="G1103">
        <v>80</v>
      </c>
      <c r="H1103">
        <v>79.964553832999997</v>
      </c>
      <c r="I1103">
        <v>50</v>
      </c>
      <c r="J1103">
        <v>47.848499298</v>
      </c>
      <c r="K1103">
        <v>2400</v>
      </c>
      <c r="L1103">
        <v>0</v>
      </c>
      <c r="M1103">
        <v>0</v>
      </c>
      <c r="N1103">
        <v>2400</v>
      </c>
    </row>
    <row r="1104" spans="1:14" x14ac:dyDescent="0.25">
      <c r="A1104">
        <v>391.87248299999999</v>
      </c>
      <c r="B1104" s="1">
        <f>DATE(2011,5,27) + TIME(20,56,22)</f>
        <v>40690.872476851851</v>
      </c>
      <c r="C1104">
        <v>1339.8369141000001</v>
      </c>
      <c r="D1104">
        <v>1337.3350829999999</v>
      </c>
      <c r="E1104">
        <v>1326.6442870999999</v>
      </c>
      <c r="F1104">
        <v>1324.8458252</v>
      </c>
      <c r="G1104">
        <v>80</v>
      </c>
      <c r="H1104">
        <v>79.964508057000003</v>
      </c>
      <c r="I1104">
        <v>50</v>
      </c>
      <c r="J1104">
        <v>47.818576813</v>
      </c>
      <c r="K1104">
        <v>2400</v>
      </c>
      <c r="L1104">
        <v>0</v>
      </c>
      <c r="M1104">
        <v>0</v>
      </c>
      <c r="N1104">
        <v>2400</v>
      </c>
    </row>
    <row r="1105" spans="1:14" x14ac:dyDescent="0.25">
      <c r="A1105">
        <v>392.40742999999998</v>
      </c>
      <c r="B1105" s="1">
        <f>DATE(2011,5,28) + TIME(9,46,41)</f>
        <v>40691.407418981478</v>
      </c>
      <c r="C1105">
        <v>1339.8292236</v>
      </c>
      <c r="D1105">
        <v>1337.3321533000001</v>
      </c>
      <c r="E1105">
        <v>1326.6367187999999</v>
      </c>
      <c r="F1105">
        <v>1324.8354492000001</v>
      </c>
      <c r="G1105">
        <v>80</v>
      </c>
      <c r="H1105">
        <v>79.964454650999997</v>
      </c>
      <c r="I1105">
        <v>50</v>
      </c>
      <c r="J1105">
        <v>47.787967682000001</v>
      </c>
      <c r="K1105">
        <v>2400</v>
      </c>
      <c r="L1105">
        <v>0</v>
      </c>
      <c r="M1105">
        <v>0</v>
      </c>
      <c r="N1105">
        <v>2400</v>
      </c>
    </row>
    <row r="1106" spans="1:14" x14ac:dyDescent="0.25">
      <c r="A1106">
        <v>392.96420599999999</v>
      </c>
      <c r="B1106" s="1">
        <f>DATE(2011,5,28) + TIME(23,8,27)</f>
        <v>40691.964201388888</v>
      </c>
      <c r="C1106">
        <v>1339.8214111</v>
      </c>
      <c r="D1106">
        <v>1337.3292236</v>
      </c>
      <c r="E1106">
        <v>1326.6289062000001</v>
      </c>
      <c r="F1106">
        <v>1324.8245850000001</v>
      </c>
      <c r="G1106">
        <v>80</v>
      </c>
      <c r="H1106">
        <v>79.964408875000004</v>
      </c>
      <c r="I1106">
        <v>50</v>
      </c>
      <c r="J1106">
        <v>47.756534576</v>
      </c>
      <c r="K1106">
        <v>2400</v>
      </c>
      <c r="L1106">
        <v>0</v>
      </c>
      <c r="M1106">
        <v>0</v>
      </c>
      <c r="N1106">
        <v>2400</v>
      </c>
    </row>
    <row r="1107" spans="1:14" x14ac:dyDescent="0.25">
      <c r="A1107">
        <v>393.53541300000001</v>
      </c>
      <c r="B1107" s="1">
        <f>DATE(2011,5,29) + TIME(12,50,59)</f>
        <v>40692.535405092596</v>
      </c>
      <c r="C1107">
        <v>1339.8134766000001</v>
      </c>
      <c r="D1107">
        <v>1337.3261719</v>
      </c>
      <c r="E1107">
        <v>1326.6206055</v>
      </c>
      <c r="F1107">
        <v>1324.8132324000001</v>
      </c>
      <c r="G1107">
        <v>80</v>
      </c>
      <c r="H1107">
        <v>79.964363098000007</v>
      </c>
      <c r="I1107">
        <v>50</v>
      </c>
      <c r="J1107">
        <v>47.724494933999999</v>
      </c>
      <c r="K1107">
        <v>2400</v>
      </c>
      <c r="L1107">
        <v>0</v>
      </c>
      <c r="M1107">
        <v>0</v>
      </c>
      <c r="N1107">
        <v>2400</v>
      </c>
    </row>
    <row r="1108" spans="1:14" x14ac:dyDescent="0.25">
      <c r="A1108">
        <v>394.108836</v>
      </c>
      <c r="B1108" s="1">
        <f>DATE(2011,5,30) + TIME(2,36,43)</f>
        <v>40693.108831018515</v>
      </c>
      <c r="C1108">
        <v>1339.8054199000001</v>
      </c>
      <c r="D1108">
        <v>1337.3231201000001</v>
      </c>
      <c r="E1108">
        <v>1326.6121826000001</v>
      </c>
      <c r="F1108">
        <v>1324.8015137</v>
      </c>
      <c r="G1108">
        <v>80</v>
      </c>
      <c r="H1108">
        <v>79.964309692</v>
      </c>
      <c r="I1108">
        <v>50</v>
      </c>
      <c r="J1108">
        <v>47.692302703999999</v>
      </c>
      <c r="K1108">
        <v>2400</v>
      </c>
      <c r="L1108">
        <v>0</v>
      </c>
      <c r="M1108">
        <v>0</v>
      </c>
      <c r="N1108">
        <v>2400</v>
      </c>
    </row>
    <row r="1109" spans="1:14" x14ac:dyDescent="0.25">
      <c r="A1109">
        <v>394.68617399999999</v>
      </c>
      <c r="B1109" s="1">
        <f>DATE(2011,5,30) + TIME(16,28,5)</f>
        <v>40693.686168981483</v>
      </c>
      <c r="C1109">
        <v>1339.7976074000001</v>
      </c>
      <c r="D1109">
        <v>1337.3201904</v>
      </c>
      <c r="E1109">
        <v>1326.6035156</v>
      </c>
      <c r="F1109">
        <v>1324.7895507999999</v>
      </c>
      <c r="G1109">
        <v>80</v>
      </c>
      <c r="H1109">
        <v>79.964263915999993</v>
      </c>
      <c r="I1109">
        <v>50</v>
      </c>
      <c r="J1109">
        <v>47.660026549999998</v>
      </c>
      <c r="K1109">
        <v>2400</v>
      </c>
      <c r="L1109">
        <v>0</v>
      </c>
      <c r="M1109">
        <v>0</v>
      </c>
      <c r="N1109">
        <v>2400</v>
      </c>
    </row>
    <row r="1110" spans="1:14" x14ac:dyDescent="0.25">
      <c r="A1110">
        <v>395.269136</v>
      </c>
      <c r="B1110" s="1">
        <f>DATE(2011,5,31) + TIME(6,27,33)</f>
        <v>40694.269131944442</v>
      </c>
      <c r="C1110">
        <v>1339.7897949000001</v>
      </c>
      <c r="D1110">
        <v>1337.3171387</v>
      </c>
      <c r="E1110">
        <v>1326.5947266000001</v>
      </c>
      <c r="F1110">
        <v>1324.7774658000001</v>
      </c>
      <c r="G1110">
        <v>80</v>
      </c>
      <c r="H1110">
        <v>79.96421814</v>
      </c>
      <c r="I1110">
        <v>50</v>
      </c>
      <c r="J1110">
        <v>47.627670287999997</v>
      </c>
      <c r="K1110">
        <v>2400</v>
      </c>
      <c r="L1110">
        <v>0</v>
      </c>
      <c r="M1110">
        <v>0</v>
      </c>
      <c r="N1110">
        <v>2400</v>
      </c>
    </row>
    <row r="1111" spans="1:14" x14ac:dyDescent="0.25">
      <c r="A1111">
        <v>395.85426100000001</v>
      </c>
      <c r="B1111" s="1">
        <f>DATE(2011,5,31) + TIME(20,30,8)</f>
        <v>40694.854259259257</v>
      </c>
      <c r="C1111">
        <v>1339.7821045000001</v>
      </c>
      <c r="D1111">
        <v>1337.3142089999999</v>
      </c>
      <c r="E1111">
        <v>1326.5859375</v>
      </c>
      <c r="F1111">
        <v>1324.7651367000001</v>
      </c>
      <c r="G1111">
        <v>80</v>
      </c>
      <c r="H1111">
        <v>79.964172363000003</v>
      </c>
      <c r="I1111">
        <v>50</v>
      </c>
      <c r="J1111">
        <v>47.595375060999999</v>
      </c>
      <c r="K1111">
        <v>2400</v>
      </c>
      <c r="L1111">
        <v>0</v>
      </c>
      <c r="M1111">
        <v>0</v>
      </c>
      <c r="N1111">
        <v>2400</v>
      </c>
    </row>
    <row r="1112" spans="1:14" x14ac:dyDescent="0.25">
      <c r="A1112">
        <v>396</v>
      </c>
      <c r="B1112" s="1">
        <f>DATE(2011,6,1) + TIME(0,0,0)</f>
        <v>40695</v>
      </c>
      <c r="C1112">
        <v>1339.7745361</v>
      </c>
      <c r="D1112">
        <v>1337.3112793</v>
      </c>
      <c r="E1112">
        <v>1326.5778809000001</v>
      </c>
      <c r="F1112">
        <v>1324.7547606999999</v>
      </c>
      <c r="G1112">
        <v>80</v>
      </c>
      <c r="H1112">
        <v>79.964141846000004</v>
      </c>
      <c r="I1112">
        <v>50</v>
      </c>
      <c r="J1112">
        <v>47.584072112999998</v>
      </c>
      <c r="K1112">
        <v>2400</v>
      </c>
      <c r="L1112">
        <v>0</v>
      </c>
      <c r="M1112">
        <v>0</v>
      </c>
      <c r="N1112">
        <v>2400</v>
      </c>
    </row>
    <row r="1113" spans="1:14" x14ac:dyDescent="0.25">
      <c r="A1113">
        <v>396.585868</v>
      </c>
      <c r="B1113" s="1">
        <f>DATE(2011,6,1) + TIME(14,3,38)</f>
        <v>40695.585856481484</v>
      </c>
      <c r="C1113">
        <v>1339.7725829999999</v>
      </c>
      <c r="D1113">
        <v>1337.3105469</v>
      </c>
      <c r="E1113">
        <v>1326.5743408000001</v>
      </c>
      <c r="F1113">
        <v>1324.7490233999999</v>
      </c>
      <c r="G1113">
        <v>80</v>
      </c>
      <c r="H1113">
        <v>79.964103699000006</v>
      </c>
      <c r="I1113">
        <v>50</v>
      </c>
      <c r="J1113">
        <v>47.553276062000002</v>
      </c>
      <c r="K1113">
        <v>2400</v>
      </c>
      <c r="L1113">
        <v>0</v>
      </c>
      <c r="M1113">
        <v>0</v>
      </c>
      <c r="N1113">
        <v>2400</v>
      </c>
    </row>
    <row r="1114" spans="1:14" x14ac:dyDescent="0.25">
      <c r="A1114">
        <v>397.17563999999999</v>
      </c>
      <c r="B1114" s="1">
        <f>DATE(2011,6,2) + TIME(4,12,55)</f>
        <v>40696.175636574073</v>
      </c>
      <c r="C1114">
        <v>1339.7652588000001</v>
      </c>
      <c r="D1114">
        <v>1337.3076172000001</v>
      </c>
      <c r="E1114">
        <v>1326.5654297000001</v>
      </c>
      <c r="F1114">
        <v>1324.7365723</v>
      </c>
      <c r="G1114">
        <v>80</v>
      </c>
      <c r="H1114">
        <v>79.964065551999994</v>
      </c>
      <c r="I1114">
        <v>50</v>
      </c>
      <c r="J1114">
        <v>47.522068023999999</v>
      </c>
      <c r="K1114">
        <v>2400</v>
      </c>
      <c r="L1114">
        <v>0</v>
      </c>
      <c r="M1114">
        <v>0</v>
      </c>
      <c r="N1114">
        <v>2400</v>
      </c>
    </row>
    <row r="1115" spans="1:14" x14ac:dyDescent="0.25">
      <c r="A1115">
        <v>397.77066500000001</v>
      </c>
      <c r="B1115" s="1">
        <f>DATE(2011,6,2) + TIME(18,29,45)</f>
        <v>40696.77065972222</v>
      </c>
      <c r="C1115">
        <v>1339.7579346</v>
      </c>
      <c r="D1115">
        <v>1337.3048096</v>
      </c>
      <c r="E1115">
        <v>1326.5562743999999</v>
      </c>
      <c r="F1115">
        <v>1324.723999</v>
      </c>
      <c r="G1115">
        <v>80</v>
      </c>
      <c r="H1115">
        <v>79.964027404999996</v>
      </c>
      <c r="I1115">
        <v>50</v>
      </c>
      <c r="J1115">
        <v>47.490600585999999</v>
      </c>
      <c r="K1115">
        <v>2400</v>
      </c>
      <c r="L1115">
        <v>0</v>
      </c>
      <c r="M1115">
        <v>0</v>
      </c>
      <c r="N1115">
        <v>2400</v>
      </c>
    </row>
    <row r="1116" spans="1:14" x14ac:dyDescent="0.25">
      <c r="A1116">
        <v>398.373265</v>
      </c>
      <c r="B1116" s="1">
        <f>DATE(2011,6,3) + TIME(8,57,30)</f>
        <v>40697.373263888891</v>
      </c>
      <c r="C1116">
        <v>1339.7506103999999</v>
      </c>
      <c r="D1116">
        <v>1337.3018798999999</v>
      </c>
      <c r="E1116">
        <v>1326.5469971</v>
      </c>
      <c r="F1116">
        <v>1324.7110596</v>
      </c>
      <c r="G1116">
        <v>80</v>
      </c>
      <c r="H1116">
        <v>79.963981627999999</v>
      </c>
      <c r="I1116">
        <v>50</v>
      </c>
      <c r="J1116">
        <v>47.458900452000002</v>
      </c>
      <c r="K1116">
        <v>2400</v>
      </c>
      <c r="L1116">
        <v>0</v>
      </c>
      <c r="M1116">
        <v>0</v>
      </c>
      <c r="N1116">
        <v>2400</v>
      </c>
    </row>
    <row r="1117" spans="1:14" x14ac:dyDescent="0.25">
      <c r="A1117">
        <v>398.98565400000001</v>
      </c>
      <c r="B1117" s="1">
        <f>DATE(2011,6,3) + TIME(23,39,20)</f>
        <v>40697.985648148147</v>
      </c>
      <c r="C1117">
        <v>1339.7434082</v>
      </c>
      <c r="D1117">
        <v>1337.2990723</v>
      </c>
      <c r="E1117">
        <v>1326.5375977000001</v>
      </c>
      <c r="F1117">
        <v>1324.6979980000001</v>
      </c>
      <c r="G1117">
        <v>80</v>
      </c>
      <c r="H1117">
        <v>79.963943481000001</v>
      </c>
      <c r="I1117">
        <v>50</v>
      </c>
      <c r="J1117">
        <v>47.426948547000002</v>
      </c>
      <c r="K1117">
        <v>2400</v>
      </c>
      <c r="L1117">
        <v>0</v>
      </c>
      <c r="M1117">
        <v>0</v>
      </c>
      <c r="N1117">
        <v>2400</v>
      </c>
    </row>
    <row r="1118" spans="1:14" x14ac:dyDescent="0.25">
      <c r="A1118">
        <v>399.610051</v>
      </c>
      <c r="B1118" s="1">
        <f>DATE(2011,6,4) + TIME(14,38,28)</f>
        <v>40698.610046296293</v>
      </c>
      <c r="C1118">
        <v>1339.7362060999999</v>
      </c>
      <c r="D1118">
        <v>1337.2962646000001</v>
      </c>
      <c r="E1118">
        <v>1326.5279541</v>
      </c>
      <c r="F1118">
        <v>1324.6845702999999</v>
      </c>
      <c r="G1118">
        <v>80</v>
      </c>
      <c r="H1118">
        <v>79.963905334000003</v>
      </c>
      <c r="I1118">
        <v>50</v>
      </c>
      <c r="J1118">
        <v>47.394691467000001</v>
      </c>
      <c r="K1118">
        <v>2400</v>
      </c>
      <c r="L1118">
        <v>0</v>
      </c>
      <c r="M1118">
        <v>0</v>
      </c>
      <c r="N1118">
        <v>2400</v>
      </c>
    </row>
    <row r="1119" spans="1:14" x14ac:dyDescent="0.25">
      <c r="A1119">
        <v>400.24878000000001</v>
      </c>
      <c r="B1119" s="1">
        <f>DATE(2011,6,5) + TIME(5,58,14)</f>
        <v>40699.248773148145</v>
      </c>
      <c r="C1119">
        <v>1339.7290039</v>
      </c>
      <c r="D1119">
        <v>1337.293457</v>
      </c>
      <c r="E1119">
        <v>1326.5180664</v>
      </c>
      <c r="F1119">
        <v>1324.6706543</v>
      </c>
      <c r="G1119">
        <v>80</v>
      </c>
      <c r="H1119">
        <v>79.963859557999996</v>
      </c>
      <c r="I1119">
        <v>50</v>
      </c>
      <c r="J1119">
        <v>47.362060546999999</v>
      </c>
      <c r="K1119">
        <v>2400</v>
      </c>
      <c r="L1119">
        <v>0</v>
      </c>
      <c r="M1119">
        <v>0</v>
      </c>
      <c r="N1119">
        <v>2400</v>
      </c>
    </row>
    <row r="1120" spans="1:14" x14ac:dyDescent="0.25">
      <c r="A1120">
        <v>400.90522600000003</v>
      </c>
      <c r="B1120" s="1">
        <f>DATE(2011,6,5) + TIME(21,43,31)</f>
        <v>40699.905219907407</v>
      </c>
      <c r="C1120">
        <v>1339.7218018000001</v>
      </c>
      <c r="D1120">
        <v>1337.2905272999999</v>
      </c>
      <c r="E1120">
        <v>1326.5079346</v>
      </c>
      <c r="F1120">
        <v>1324.6564940999999</v>
      </c>
      <c r="G1120">
        <v>80</v>
      </c>
      <c r="H1120">
        <v>79.963821410999998</v>
      </c>
      <c r="I1120">
        <v>50</v>
      </c>
      <c r="J1120">
        <v>47.328933716000002</v>
      </c>
      <c r="K1120">
        <v>2400</v>
      </c>
      <c r="L1120">
        <v>0</v>
      </c>
      <c r="M1120">
        <v>0</v>
      </c>
      <c r="N1120">
        <v>2400</v>
      </c>
    </row>
    <row r="1121" spans="1:14" x14ac:dyDescent="0.25">
      <c r="A1121">
        <v>401.58957600000002</v>
      </c>
      <c r="B1121" s="1">
        <f>DATE(2011,6,6) + TIME(14,8,59)</f>
        <v>40700.589571759258</v>
      </c>
      <c r="C1121">
        <v>1339.7144774999999</v>
      </c>
      <c r="D1121">
        <v>1337.2875977000001</v>
      </c>
      <c r="E1121">
        <v>1326.4974365</v>
      </c>
      <c r="F1121">
        <v>1324.6418457</v>
      </c>
      <c r="G1121">
        <v>80</v>
      </c>
      <c r="H1121">
        <v>79.963783264</v>
      </c>
      <c r="I1121">
        <v>50</v>
      </c>
      <c r="J1121">
        <v>47.294990540000001</v>
      </c>
      <c r="K1121">
        <v>2400</v>
      </c>
      <c r="L1121">
        <v>0</v>
      </c>
      <c r="M1121">
        <v>0</v>
      </c>
      <c r="N1121">
        <v>2400</v>
      </c>
    </row>
    <row r="1122" spans="1:14" x14ac:dyDescent="0.25">
      <c r="A1122">
        <v>402.28801900000002</v>
      </c>
      <c r="B1122" s="1">
        <f>DATE(2011,6,7) + TIME(6,54,44)</f>
        <v>40701.28800925926</v>
      </c>
      <c r="C1122">
        <v>1339.7070312000001</v>
      </c>
      <c r="D1122">
        <v>1337.2845459</v>
      </c>
      <c r="E1122">
        <v>1326.4864502</v>
      </c>
      <c r="F1122">
        <v>1324.6265868999999</v>
      </c>
      <c r="G1122">
        <v>80</v>
      </c>
      <c r="H1122">
        <v>79.963745117000002</v>
      </c>
      <c r="I1122">
        <v>50</v>
      </c>
      <c r="J1122">
        <v>47.260524750000002</v>
      </c>
      <c r="K1122">
        <v>2400</v>
      </c>
      <c r="L1122">
        <v>0</v>
      </c>
      <c r="M1122">
        <v>0</v>
      </c>
      <c r="N1122">
        <v>2400</v>
      </c>
    </row>
    <row r="1123" spans="1:14" x14ac:dyDescent="0.25">
      <c r="A1123">
        <v>403.00368600000002</v>
      </c>
      <c r="B1123" s="1">
        <f>DATE(2011,6,8) + TIME(0,5,18)</f>
        <v>40702.003680555557</v>
      </c>
      <c r="C1123">
        <v>1339.6995850000001</v>
      </c>
      <c r="D1123">
        <v>1337.2816161999999</v>
      </c>
      <c r="E1123">
        <v>1326.4752197</v>
      </c>
      <c r="F1123">
        <v>1324.6108397999999</v>
      </c>
      <c r="G1123">
        <v>80</v>
      </c>
      <c r="H1123">
        <v>79.963706970000004</v>
      </c>
      <c r="I1123">
        <v>50</v>
      </c>
      <c r="J1123">
        <v>47.225524901999997</v>
      </c>
      <c r="K1123">
        <v>2400</v>
      </c>
      <c r="L1123">
        <v>0</v>
      </c>
      <c r="M1123">
        <v>0</v>
      </c>
      <c r="N1123">
        <v>2400</v>
      </c>
    </row>
    <row r="1124" spans="1:14" x14ac:dyDescent="0.25">
      <c r="A1124">
        <v>403.746692</v>
      </c>
      <c r="B1124" s="1">
        <f>DATE(2011,6,8) + TIME(17,55,14)</f>
        <v>40702.746689814812</v>
      </c>
      <c r="C1124">
        <v>1339.6920166</v>
      </c>
      <c r="D1124">
        <v>1337.2785644999999</v>
      </c>
      <c r="E1124">
        <v>1326.4637451000001</v>
      </c>
      <c r="F1124">
        <v>1324.5947266000001</v>
      </c>
      <c r="G1124">
        <v>80</v>
      </c>
      <c r="H1124">
        <v>79.963668823000006</v>
      </c>
      <c r="I1124">
        <v>50</v>
      </c>
      <c r="J1124">
        <v>47.189735413000001</v>
      </c>
      <c r="K1124">
        <v>2400</v>
      </c>
      <c r="L1124">
        <v>0</v>
      </c>
      <c r="M1124">
        <v>0</v>
      </c>
      <c r="N1124">
        <v>2400</v>
      </c>
    </row>
    <row r="1125" spans="1:14" x14ac:dyDescent="0.25">
      <c r="A1125">
        <v>404.12043699999998</v>
      </c>
      <c r="B1125" s="1">
        <f>DATE(2011,6,9) + TIME(2,53,25)</f>
        <v>40703.120428240742</v>
      </c>
      <c r="C1125">
        <v>1339.6843262</v>
      </c>
      <c r="D1125">
        <v>1337.2753906</v>
      </c>
      <c r="E1125">
        <v>1326.4523925999999</v>
      </c>
      <c r="F1125">
        <v>1324.5793457</v>
      </c>
      <c r="G1125">
        <v>80</v>
      </c>
      <c r="H1125">
        <v>79.963630675999994</v>
      </c>
      <c r="I1125">
        <v>50</v>
      </c>
      <c r="J1125">
        <v>47.166427612</v>
      </c>
      <c r="K1125">
        <v>2400</v>
      </c>
      <c r="L1125">
        <v>0</v>
      </c>
      <c r="M1125">
        <v>0</v>
      </c>
      <c r="N1125">
        <v>2400</v>
      </c>
    </row>
    <row r="1126" spans="1:14" x14ac:dyDescent="0.25">
      <c r="A1126">
        <v>404.49418300000002</v>
      </c>
      <c r="B1126" s="1">
        <f>DATE(2011,6,9) + TIME(11,51,37)</f>
        <v>40703.49417824074</v>
      </c>
      <c r="C1126">
        <v>1339.6805420000001</v>
      </c>
      <c r="D1126">
        <v>1337.2738036999999</v>
      </c>
      <c r="E1126">
        <v>1326.4456786999999</v>
      </c>
      <c r="F1126">
        <v>1324.5695800999999</v>
      </c>
      <c r="G1126">
        <v>80</v>
      </c>
      <c r="H1126">
        <v>79.963600158999995</v>
      </c>
      <c r="I1126">
        <v>50</v>
      </c>
      <c r="J1126">
        <v>47.144672393999997</v>
      </c>
      <c r="K1126">
        <v>2400</v>
      </c>
      <c r="L1126">
        <v>0</v>
      </c>
      <c r="M1126">
        <v>0</v>
      </c>
      <c r="N1126">
        <v>2400</v>
      </c>
    </row>
    <row r="1127" spans="1:14" x14ac:dyDescent="0.25">
      <c r="A1127">
        <v>404.86792800000001</v>
      </c>
      <c r="B1127" s="1">
        <f>DATE(2011,6,9) + TIME(20,49,49)</f>
        <v>40703.867928240739</v>
      </c>
      <c r="C1127">
        <v>1339.6767577999999</v>
      </c>
      <c r="D1127">
        <v>1337.2722168</v>
      </c>
      <c r="E1127">
        <v>1326.4390868999999</v>
      </c>
      <c r="F1127">
        <v>1324.5601807</v>
      </c>
      <c r="G1127">
        <v>80</v>
      </c>
      <c r="H1127">
        <v>79.963577271000005</v>
      </c>
      <c r="I1127">
        <v>50</v>
      </c>
      <c r="J1127">
        <v>47.124042510999999</v>
      </c>
      <c r="K1127">
        <v>2400</v>
      </c>
      <c r="L1127">
        <v>0</v>
      </c>
      <c r="M1127">
        <v>0</v>
      </c>
      <c r="N1127">
        <v>2400</v>
      </c>
    </row>
    <row r="1128" spans="1:14" x14ac:dyDescent="0.25">
      <c r="A1128">
        <v>405.24167399999999</v>
      </c>
      <c r="B1128" s="1">
        <f>DATE(2011,6,10) + TIME(5,48,0)</f>
        <v>40704.241666666669</v>
      </c>
      <c r="C1128">
        <v>1339.6730957</v>
      </c>
      <c r="D1128">
        <v>1337.2707519999999</v>
      </c>
      <c r="E1128">
        <v>1326.4326172000001</v>
      </c>
      <c r="F1128">
        <v>1324.5510254000001</v>
      </c>
      <c r="G1128">
        <v>80</v>
      </c>
      <c r="H1128">
        <v>79.963562011999997</v>
      </c>
      <c r="I1128">
        <v>50</v>
      </c>
      <c r="J1128">
        <v>47.104232787999997</v>
      </c>
      <c r="K1128">
        <v>2400</v>
      </c>
      <c r="L1128">
        <v>0</v>
      </c>
      <c r="M1128">
        <v>0</v>
      </c>
      <c r="N1128">
        <v>2400</v>
      </c>
    </row>
    <row r="1129" spans="1:14" x14ac:dyDescent="0.25">
      <c r="A1129">
        <v>405.61541899999997</v>
      </c>
      <c r="B1129" s="1">
        <f>DATE(2011,6,10) + TIME(14,46,12)</f>
        <v>40704.615416666667</v>
      </c>
      <c r="C1129">
        <v>1339.6694336</v>
      </c>
      <c r="D1129">
        <v>1337.2691649999999</v>
      </c>
      <c r="E1129">
        <v>1326.4262695</v>
      </c>
      <c r="F1129">
        <v>1324.5419922000001</v>
      </c>
      <c r="G1129">
        <v>80</v>
      </c>
      <c r="H1129">
        <v>79.963539123999993</v>
      </c>
      <c r="I1129">
        <v>50</v>
      </c>
      <c r="J1129">
        <v>47.085029601999999</v>
      </c>
      <c r="K1129">
        <v>2400</v>
      </c>
      <c r="L1129">
        <v>0</v>
      </c>
      <c r="M1129">
        <v>0</v>
      </c>
      <c r="N1129">
        <v>2400</v>
      </c>
    </row>
    <row r="1130" spans="1:14" x14ac:dyDescent="0.25">
      <c r="A1130">
        <v>405.98916500000001</v>
      </c>
      <c r="B1130" s="1">
        <f>DATE(2011,6,10) + TIME(23,44,23)</f>
        <v>40704.989155092589</v>
      </c>
      <c r="C1130">
        <v>1339.6657714999999</v>
      </c>
      <c r="D1130">
        <v>1337.2677002</v>
      </c>
      <c r="E1130">
        <v>1326.4199219</v>
      </c>
      <c r="F1130">
        <v>1324.5330810999999</v>
      </c>
      <c r="G1130">
        <v>80</v>
      </c>
      <c r="H1130">
        <v>79.963523864999999</v>
      </c>
      <c r="I1130">
        <v>50</v>
      </c>
      <c r="J1130">
        <v>47.066276549999998</v>
      </c>
      <c r="K1130">
        <v>2400</v>
      </c>
      <c r="L1130">
        <v>0</v>
      </c>
      <c r="M1130">
        <v>0</v>
      </c>
      <c r="N1130">
        <v>2400</v>
      </c>
    </row>
    <row r="1131" spans="1:14" x14ac:dyDescent="0.25">
      <c r="A1131">
        <v>406.73665599999998</v>
      </c>
      <c r="B1131" s="1">
        <f>DATE(2011,6,11) + TIME(17,40,47)</f>
        <v>40705.736655092594</v>
      </c>
      <c r="C1131">
        <v>1339.6619873</v>
      </c>
      <c r="D1131">
        <v>1337.2661132999999</v>
      </c>
      <c r="E1131">
        <v>1326.4130858999999</v>
      </c>
      <c r="F1131">
        <v>1324.5229492000001</v>
      </c>
      <c r="G1131">
        <v>80</v>
      </c>
      <c r="H1131">
        <v>79.963508606000005</v>
      </c>
      <c r="I1131">
        <v>50</v>
      </c>
      <c r="J1131">
        <v>47.037834167</v>
      </c>
      <c r="K1131">
        <v>2400</v>
      </c>
      <c r="L1131">
        <v>0</v>
      </c>
      <c r="M1131">
        <v>0</v>
      </c>
      <c r="N1131">
        <v>2400</v>
      </c>
    </row>
    <row r="1132" spans="1:14" x14ac:dyDescent="0.25">
      <c r="A1132">
        <v>407.48573499999998</v>
      </c>
      <c r="B1132" s="1">
        <f>DATE(2011,6,12) + TIME(11,39,27)</f>
        <v>40706.485729166663</v>
      </c>
      <c r="C1132">
        <v>1339.6545410000001</v>
      </c>
      <c r="D1132">
        <v>1337.2628173999999</v>
      </c>
      <c r="E1132">
        <v>1326.4016113</v>
      </c>
      <c r="F1132">
        <v>1324.5070800999999</v>
      </c>
      <c r="G1132">
        <v>80</v>
      </c>
      <c r="H1132">
        <v>79.963478088000002</v>
      </c>
      <c r="I1132">
        <v>50</v>
      </c>
      <c r="J1132">
        <v>47.006397247000002</v>
      </c>
      <c r="K1132">
        <v>2400</v>
      </c>
      <c r="L1132">
        <v>0</v>
      </c>
      <c r="M1132">
        <v>0</v>
      </c>
      <c r="N1132">
        <v>2400</v>
      </c>
    </row>
    <row r="1133" spans="1:14" x14ac:dyDescent="0.25">
      <c r="A1133">
        <v>408.244327</v>
      </c>
      <c r="B1133" s="1">
        <f>DATE(2011,6,13) + TIME(5,51,49)</f>
        <v>40707.244317129633</v>
      </c>
      <c r="C1133">
        <v>1339.6472168</v>
      </c>
      <c r="D1133">
        <v>1337.2596435999999</v>
      </c>
      <c r="E1133">
        <v>1326.3896483999999</v>
      </c>
      <c r="F1133">
        <v>1324.4903564000001</v>
      </c>
      <c r="G1133">
        <v>80</v>
      </c>
      <c r="H1133">
        <v>79.963447571000003</v>
      </c>
      <c r="I1133">
        <v>50</v>
      </c>
      <c r="J1133">
        <v>46.973255156999997</v>
      </c>
      <c r="K1133">
        <v>2400</v>
      </c>
      <c r="L1133">
        <v>0</v>
      </c>
      <c r="M1133">
        <v>0</v>
      </c>
      <c r="N1133">
        <v>2400</v>
      </c>
    </row>
    <row r="1134" spans="1:14" x14ac:dyDescent="0.25">
      <c r="A1134">
        <v>409.01567899999998</v>
      </c>
      <c r="B1134" s="1">
        <f>DATE(2011,6,14) + TIME(0,22,34)</f>
        <v>40708.0156712963</v>
      </c>
      <c r="C1134">
        <v>1339.6398925999999</v>
      </c>
      <c r="D1134">
        <v>1337.2565918</v>
      </c>
      <c r="E1134">
        <v>1326.3773193</v>
      </c>
      <c r="F1134">
        <v>1324.4730225000001</v>
      </c>
      <c r="G1134">
        <v>80</v>
      </c>
      <c r="H1134">
        <v>79.963417053000001</v>
      </c>
      <c r="I1134">
        <v>50</v>
      </c>
      <c r="J1134">
        <v>46.939044952000003</v>
      </c>
      <c r="K1134">
        <v>2400</v>
      </c>
      <c r="L1134">
        <v>0</v>
      </c>
      <c r="M1134">
        <v>0</v>
      </c>
      <c r="N1134">
        <v>2400</v>
      </c>
    </row>
    <row r="1135" spans="1:14" x14ac:dyDescent="0.25">
      <c r="A1135">
        <v>409.80304000000001</v>
      </c>
      <c r="B1135" s="1">
        <f>DATE(2011,6,14) + TIME(19,16,22)</f>
        <v>40708.803032407406</v>
      </c>
      <c r="C1135">
        <v>1339.6325684000001</v>
      </c>
      <c r="D1135">
        <v>1337.253418</v>
      </c>
      <c r="E1135">
        <v>1326.364624</v>
      </c>
      <c r="F1135">
        <v>1324.4550781</v>
      </c>
      <c r="G1135">
        <v>80</v>
      </c>
      <c r="H1135">
        <v>79.963386536000002</v>
      </c>
      <c r="I1135">
        <v>50</v>
      </c>
      <c r="J1135">
        <v>46.904060364000003</v>
      </c>
      <c r="K1135">
        <v>2400</v>
      </c>
      <c r="L1135">
        <v>0</v>
      </c>
      <c r="M1135">
        <v>0</v>
      </c>
      <c r="N1135">
        <v>2400</v>
      </c>
    </row>
    <row r="1136" spans="1:14" x14ac:dyDescent="0.25">
      <c r="A1136">
        <v>410.60966400000001</v>
      </c>
      <c r="B1136" s="1">
        <f>DATE(2011,6,15) + TIME(14,37,54)</f>
        <v>40709.609652777777</v>
      </c>
      <c r="C1136">
        <v>1339.6253661999999</v>
      </c>
      <c r="D1136">
        <v>1337.2502440999999</v>
      </c>
      <c r="E1136">
        <v>1326.3515625</v>
      </c>
      <c r="F1136">
        <v>1324.4366454999999</v>
      </c>
      <c r="G1136">
        <v>80</v>
      </c>
      <c r="H1136">
        <v>79.963356017999999</v>
      </c>
      <c r="I1136">
        <v>50</v>
      </c>
      <c r="J1136">
        <v>46.868400573999999</v>
      </c>
      <c r="K1136">
        <v>2400</v>
      </c>
      <c r="L1136">
        <v>0</v>
      </c>
      <c r="M1136">
        <v>0</v>
      </c>
      <c r="N1136">
        <v>2400</v>
      </c>
    </row>
    <row r="1137" spans="1:14" x14ac:dyDescent="0.25">
      <c r="A1137">
        <v>411.439324</v>
      </c>
      <c r="B1137" s="1">
        <f>DATE(2011,6,16) + TIME(10,32,37)</f>
        <v>40710.439317129632</v>
      </c>
      <c r="C1137">
        <v>1339.6180420000001</v>
      </c>
      <c r="D1137">
        <v>1337.2470702999999</v>
      </c>
      <c r="E1137">
        <v>1326.3381348</v>
      </c>
      <c r="F1137">
        <v>1324.4177245999999</v>
      </c>
      <c r="G1137">
        <v>80</v>
      </c>
      <c r="H1137">
        <v>79.963325499999996</v>
      </c>
      <c r="I1137">
        <v>50</v>
      </c>
      <c r="J1137">
        <v>46.832054137999997</v>
      </c>
      <c r="K1137">
        <v>2400</v>
      </c>
      <c r="L1137">
        <v>0</v>
      </c>
      <c r="M1137">
        <v>0</v>
      </c>
      <c r="N1137">
        <v>2400</v>
      </c>
    </row>
    <row r="1138" spans="1:14" x14ac:dyDescent="0.25">
      <c r="A1138">
        <v>412.29222499999997</v>
      </c>
      <c r="B1138" s="1">
        <f>DATE(2011,6,17) + TIME(7,0,48)</f>
        <v>40711.292222222219</v>
      </c>
      <c r="C1138">
        <v>1339.6107178</v>
      </c>
      <c r="D1138">
        <v>1337.2437743999999</v>
      </c>
      <c r="E1138">
        <v>1326.3243408000001</v>
      </c>
      <c r="F1138">
        <v>1324.3980713000001</v>
      </c>
      <c r="G1138">
        <v>80</v>
      </c>
      <c r="H1138">
        <v>79.963294982999997</v>
      </c>
      <c r="I1138">
        <v>50</v>
      </c>
      <c r="J1138">
        <v>46.795024871999999</v>
      </c>
      <c r="K1138">
        <v>2400</v>
      </c>
      <c r="L1138">
        <v>0</v>
      </c>
      <c r="M1138">
        <v>0</v>
      </c>
      <c r="N1138">
        <v>2400</v>
      </c>
    </row>
    <row r="1139" spans="1:14" x14ac:dyDescent="0.25">
      <c r="A1139">
        <v>413.16546799999998</v>
      </c>
      <c r="B1139" s="1">
        <f>DATE(2011,6,18) + TIME(3,58,16)</f>
        <v>40712.165462962963</v>
      </c>
      <c r="C1139">
        <v>1339.6032714999999</v>
      </c>
      <c r="D1139">
        <v>1337.2404785000001</v>
      </c>
      <c r="E1139">
        <v>1326.3101807</v>
      </c>
      <c r="F1139">
        <v>1324.3779297000001</v>
      </c>
      <c r="G1139">
        <v>80</v>
      </c>
      <c r="H1139">
        <v>79.963264464999995</v>
      </c>
      <c r="I1139">
        <v>50</v>
      </c>
      <c r="J1139">
        <v>46.757389068999998</v>
      </c>
      <c r="K1139">
        <v>2400</v>
      </c>
      <c r="L1139">
        <v>0</v>
      </c>
      <c r="M1139">
        <v>0</v>
      </c>
      <c r="N1139">
        <v>2400</v>
      </c>
    </row>
    <row r="1140" spans="1:14" x14ac:dyDescent="0.25">
      <c r="A1140">
        <v>414.06321300000002</v>
      </c>
      <c r="B1140" s="1">
        <f>DATE(2011,6,19) + TIME(1,31,1)</f>
        <v>40713.063206018516</v>
      </c>
      <c r="C1140">
        <v>1339.5959473</v>
      </c>
      <c r="D1140">
        <v>1337.2371826000001</v>
      </c>
      <c r="E1140">
        <v>1326.2955322</v>
      </c>
      <c r="F1140">
        <v>1324.3571777</v>
      </c>
      <c r="G1140">
        <v>80</v>
      </c>
      <c r="H1140">
        <v>79.963233947999996</v>
      </c>
      <c r="I1140">
        <v>50</v>
      </c>
      <c r="J1140">
        <v>46.719097136999999</v>
      </c>
      <c r="K1140">
        <v>2400</v>
      </c>
      <c r="L1140">
        <v>0</v>
      </c>
      <c r="M1140">
        <v>0</v>
      </c>
      <c r="N1140">
        <v>2400</v>
      </c>
    </row>
    <row r="1141" spans="1:14" x14ac:dyDescent="0.25">
      <c r="A1141">
        <v>414.99603400000001</v>
      </c>
      <c r="B1141" s="1">
        <f>DATE(2011,6,19) + TIME(23,54,17)</f>
        <v>40713.996030092596</v>
      </c>
      <c r="C1141">
        <v>1339.5883789</v>
      </c>
      <c r="D1141">
        <v>1337.2338867000001</v>
      </c>
      <c r="E1141">
        <v>1326.2805175999999</v>
      </c>
      <c r="F1141">
        <v>1324.3358154</v>
      </c>
      <c r="G1141">
        <v>80</v>
      </c>
      <c r="H1141">
        <v>79.963203429999993</v>
      </c>
      <c r="I1141">
        <v>50</v>
      </c>
      <c r="J1141">
        <v>46.679920197000001</v>
      </c>
      <c r="K1141">
        <v>2400</v>
      </c>
      <c r="L1141">
        <v>0</v>
      </c>
      <c r="M1141">
        <v>0</v>
      </c>
      <c r="N1141">
        <v>2400</v>
      </c>
    </row>
    <row r="1142" spans="1:14" x14ac:dyDescent="0.25">
      <c r="A1142">
        <v>415.47512699999999</v>
      </c>
      <c r="B1142" s="1">
        <f>DATE(2011,6,20) + TIME(11,24,11)</f>
        <v>40714.475127314814</v>
      </c>
      <c r="C1142">
        <v>1339.5808105000001</v>
      </c>
      <c r="D1142">
        <v>1337.2304687999999</v>
      </c>
      <c r="E1142">
        <v>1326.2657471</v>
      </c>
      <c r="F1142">
        <v>1324.3155518000001</v>
      </c>
      <c r="G1142">
        <v>80</v>
      </c>
      <c r="H1142">
        <v>79.963172912999994</v>
      </c>
      <c r="I1142">
        <v>50</v>
      </c>
      <c r="J1142">
        <v>46.652851105000003</v>
      </c>
      <c r="K1142">
        <v>2400</v>
      </c>
      <c r="L1142">
        <v>0</v>
      </c>
      <c r="M1142">
        <v>0</v>
      </c>
      <c r="N1142">
        <v>2400</v>
      </c>
    </row>
    <row r="1143" spans="1:14" x14ac:dyDescent="0.25">
      <c r="A1143">
        <v>415.95422100000002</v>
      </c>
      <c r="B1143" s="1">
        <f>DATE(2011,6,20) + TIME(22,54,4)</f>
        <v>40714.954212962963</v>
      </c>
      <c r="C1143">
        <v>1339.5770264</v>
      </c>
      <c r="D1143">
        <v>1337.2287598</v>
      </c>
      <c r="E1143">
        <v>1326.2565918</v>
      </c>
      <c r="F1143">
        <v>1324.302124</v>
      </c>
      <c r="G1143">
        <v>80</v>
      </c>
      <c r="H1143">
        <v>79.963150024000001</v>
      </c>
      <c r="I1143">
        <v>50</v>
      </c>
      <c r="J1143">
        <v>46.628196715999998</v>
      </c>
      <c r="K1143">
        <v>2400</v>
      </c>
      <c r="L1143">
        <v>0</v>
      </c>
      <c r="M1143">
        <v>0</v>
      </c>
      <c r="N1143">
        <v>2400</v>
      </c>
    </row>
    <row r="1144" spans="1:14" x14ac:dyDescent="0.25">
      <c r="A1144">
        <v>416.43331499999999</v>
      </c>
      <c r="B1144" s="1">
        <f>DATE(2011,6,21) + TIME(10,23,58)</f>
        <v>40715.433310185188</v>
      </c>
      <c r="C1144">
        <v>1339.5732422000001</v>
      </c>
      <c r="D1144">
        <v>1337.2270507999999</v>
      </c>
      <c r="E1144">
        <v>1326.2478027</v>
      </c>
      <c r="F1144">
        <v>1324.2894286999999</v>
      </c>
      <c r="G1144">
        <v>80</v>
      </c>
      <c r="H1144">
        <v>79.963134765999996</v>
      </c>
      <c r="I1144">
        <v>50</v>
      </c>
      <c r="J1144">
        <v>46.605125426999997</v>
      </c>
      <c r="K1144">
        <v>2400</v>
      </c>
      <c r="L1144">
        <v>0</v>
      </c>
      <c r="M1144">
        <v>0</v>
      </c>
      <c r="N1144">
        <v>2400</v>
      </c>
    </row>
    <row r="1145" spans="1:14" x14ac:dyDescent="0.25">
      <c r="A1145">
        <v>416.91240900000003</v>
      </c>
      <c r="B1145" s="1">
        <f>DATE(2011,6,21) + TIME(21,53,52)</f>
        <v>40715.912407407406</v>
      </c>
      <c r="C1145">
        <v>1339.5694579999999</v>
      </c>
      <c r="D1145">
        <v>1337.2253418</v>
      </c>
      <c r="E1145">
        <v>1326.2393798999999</v>
      </c>
      <c r="F1145">
        <v>1324.2770995999999</v>
      </c>
      <c r="G1145">
        <v>80</v>
      </c>
      <c r="H1145">
        <v>79.963119507000002</v>
      </c>
      <c r="I1145">
        <v>50</v>
      </c>
      <c r="J1145">
        <v>46.583114623999997</v>
      </c>
      <c r="K1145">
        <v>2400</v>
      </c>
      <c r="L1145">
        <v>0</v>
      </c>
      <c r="M1145">
        <v>0</v>
      </c>
      <c r="N1145">
        <v>2400</v>
      </c>
    </row>
    <row r="1146" spans="1:14" x14ac:dyDescent="0.25">
      <c r="A1146">
        <v>417.391502</v>
      </c>
      <c r="B1146" s="1">
        <f>DATE(2011,6,22) + TIME(9,23,45)</f>
        <v>40716.391493055555</v>
      </c>
      <c r="C1146">
        <v>1339.5657959</v>
      </c>
      <c r="D1146">
        <v>1337.2236327999999</v>
      </c>
      <c r="E1146">
        <v>1326.230957</v>
      </c>
      <c r="F1146">
        <v>1324.2650146000001</v>
      </c>
      <c r="G1146">
        <v>80</v>
      </c>
      <c r="H1146">
        <v>79.963104247999993</v>
      </c>
      <c r="I1146">
        <v>50</v>
      </c>
      <c r="J1146">
        <v>46.561820984000001</v>
      </c>
      <c r="K1146">
        <v>2400</v>
      </c>
      <c r="L1146">
        <v>0</v>
      </c>
      <c r="M1146">
        <v>0</v>
      </c>
      <c r="N1146">
        <v>2400</v>
      </c>
    </row>
    <row r="1147" spans="1:14" x14ac:dyDescent="0.25">
      <c r="A1147">
        <v>418.34969000000001</v>
      </c>
      <c r="B1147" s="1">
        <f>DATE(2011,6,23) + TIME(8,23,33)</f>
        <v>40717.349687499998</v>
      </c>
      <c r="C1147">
        <v>1339.5621338000001</v>
      </c>
      <c r="D1147">
        <v>1337.2220459</v>
      </c>
      <c r="E1147">
        <v>1326.2219238</v>
      </c>
      <c r="F1147">
        <v>1324.2517089999999</v>
      </c>
      <c r="G1147">
        <v>80</v>
      </c>
      <c r="H1147">
        <v>79.963104247999993</v>
      </c>
      <c r="I1147">
        <v>50</v>
      </c>
      <c r="J1147">
        <v>46.531124114999997</v>
      </c>
      <c r="K1147">
        <v>2400</v>
      </c>
      <c r="L1147">
        <v>0</v>
      </c>
      <c r="M1147">
        <v>0</v>
      </c>
      <c r="N1147">
        <v>2400</v>
      </c>
    </row>
    <row r="1148" spans="1:14" x14ac:dyDescent="0.25">
      <c r="A1148">
        <v>419.31034499999998</v>
      </c>
      <c r="B1148" s="1">
        <f>DATE(2011,6,24) + TIME(7,26,53)</f>
        <v>40718.310335648152</v>
      </c>
      <c r="C1148">
        <v>1339.5549315999999</v>
      </c>
      <c r="D1148">
        <v>1337.2186279</v>
      </c>
      <c r="E1148">
        <v>1326.2070312000001</v>
      </c>
      <c r="F1148">
        <v>1324.230957</v>
      </c>
      <c r="G1148">
        <v>80</v>
      </c>
      <c r="H1148">
        <v>79.963088988999999</v>
      </c>
      <c r="I1148">
        <v>50</v>
      </c>
      <c r="J1148">
        <v>46.495719909999998</v>
      </c>
      <c r="K1148">
        <v>2400</v>
      </c>
      <c r="L1148">
        <v>0</v>
      </c>
      <c r="M1148">
        <v>0</v>
      </c>
      <c r="N1148">
        <v>2400</v>
      </c>
    </row>
    <row r="1149" spans="1:14" x14ac:dyDescent="0.25">
      <c r="A1149">
        <v>420.28408999999999</v>
      </c>
      <c r="B1149" s="1">
        <f>DATE(2011,6,25) + TIME(6,49,5)</f>
        <v>40719.284085648149</v>
      </c>
      <c r="C1149">
        <v>1339.5477295000001</v>
      </c>
      <c r="D1149">
        <v>1337.2154541</v>
      </c>
      <c r="E1149">
        <v>1326.1914062000001</v>
      </c>
      <c r="F1149">
        <v>1324.2087402</v>
      </c>
      <c r="G1149">
        <v>80</v>
      </c>
      <c r="H1149">
        <v>79.963066100999995</v>
      </c>
      <c r="I1149">
        <v>50</v>
      </c>
      <c r="J1149">
        <v>46.457992554</v>
      </c>
      <c r="K1149">
        <v>2400</v>
      </c>
      <c r="L1149">
        <v>0</v>
      </c>
      <c r="M1149">
        <v>0</v>
      </c>
      <c r="N1149">
        <v>2400</v>
      </c>
    </row>
    <row r="1150" spans="1:14" x14ac:dyDescent="0.25">
      <c r="A1150">
        <v>421.27565600000003</v>
      </c>
      <c r="B1150" s="1">
        <f>DATE(2011,6,26) + TIME(6,36,56)</f>
        <v>40720.275648148148</v>
      </c>
      <c r="C1150">
        <v>1339.5406493999999</v>
      </c>
      <c r="D1150">
        <v>1337.2121582</v>
      </c>
      <c r="E1150">
        <v>1326.175293</v>
      </c>
      <c r="F1150">
        <v>1324.1856689000001</v>
      </c>
      <c r="G1150">
        <v>80</v>
      </c>
      <c r="H1150">
        <v>79.963050842000001</v>
      </c>
      <c r="I1150">
        <v>50</v>
      </c>
      <c r="J1150">
        <v>46.418952941999997</v>
      </c>
      <c r="K1150">
        <v>2400</v>
      </c>
      <c r="L1150">
        <v>0</v>
      </c>
      <c r="M1150">
        <v>0</v>
      </c>
      <c r="N1150">
        <v>2400</v>
      </c>
    </row>
    <row r="1151" spans="1:14" x14ac:dyDescent="0.25">
      <c r="A1151">
        <v>422.28178300000002</v>
      </c>
      <c r="B1151" s="1">
        <f>DATE(2011,6,27) + TIME(6,45,46)</f>
        <v>40721.281782407408</v>
      </c>
      <c r="C1151">
        <v>1339.5335693</v>
      </c>
      <c r="D1151">
        <v>1337.2088623</v>
      </c>
      <c r="E1151">
        <v>1326.1586914</v>
      </c>
      <c r="F1151">
        <v>1324.1618652</v>
      </c>
      <c r="G1151">
        <v>80</v>
      </c>
      <c r="H1151">
        <v>79.963027953999998</v>
      </c>
      <c r="I1151">
        <v>50</v>
      </c>
      <c r="J1151">
        <v>46.379123688</v>
      </c>
      <c r="K1151">
        <v>2400</v>
      </c>
      <c r="L1151">
        <v>0</v>
      </c>
      <c r="M1151">
        <v>0</v>
      </c>
      <c r="N1151">
        <v>2400</v>
      </c>
    </row>
    <row r="1152" spans="1:14" x14ac:dyDescent="0.25">
      <c r="A1152">
        <v>423.30630400000001</v>
      </c>
      <c r="B1152" s="1">
        <f>DATE(2011,6,28) + TIME(7,21,4)</f>
        <v>40722.306296296294</v>
      </c>
      <c r="C1152">
        <v>1339.5266113</v>
      </c>
      <c r="D1152">
        <v>1337.2055664</v>
      </c>
      <c r="E1152">
        <v>1326.1417236</v>
      </c>
      <c r="F1152">
        <v>1324.1375731999999</v>
      </c>
      <c r="G1152">
        <v>80</v>
      </c>
      <c r="H1152">
        <v>79.963005065999994</v>
      </c>
      <c r="I1152">
        <v>50</v>
      </c>
      <c r="J1152">
        <v>46.338706969999997</v>
      </c>
      <c r="K1152">
        <v>2400</v>
      </c>
      <c r="L1152">
        <v>0</v>
      </c>
      <c r="M1152">
        <v>0</v>
      </c>
      <c r="N1152">
        <v>2400</v>
      </c>
    </row>
    <row r="1153" spans="1:14" x14ac:dyDescent="0.25">
      <c r="A1153">
        <v>424.35481499999997</v>
      </c>
      <c r="B1153" s="1">
        <f>DATE(2011,6,29) + TIME(8,30,55)</f>
        <v>40723.354803240742</v>
      </c>
      <c r="C1153">
        <v>1339.5195312000001</v>
      </c>
      <c r="D1153">
        <v>1337.2022704999999</v>
      </c>
      <c r="E1153">
        <v>1326.1245117000001</v>
      </c>
      <c r="F1153">
        <v>1324.112793</v>
      </c>
      <c r="G1153">
        <v>80</v>
      </c>
      <c r="H1153">
        <v>79.962989807</v>
      </c>
      <c r="I1153">
        <v>50</v>
      </c>
      <c r="J1153">
        <v>46.297676086000003</v>
      </c>
      <c r="K1153">
        <v>2400</v>
      </c>
      <c r="L1153">
        <v>0</v>
      </c>
      <c r="M1153">
        <v>0</v>
      </c>
      <c r="N1153">
        <v>2400</v>
      </c>
    </row>
    <row r="1154" spans="1:14" x14ac:dyDescent="0.25">
      <c r="A1154">
        <v>425.43289700000003</v>
      </c>
      <c r="B1154" s="1">
        <f>DATE(2011,6,30) + TIME(10,23,22)</f>
        <v>40724.432893518519</v>
      </c>
      <c r="C1154">
        <v>1339.5124512</v>
      </c>
      <c r="D1154">
        <v>1337.1988524999999</v>
      </c>
      <c r="E1154">
        <v>1326.1068115</v>
      </c>
      <c r="F1154">
        <v>1324.0874022999999</v>
      </c>
      <c r="G1154">
        <v>80</v>
      </c>
      <c r="H1154">
        <v>79.962974548000005</v>
      </c>
      <c r="I1154">
        <v>50</v>
      </c>
      <c r="J1154">
        <v>46.255905151</v>
      </c>
      <c r="K1154">
        <v>2400</v>
      </c>
      <c r="L1154">
        <v>0</v>
      </c>
      <c r="M1154">
        <v>0</v>
      </c>
      <c r="N1154">
        <v>2400</v>
      </c>
    </row>
    <row r="1155" spans="1:14" x14ac:dyDescent="0.25">
      <c r="A1155">
        <v>426</v>
      </c>
      <c r="B1155" s="1">
        <f>DATE(2011,7,1) + TIME(0,0,0)</f>
        <v>40725</v>
      </c>
      <c r="C1155">
        <v>1339.5053711</v>
      </c>
      <c r="D1155">
        <v>1337.1954346</v>
      </c>
      <c r="E1155">
        <v>1326.0897216999999</v>
      </c>
      <c r="F1155">
        <v>1324.0633545000001</v>
      </c>
      <c r="G1155">
        <v>80</v>
      </c>
      <c r="H1155">
        <v>79.962951660000002</v>
      </c>
      <c r="I1155">
        <v>50</v>
      </c>
      <c r="J1155">
        <v>46.225772857999999</v>
      </c>
      <c r="K1155">
        <v>2400</v>
      </c>
      <c r="L1155">
        <v>0</v>
      </c>
      <c r="M1155">
        <v>0</v>
      </c>
      <c r="N1155">
        <v>2400</v>
      </c>
    </row>
    <row r="1156" spans="1:14" x14ac:dyDescent="0.25">
      <c r="A1156">
        <v>427.11385799999999</v>
      </c>
      <c r="B1156" s="1">
        <f>DATE(2011,7,2) + TIME(2,43,57)</f>
        <v>40726.113854166666</v>
      </c>
      <c r="C1156">
        <v>1339.5017089999999</v>
      </c>
      <c r="D1156">
        <v>1337.1937256000001</v>
      </c>
      <c r="E1156">
        <v>1326.0778809000001</v>
      </c>
      <c r="F1156">
        <v>1324.0454102000001</v>
      </c>
      <c r="G1156">
        <v>80</v>
      </c>
      <c r="H1156">
        <v>79.962944031000006</v>
      </c>
      <c r="I1156">
        <v>50</v>
      </c>
      <c r="J1156">
        <v>46.187595367</v>
      </c>
      <c r="K1156">
        <v>2400</v>
      </c>
      <c r="L1156">
        <v>0</v>
      </c>
      <c r="M1156">
        <v>0</v>
      </c>
      <c r="N1156">
        <v>2400</v>
      </c>
    </row>
    <row r="1157" spans="1:14" x14ac:dyDescent="0.25">
      <c r="A1157">
        <v>428.28403200000002</v>
      </c>
      <c r="B1157" s="1">
        <f>DATE(2011,7,3) + TIME(6,49,0)</f>
        <v>40727.28402777778</v>
      </c>
      <c r="C1157">
        <v>1339.4946289</v>
      </c>
      <c r="D1157">
        <v>1337.1903076000001</v>
      </c>
      <c r="E1157">
        <v>1326.0599365</v>
      </c>
      <c r="F1157">
        <v>1324.0196533000001</v>
      </c>
      <c r="G1157">
        <v>80</v>
      </c>
      <c r="H1157">
        <v>79.962936400999993</v>
      </c>
      <c r="I1157">
        <v>50</v>
      </c>
      <c r="J1157">
        <v>46.145587921000001</v>
      </c>
      <c r="K1157">
        <v>2400</v>
      </c>
      <c r="L1157">
        <v>0</v>
      </c>
      <c r="M1157">
        <v>0</v>
      </c>
      <c r="N1157">
        <v>2400</v>
      </c>
    </row>
    <row r="1158" spans="1:14" x14ac:dyDescent="0.25">
      <c r="A1158">
        <v>429.48108999999999</v>
      </c>
      <c r="B1158" s="1">
        <f>DATE(2011,7,4) + TIME(11,32,46)</f>
        <v>40728.481087962966</v>
      </c>
      <c r="C1158">
        <v>1339.4871826000001</v>
      </c>
      <c r="D1158">
        <v>1337.1867675999999</v>
      </c>
      <c r="E1158">
        <v>1326.0408935999999</v>
      </c>
      <c r="F1158">
        <v>1323.9921875</v>
      </c>
      <c r="G1158">
        <v>80</v>
      </c>
      <c r="H1158">
        <v>79.962921143000003</v>
      </c>
      <c r="I1158">
        <v>50</v>
      </c>
      <c r="J1158">
        <v>46.101230620999999</v>
      </c>
      <c r="K1158">
        <v>2400</v>
      </c>
      <c r="L1158">
        <v>0</v>
      </c>
      <c r="M1158">
        <v>0</v>
      </c>
      <c r="N1158">
        <v>2400</v>
      </c>
    </row>
    <row r="1159" spans="1:14" x14ac:dyDescent="0.25">
      <c r="A1159">
        <v>430.08892100000003</v>
      </c>
      <c r="B1159" s="1">
        <f>DATE(2011,7,5) + TIME(2,8,2)</f>
        <v>40729.088912037034</v>
      </c>
      <c r="C1159">
        <v>1339.4798584</v>
      </c>
      <c r="D1159">
        <v>1337.1832274999999</v>
      </c>
      <c r="E1159">
        <v>1326.0222168</v>
      </c>
      <c r="F1159">
        <v>1323.9658202999999</v>
      </c>
      <c r="G1159">
        <v>80</v>
      </c>
      <c r="H1159">
        <v>79.962898253999995</v>
      </c>
      <c r="I1159">
        <v>50</v>
      </c>
      <c r="J1159">
        <v>46.068778991999999</v>
      </c>
      <c r="K1159">
        <v>2400</v>
      </c>
      <c r="L1159">
        <v>0</v>
      </c>
      <c r="M1159">
        <v>0</v>
      </c>
      <c r="N1159">
        <v>2400</v>
      </c>
    </row>
    <row r="1160" spans="1:14" x14ac:dyDescent="0.25">
      <c r="A1160">
        <v>430.696752</v>
      </c>
      <c r="B1160" s="1">
        <f>DATE(2011,7,5) + TIME(16,43,19)</f>
        <v>40729.696747685186</v>
      </c>
      <c r="C1160">
        <v>1339.4761963000001</v>
      </c>
      <c r="D1160">
        <v>1337.1813964999999</v>
      </c>
      <c r="E1160">
        <v>1326.010376</v>
      </c>
      <c r="F1160">
        <v>1323.9482422000001</v>
      </c>
      <c r="G1160">
        <v>80</v>
      </c>
      <c r="H1160">
        <v>79.962882996000005</v>
      </c>
      <c r="I1160">
        <v>50</v>
      </c>
      <c r="J1160">
        <v>46.040134430000002</v>
      </c>
      <c r="K1160">
        <v>2400</v>
      </c>
      <c r="L1160">
        <v>0</v>
      </c>
      <c r="M1160">
        <v>0</v>
      </c>
      <c r="N1160">
        <v>2400</v>
      </c>
    </row>
    <row r="1161" spans="1:14" x14ac:dyDescent="0.25">
      <c r="A1161">
        <v>431.30458299999998</v>
      </c>
      <c r="B1161" s="1">
        <f>DATE(2011,7,6) + TIME(7,18,35)</f>
        <v>40730.304571759261</v>
      </c>
      <c r="C1161">
        <v>1339.4725341999999</v>
      </c>
      <c r="D1161">
        <v>1337.1796875</v>
      </c>
      <c r="E1161">
        <v>1325.9992675999999</v>
      </c>
      <c r="F1161">
        <v>1323.9317627</v>
      </c>
      <c r="G1161">
        <v>80</v>
      </c>
      <c r="H1161">
        <v>79.962875366000006</v>
      </c>
      <c r="I1161">
        <v>50</v>
      </c>
      <c r="J1161">
        <v>46.013713836999997</v>
      </c>
      <c r="K1161">
        <v>2400</v>
      </c>
      <c r="L1161">
        <v>0</v>
      </c>
      <c r="M1161">
        <v>0</v>
      </c>
      <c r="N1161">
        <v>2400</v>
      </c>
    </row>
    <row r="1162" spans="1:14" x14ac:dyDescent="0.25">
      <c r="A1162">
        <v>431.91241400000001</v>
      </c>
      <c r="B1162" s="1">
        <f>DATE(2011,7,6) + TIME(21,53,52)</f>
        <v>40730.912407407406</v>
      </c>
      <c r="C1162">
        <v>1339.4689940999999</v>
      </c>
      <c r="D1162">
        <v>1337.1778564000001</v>
      </c>
      <c r="E1162">
        <v>1325.9886475000001</v>
      </c>
      <c r="F1162">
        <v>1323.9161377</v>
      </c>
      <c r="G1162">
        <v>80</v>
      </c>
      <c r="H1162">
        <v>79.962867736999996</v>
      </c>
      <c r="I1162">
        <v>50</v>
      </c>
      <c r="J1162">
        <v>45.988605499000002</v>
      </c>
      <c r="K1162">
        <v>2400</v>
      </c>
      <c r="L1162">
        <v>0</v>
      </c>
      <c r="M1162">
        <v>0</v>
      </c>
      <c r="N1162">
        <v>2400</v>
      </c>
    </row>
    <row r="1163" spans="1:14" x14ac:dyDescent="0.25">
      <c r="A1163">
        <v>433.12807600000002</v>
      </c>
      <c r="B1163" s="1">
        <f>DATE(2011,7,8) + TIME(3,4,25)</f>
        <v>40732.128067129626</v>
      </c>
      <c r="C1163">
        <v>1339.4654541</v>
      </c>
      <c r="D1163">
        <v>1337.1761475000001</v>
      </c>
      <c r="E1163">
        <v>1325.9772949000001</v>
      </c>
      <c r="F1163">
        <v>1323.8991699000001</v>
      </c>
      <c r="G1163">
        <v>80</v>
      </c>
      <c r="H1163">
        <v>79.962882996000005</v>
      </c>
      <c r="I1163">
        <v>50</v>
      </c>
      <c r="J1163">
        <v>45.954368590999998</v>
      </c>
      <c r="K1163">
        <v>2400</v>
      </c>
      <c r="L1163">
        <v>0</v>
      </c>
      <c r="M1163">
        <v>0</v>
      </c>
      <c r="N1163">
        <v>2400</v>
      </c>
    </row>
    <row r="1164" spans="1:14" x14ac:dyDescent="0.25">
      <c r="A1164">
        <v>434.34654</v>
      </c>
      <c r="B1164" s="1">
        <f>DATE(2011,7,9) + TIME(8,19,1)</f>
        <v>40733.346539351849</v>
      </c>
      <c r="C1164">
        <v>1339.458374</v>
      </c>
      <c r="D1164">
        <v>1337.1726074000001</v>
      </c>
      <c r="E1164">
        <v>1325.9592285000001</v>
      </c>
      <c r="F1164">
        <v>1323.8731689000001</v>
      </c>
      <c r="G1164">
        <v>80</v>
      </c>
      <c r="H1164">
        <v>79.962875366000006</v>
      </c>
      <c r="I1164">
        <v>50</v>
      </c>
      <c r="J1164">
        <v>45.912860870000003</v>
      </c>
      <c r="K1164">
        <v>2400</v>
      </c>
      <c r="L1164">
        <v>0</v>
      </c>
      <c r="M1164">
        <v>0</v>
      </c>
      <c r="N1164">
        <v>2400</v>
      </c>
    </row>
    <row r="1165" spans="1:14" x14ac:dyDescent="0.25">
      <c r="A1165">
        <v>435.58205400000003</v>
      </c>
      <c r="B1165" s="1">
        <f>DATE(2011,7,10) + TIME(13,58,9)</f>
        <v>40734.582048611112</v>
      </c>
      <c r="C1165">
        <v>1339.4515381000001</v>
      </c>
      <c r="D1165">
        <v>1337.1691894999999</v>
      </c>
      <c r="E1165">
        <v>1325.9398193</v>
      </c>
      <c r="F1165">
        <v>1323.8450928</v>
      </c>
      <c r="G1165">
        <v>80</v>
      </c>
      <c r="H1165">
        <v>79.962867736999996</v>
      </c>
      <c r="I1165">
        <v>50</v>
      </c>
      <c r="J1165">
        <v>45.868175506999997</v>
      </c>
      <c r="K1165">
        <v>2400</v>
      </c>
      <c r="L1165">
        <v>0</v>
      </c>
      <c r="M1165">
        <v>0</v>
      </c>
      <c r="N1165">
        <v>2400</v>
      </c>
    </row>
    <row r="1166" spans="1:14" x14ac:dyDescent="0.25">
      <c r="A1166">
        <v>436.84179699999999</v>
      </c>
      <c r="B1166" s="1">
        <f>DATE(2011,7,11) + TIME(20,12,11)</f>
        <v>40735.841793981483</v>
      </c>
      <c r="C1166">
        <v>1339.4445800999999</v>
      </c>
      <c r="D1166">
        <v>1337.1657714999999</v>
      </c>
      <c r="E1166">
        <v>1325.9197998</v>
      </c>
      <c r="F1166">
        <v>1323.815918</v>
      </c>
      <c r="G1166">
        <v>80</v>
      </c>
      <c r="H1166">
        <v>79.962867736999996</v>
      </c>
      <c r="I1166">
        <v>50</v>
      </c>
      <c r="J1166">
        <v>45.821735382</v>
      </c>
      <c r="K1166">
        <v>2400</v>
      </c>
      <c r="L1166">
        <v>0</v>
      </c>
      <c r="M1166">
        <v>0</v>
      </c>
      <c r="N1166">
        <v>2400</v>
      </c>
    </row>
    <row r="1167" spans="1:14" x14ac:dyDescent="0.25">
      <c r="A1167">
        <v>438.13329700000003</v>
      </c>
      <c r="B1167" s="1">
        <f>DATE(2011,7,13) + TIME(3,11,56)</f>
        <v>40737.133287037039</v>
      </c>
      <c r="C1167">
        <v>1339.4377440999999</v>
      </c>
      <c r="D1167">
        <v>1337.1622314000001</v>
      </c>
      <c r="E1167">
        <v>1325.8992920000001</v>
      </c>
      <c r="F1167">
        <v>1323.7858887</v>
      </c>
      <c r="G1167">
        <v>80</v>
      </c>
      <c r="H1167">
        <v>79.962860106999997</v>
      </c>
      <c r="I1167">
        <v>50</v>
      </c>
      <c r="J1167">
        <v>45.773948668999999</v>
      </c>
      <c r="K1167">
        <v>2400</v>
      </c>
      <c r="L1167">
        <v>0</v>
      </c>
      <c r="M1167">
        <v>0</v>
      </c>
      <c r="N1167">
        <v>2400</v>
      </c>
    </row>
    <row r="1168" spans="1:14" x14ac:dyDescent="0.25">
      <c r="A1168">
        <v>439.46538299999997</v>
      </c>
      <c r="B1168" s="1">
        <f>DATE(2011,7,14) + TIME(11,10,9)</f>
        <v>40738.465381944443</v>
      </c>
      <c r="C1168">
        <v>1339.4307861</v>
      </c>
      <c r="D1168">
        <v>1337.1588135</v>
      </c>
      <c r="E1168">
        <v>1325.878418</v>
      </c>
      <c r="F1168">
        <v>1323.7551269999999</v>
      </c>
      <c r="G1168">
        <v>80</v>
      </c>
      <c r="H1168">
        <v>79.962860106999997</v>
      </c>
      <c r="I1168">
        <v>50</v>
      </c>
      <c r="J1168">
        <v>45.724781036000003</v>
      </c>
      <c r="K1168">
        <v>2400</v>
      </c>
      <c r="L1168">
        <v>0</v>
      </c>
      <c r="M1168">
        <v>0</v>
      </c>
      <c r="N1168">
        <v>2400</v>
      </c>
    </row>
    <row r="1169" spans="1:14" x14ac:dyDescent="0.25">
      <c r="A1169">
        <v>440.826078</v>
      </c>
      <c r="B1169" s="1">
        <f>DATE(2011,7,15) + TIME(19,49,33)</f>
        <v>40739.82607638889</v>
      </c>
      <c r="C1169">
        <v>1339.4237060999999</v>
      </c>
      <c r="D1169">
        <v>1337.1551514</v>
      </c>
      <c r="E1169">
        <v>1325.8569336</v>
      </c>
      <c r="F1169">
        <v>1323.7236327999999</v>
      </c>
      <c r="G1169">
        <v>80</v>
      </c>
      <c r="H1169">
        <v>79.962852478000002</v>
      </c>
      <c r="I1169">
        <v>50</v>
      </c>
      <c r="J1169">
        <v>45.674293517999999</v>
      </c>
      <c r="K1169">
        <v>2400</v>
      </c>
      <c r="L1169">
        <v>0</v>
      </c>
      <c r="M1169">
        <v>0</v>
      </c>
      <c r="N1169">
        <v>2400</v>
      </c>
    </row>
    <row r="1170" spans="1:14" x14ac:dyDescent="0.25">
      <c r="A1170">
        <v>442.20656500000001</v>
      </c>
      <c r="B1170" s="1">
        <f>DATE(2011,7,17) + TIME(4,57,27)</f>
        <v>40741.206562500003</v>
      </c>
      <c r="C1170">
        <v>1339.4167480000001</v>
      </c>
      <c r="D1170">
        <v>1337.1516113</v>
      </c>
      <c r="E1170">
        <v>1325.8352050999999</v>
      </c>
      <c r="F1170">
        <v>1323.6914062000001</v>
      </c>
      <c r="G1170">
        <v>80</v>
      </c>
      <c r="H1170">
        <v>79.962852478000002</v>
      </c>
      <c r="I1170">
        <v>50</v>
      </c>
      <c r="J1170">
        <v>45.622726440000001</v>
      </c>
      <c r="K1170">
        <v>2400</v>
      </c>
      <c r="L1170">
        <v>0</v>
      </c>
      <c r="M1170">
        <v>0</v>
      </c>
      <c r="N1170">
        <v>2400</v>
      </c>
    </row>
    <row r="1171" spans="1:14" x14ac:dyDescent="0.25">
      <c r="A1171">
        <v>443.595258</v>
      </c>
      <c r="B1171" s="1">
        <f>DATE(2011,7,18) + TIME(14,17,10)</f>
        <v>40742.595254629632</v>
      </c>
      <c r="C1171">
        <v>1339.409668</v>
      </c>
      <c r="D1171">
        <v>1337.1479492000001</v>
      </c>
      <c r="E1171">
        <v>1325.8131103999999</v>
      </c>
      <c r="F1171">
        <v>1323.6588135</v>
      </c>
      <c r="G1171">
        <v>80</v>
      </c>
      <c r="H1171">
        <v>79.962852478000002</v>
      </c>
      <c r="I1171">
        <v>50</v>
      </c>
      <c r="J1171">
        <v>45.570415496999999</v>
      </c>
      <c r="K1171">
        <v>2400</v>
      </c>
      <c r="L1171">
        <v>0</v>
      </c>
      <c r="M1171">
        <v>0</v>
      </c>
      <c r="N1171">
        <v>2400</v>
      </c>
    </row>
    <row r="1172" spans="1:14" x14ac:dyDescent="0.25">
      <c r="A1172">
        <v>444.99723399999999</v>
      </c>
      <c r="B1172" s="1">
        <f>DATE(2011,7,19) + TIME(23,56,1)</f>
        <v>40743.997233796297</v>
      </c>
      <c r="C1172">
        <v>1339.402832</v>
      </c>
      <c r="D1172">
        <v>1337.1444091999999</v>
      </c>
      <c r="E1172">
        <v>1325.7911377</v>
      </c>
      <c r="F1172">
        <v>1323.6260986</v>
      </c>
      <c r="G1172">
        <v>80</v>
      </c>
      <c r="H1172">
        <v>79.962852478000002</v>
      </c>
      <c r="I1172">
        <v>50</v>
      </c>
      <c r="J1172">
        <v>45.517532349</v>
      </c>
      <c r="K1172">
        <v>2400</v>
      </c>
      <c r="L1172">
        <v>0</v>
      </c>
      <c r="M1172">
        <v>0</v>
      </c>
      <c r="N1172">
        <v>2400</v>
      </c>
    </row>
    <row r="1173" spans="1:14" x14ac:dyDescent="0.25">
      <c r="A1173">
        <v>446.41510699999998</v>
      </c>
      <c r="B1173" s="1">
        <f>DATE(2011,7,21) + TIME(9,57,45)</f>
        <v>40745.41510416667</v>
      </c>
      <c r="C1173">
        <v>1339.3959961</v>
      </c>
      <c r="D1173">
        <v>1337.1407471</v>
      </c>
      <c r="E1173">
        <v>1325.769043</v>
      </c>
      <c r="F1173">
        <v>1323.5931396000001</v>
      </c>
      <c r="G1173">
        <v>80</v>
      </c>
      <c r="H1173">
        <v>79.962852478000002</v>
      </c>
      <c r="I1173">
        <v>50</v>
      </c>
      <c r="J1173">
        <v>45.464065552000001</v>
      </c>
      <c r="K1173">
        <v>2400</v>
      </c>
      <c r="L1173">
        <v>0</v>
      </c>
      <c r="M1173">
        <v>0</v>
      </c>
      <c r="N1173">
        <v>2400</v>
      </c>
    </row>
    <row r="1174" spans="1:14" x14ac:dyDescent="0.25">
      <c r="A1174">
        <v>447.83796599999999</v>
      </c>
      <c r="B1174" s="1">
        <f>DATE(2011,7,22) + TIME(20,6,40)</f>
        <v>40746.837962962964</v>
      </c>
      <c r="C1174">
        <v>1339.3891602000001</v>
      </c>
      <c r="D1174">
        <v>1337.137207</v>
      </c>
      <c r="E1174">
        <v>1325.7469481999999</v>
      </c>
      <c r="F1174">
        <v>1323.5600586</v>
      </c>
      <c r="G1174">
        <v>80</v>
      </c>
      <c r="H1174">
        <v>79.962852478000002</v>
      </c>
      <c r="I1174">
        <v>50</v>
      </c>
      <c r="J1174">
        <v>45.410160064999999</v>
      </c>
      <c r="K1174">
        <v>2400</v>
      </c>
      <c r="L1174">
        <v>0</v>
      </c>
      <c r="M1174">
        <v>0</v>
      </c>
      <c r="N1174">
        <v>2400</v>
      </c>
    </row>
    <row r="1175" spans="1:14" x14ac:dyDescent="0.25">
      <c r="A1175">
        <v>449.278369</v>
      </c>
      <c r="B1175" s="1">
        <f>DATE(2011,7,24) + TIME(6,40,51)</f>
        <v>40748.278368055559</v>
      </c>
      <c r="C1175">
        <v>1339.3824463000001</v>
      </c>
      <c r="D1175">
        <v>1337.1336670000001</v>
      </c>
      <c r="E1175">
        <v>1325.7249756000001</v>
      </c>
      <c r="F1175">
        <v>1323.5269774999999</v>
      </c>
      <c r="G1175">
        <v>80</v>
      </c>
      <c r="H1175">
        <v>79.962860106999997</v>
      </c>
      <c r="I1175">
        <v>50</v>
      </c>
      <c r="J1175">
        <v>45.355869292999998</v>
      </c>
      <c r="K1175">
        <v>2400</v>
      </c>
      <c r="L1175">
        <v>0</v>
      </c>
      <c r="M1175">
        <v>0</v>
      </c>
      <c r="N1175">
        <v>2400</v>
      </c>
    </row>
    <row r="1176" spans="1:14" x14ac:dyDescent="0.25">
      <c r="A1176">
        <v>450.73071800000002</v>
      </c>
      <c r="B1176" s="1">
        <f>DATE(2011,7,25) + TIME(17,32,14)</f>
        <v>40749.730717592596</v>
      </c>
      <c r="C1176">
        <v>1339.3757324000001</v>
      </c>
      <c r="D1176">
        <v>1337.1301269999999</v>
      </c>
      <c r="E1176">
        <v>1325.7030029</v>
      </c>
      <c r="F1176">
        <v>1323.4937743999999</v>
      </c>
      <c r="G1176">
        <v>80</v>
      </c>
      <c r="H1176">
        <v>79.962867736999996</v>
      </c>
      <c r="I1176">
        <v>50</v>
      </c>
      <c r="J1176">
        <v>45.301231383999998</v>
      </c>
      <c r="K1176">
        <v>2400</v>
      </c>
      <c r="L1176">
        <v>0</v>
      </c>
      <c r="M1176">
        <v>0</v>
      </c>
      <c r="N1176">
        <v>2400</v>
      </c>
    </row>
    <row r="1177" spans="1:14" x14ac:dyDescent="0.25">
      <c r="A1177">
        <v>452.19554799999997</v>
      </c>
      <c r="B1177" s="1">
        <f>DATE(2011,7,27) + TIME(4,41,35)</f>
        <v>40751.195543981485</v>
      </c>
      <c r="C1177">
        <v>1339.3691406</v>
      </c>
      <c r="D1177">
        <v>1337.1265868999999</v>
      </c>
      <c r="E1177">
        <v>1325.6810303</v>
      </c>
      <c r="F1177">
        <v>1323.4604492000001</v>
      </c>
      <c r="G1177">
        <v>80</v>
      </c>
      <c r="H1177">
        <v>79.962867736999996</v>
      </c>
      <c r="I1177">
        <v>50</v>
      </c>
      <c r="J1177">
        <v>45.246433258000003</v>
      </c>
      <c r="K1177">
        <v>2400</v>
      </c>
      <c r="L1177">
        <v>0</v>
      </c>
      <c r="M1177">
        <v>0</v>
      </c>
      <c r="N1177">
        <v>2400</v>
      </c>
    </row>
    <row r="1178" spans="1:14" x14ac:dyDescent="0.25">
      <c r="A1178">
        <v>453.675433</v>
      </c>
      <c r="B1178" s="1">
        <f>DATE(2011,7,28) + TIME(16,12,37)</f>
        <v>40752.675428240742</v>
      </c>
      <c r="C1178">
        <v>1339.3626709</v>
      </c>
      <c r="D1178">
        <v>1337.1231689000001</v>
      </c>
      <c r="E1178">
        <v>1325.6591797000001</v>
      </c>
      <c r="F1178">
        <v>1323.427124</v>
      </c>
      <c r="G1178">
        <v>80</v>
      </c>
      <c r="H1178">
        <v>79.962875366000006</v>
      </c>
      <c r="I1178">
        <v>50</v>
      </c>
      <c r="J1178">
        <v>45.191665649000001</v>
      </c>
      <c r="K1178">
        <v>2400</v>
      </c>
      <c r="L1178">
        <v>0</v>
      </c>
      <c r="M1178">
        <v>0</v>
      </c>
      <c r="N1178">
        <v>2400</v>
      </c>
    </row>
    <row r="1179" spans="1:14" x14ac:dyDescent="0.25">
      <c r="A1179">
        <v>455.16326800000002</v>
      </c>
      <c r="B1179" s="1">
        <f>DATE(2011,7,30) + TIME(3,55,6)</f>
        <v>40754.163263888891</v>
      </c>
      <c r="C1179">
        <v>1339.3562012</v>
      </c>
      <c r="D1179">
        <v>1337.1196289</v>
      </c>
      <c r="E1179">
        <v>1325.6373291</v>
      </c>
      <c r="F1179">
        <v>1323.3936768000001</v>
      </c>
      <c r="G1179">
        <v>80</v>
      </c>
      <c r="H1179">
        <v>79.962882996000005</v>
      </c>
      <c r="I1179">
        <v>50</v>
      </c>
      <c r="J1179">
        <v>45.137294769</v>
      </c>
      <c r="K1179">
        <v>2400</v>
      </c>
      <c r="L1179">
        <v>0</v>
      </c>
      <c r="M1179">
        <v>0</v>
      </c>
      <c r="N1179">
        <v>2400</v>
      </c>
    </row>
    <row r="1180" spans="1:14" x14ac:dyDescent="0.25">
      <c r="A1180">
        <v>456.66801299999997</v>
      </c>
      <c r="B1180" s="1">
        <f>DATE(2011,7,31) + TIME(16,1,56)</f>
        <v>40755.668009259258</v>
      </c>
      <c r="C1180">
        <v>1339.3497314000001</v>
      </c>
      <c r="D1180">
        <v>1337.1160889</v>
      </c>
      <c r="E1180">
        <v>1325.6157227000001</v>
      </c>
      <c r="F1180">
        <v>1323.3603516000001</v>
      </c>
      <c r="G1180">
        <v>80</v>
      </c>
      <c r="H1180">
        <v>79.962890625</v>
      </c>
      <c r="I1180">
        <v>50</v>
      </c>
      <c r="J1180">
        <v>45.083721161</v>
      </c>
      <c r="K1180">
        <v>2400</v>
      </c>
      <c r="L1180">
        <v>0</v>
      </c>
      <c r="M1180">
        <v>0</v>
      </c>
      <c r="N1180">
        <v>2400</v>
      </c>
    </row>
    <row r="1181" spans="1:14" x14ac:dyDescent="0.25">
      <c r="A1181">
        <v>457</v>
      </c>
      <c r="B1181" s="1">
        <f>DATE(2011,8,1) + TIME(0,0,0)</f>
        <v>40756</v>
      </c>
      <c r="C1181">
        <v>1339.3433838000001</v>
      </c>
      <c r="D1181">
        <v>1337.1125488</v>
      </c>
      <c r="E1181">
        <v>1325.5966797000001</v>
      </c>
      <c r="F1181">
        <v>1323.3320312000001</v>
      </c>
      <c r="G1181">
        <v>80</v>
      </c>
      <c r="H1181">
        <v>79.962882996000005</v>
      </c>
      <c r="I1181">
        <v>50</v>
      </c>
      <c r="J1181">
        <v>45.060047150000003</v>
      </c>
      <c r="K1181">
        <v>2400</v>
      </c>
      <c r="L1181">
        <v>0</v>
      </c>
      <c r="M1181">
        <v>0</v>
      </c>
      <c r="N1181">
        <v>2400</v>
      </c>
    </row>
    <row r="1182" spans="1:14" x14ac:dyDescent="0.25">
      <c r="A1182">
        <v>458.51789300000002</v>
      </c>
      <c r="B1182" s="1">
        <f>DATE(2011,8,2) + TIME(12,25,45)</f>
        <v>40757.517881944441</v>
      </c>
      <c r="C1182">
        <v>1339.3419189000001</v>
      </c>
      <c r="D1182">
        <v>1337.1118164</v>
      </c>
      <c r="E1182">
        <v>1325.5876464999999</v>
      </c>
      <c r="F1182">
        <v>1323.3162841999999</v>
      </c>
      <c r="G1182">
        <v>80</v>
      </c>
      <c r="H1182">
        <v>79.962905883999994</v>
      </c>
      <c r="I1182">
        <v>50</v>
      </c>
      <c r="J1182">
        <v>45.01632309</v>
      </c>
      <c r="K1182">
        <v>2400</v>
      </c>
      <c r="L1182">
        <v>0</v>
      </c>
      <c r="M1182">
        <v>0</v>
      </c>
      <c r="N1182">
        <v>2400</v>
      </c>
    </row>
    <row r="1183" spans="1:14" x14ac:dyDescent="0.25">
      <c r="A1183">
        <v>460.04884399999997</v>
      </c>
      <c r="B1183" s="1">
        <f>DATE(2011,8,4) + TIME(1,10,20)</f>
        <v>40759.048842592594</v>
      </c>
      <c r="C1183">
        <v>1339.3356934000001</v>
      </c>
      <c r="D1183">
        <v>1337.1083983999999</v>
      </c>
      <c r="E1183">
        <v>1325.567749</v>
      </c>
      <c r="F1183">
        <v>1323.2854004000001</v>
      </c>
      <c r="G1183">
        <v>80</v>
      </c>
      <c r="H1183">
        <v>79.962913513000004</v>
      </c>
      <c r="I1183">
        <v>50</v>
      </c>
      <c r="J1183">
        <v>44.969497681</v>
      </c>
      <c r="K1183">
        <v>2400</v>
      </c>
      <c r="L1183">
        <v>0</v>
      </c>
      <c r="M1183">
        <v>0</v>
      </c>
      <c r="N1183">
        <v>2400</v>
      </c>
    </row>
    <row r="1184" spans="1:14" x14ac:dyDescent="0.25">
      <c r="A1184">
        <v>461.60106500000001</v>
      </c>
      <c r="B1184" s="1">
        <f>DATE(2011,8,5) + TIME(14,25,32)</f>
        <v>40760.601064814815</v>
      </c>
      <c r="C1184">
        <v>1339.3293457</v>
      </c>
      <c r="D1184">
        <v>1337.1048584</v>
      </c>
      <c r="E1184">
        <v>1325.5472411999999</v>
      </c>
      <c r="F1184">
        <v>1323.2530518000001</v>
      </c>
      <c r="G1184">
        <v>80</v>
      </c>
      <c r="H1184">
        <v>79.962928771999998</v>
      </c>
      <c r="I1184">
        <v>50</v>
      </c>
      <c r="J1184">
        <v>44.923927307</v>
      </c>
      <c r="K1184">
        <v>2400</v>
      </c>
      <c r="L1184">
        <v>0</v>
      </c>
      <c r="M1184">
        <v>0</v>
      </c>
      <c r="N1184">
        <v>2400</v>
      </c>
    </row>
    <row r="1185" spans="1:14" x14ac:dyDescent="0.25">
      <c r="A1185">
        <v>463.15888200000001</v>
      </c>
      <c r="B1185" s="1">
        <f>DATE(2011,8,7) + TIME(3,48,47)</f>
        <v>40762.158877314818</v>
      </c>
      <c r="C1185">
        <v>1339.3231201000001</v>
      </c>
      <c r="D1185">
        <v>1337.1014404</v>
      </c>
      <c r="E1185">
        <v>1325.5266113</v>
      </c>
      <c r="F1185">
        <v>1323.2203368999999</v>
      </c>
      <c r="G1185">
        <v>80</v>
      </c>
      <c r="H1185">
        <v>79.962944031000006</v>
      </c>
      <c r="I1185">
        <v>50</v>
      </c>
      <c r="J1185">
        <v>44.882041931000003</v>
      </c>
      <c r="K1185">
        <v>2400</v>
      </c>
      <c r="L1185">
        <v>0</v>
      </c>
      <c r="M1185">
        <v>0</v>
      </c>
      <c r="N1185">
        <v>2400</v>
      </c>
    </row>
    <row r="1186" spans="1:14" x14ac:dyDescent="0.25">
      <c r="A1186">
        <v>464.72605800000002</v>
      </c>
      <c r="B1186" s="1">
        <f>DATE(2011,8,8) + TIME(17,25,31)</f>
        <v>40763.726053240738</v>
      </c>
      <c r="C1186">
        <v>1339.3168945</v>
      </c>
      <c r="D1186">
        <v>1337.0979004000001</v>
      </c>
      <c r="E1186">
        <v>1325.5063477000001</v>
      </c>
      <c r="F1186">
        <v>1323.1876221</v>
      </c>
      <c r="G1186">
        <v>80</v>
      </c>
      <c r="H1186">
        <v>79.962959290000001</v>
      </c>
      <c r="I1186">
        <v>50</v>
      </c>
      <c r="J1186">
        <v>44.845722197999997</v>
      </c>
      <c r="K1186">
        <v>2400</v>
      </c>
      <c r="L1186">
        <v>0</v>
      </c>
      <c r="M1186">
        <v>0</v>
      </c>
      <c r="N1186">
        <v>2400</v>
      </c>
    </row>
    <row r="1187" spans="1:14" x14ac:dyDescent="0.25">
      <c r="A1187">
        <v>466.31207899999998</v>
      </c>
      <c r="B1187" s="1">
        <f>DATE(2011,8,10) + TIME(7,29,23)</f>
        <v>40765.312071759261</v>
      </c>
      <c r="C1187">
        <v>1339.3107910000001</v>
      </c>
      <c r="D1187">
        <v>1337.0944824000001</v>
      </c>
      <c r="E1187">
        <v>1325.4864502</v>
      </c>
      <c r="F1187">
        <v>1323.1552733999999</v>
      </c>
      <c r="G1187">
        <v>80</v>
      </c>
      <c r="H1187">
        <v>79.962974548000005</v>
      </c>
      <c r="I1187">
        <v>50</v>
      </c>
      <c r="J1187">
        <v>44.816783905000001</v>
      </c>
      <c r="K1187">
        <v>2400</v>
      </c>
      <c r="L1187">
        <v>0</v>
      </c>
      <c r="M1187">
        <v>0</v>
      </c>
      <c r="N1187">
        <v>2400</v>
      </c>
    </row>
    <row r="1188" spans="1:14" x14ac:dyDescent="0.25">
      <c r="A1188">
        <v>467.907488</v>
      </c>
      <c r="B1188" s="1">
        <f>DATE(2011,8,11) + TIME(21,46,46)</f>
        <v>40766.907476851855</v>
      </c>
      <c r="C1188">
        <v>1339.3046875</v>
      </c>
      <c r="D1188">
        <v>1337.0909423999999</v>
      </c>
      <c r="E1188">
        <v>1325.4669189000001</v>
      </c>
      <c r="F1188">
        <v>1323.1232910000001</v>
      </c>
      <c r="G1188">
        <v>80</v>
      </c>
      <c r="H1188">
        <v>79.962989807</v>
      </c>
      <c r="I1188">
        <v>50</v>
      </c>
      <c r="J1188">
        <v>44.797199249000002</v>
      </c>
      <c r="K1188">
        <v>2400</v>
      </c>
      <c r="L1188">
        <v>0</v>
      </c>
      <c r="M1188">
        <v>0</v>
      </c>
      <c r="N1188">
        <v>2400</v>
      </c>
    </row>
    <row r="1189" spans="1:14" x14ac:dyDescent="0.25">
      <c r="A1189">
        <v>469.50445200000001</v>
      </c>
      <c r="B1189" s="1">
        <f>DATE(2011,8,13) + TIME(12,6,24)</f>
        <v>40768.504444444443</v>
      </c>
      <c r="C1189">
        <v>1339.2987060999999</v>
      </c>
      <c r="D1189">
        <v>1337.0875243999999</v>
      </c>
      <c r="E1189">
        <v>1325.4477539</v>
      </c>
      <c r="F1189">
        <v>1323.0916748</v>
      </c>
      <c r="G1189">
        <v>80</v>
      </c>
      <c r="H1189">
        <v>79.963005065999994</v>
      </c>
      <c r="I1189">
        <v>50</v>
      </c>
      <c r="J1189">
        <v>44.789272308000001</v>
      </c>
      <c r="K1189">
        <v>2400</v>
      </c>
      <c r="L1189">
        <v>0</v>
      </c>
      <c r="M1189">
        <v>0</v>
      </c>
      <c r="N1189">
        <v>2400</v>
      </c>
    </row>
    <row r="1190" spans="1:14" x14ac:dyDescent="0.25">
      <c r="A1190">
        <v>471.11816199999998</v>
      </c>
      <c r="B1190" s="1">
        <f>DATE(2011,8,15) + TIME(2,50,9)</f>
        <v>40770.118159722224</v>
      </c>
      <c r="C1190">
        <v>1339.2927245999999</v>
      </c>
      <c r="D1190">
        <v>1337.0841064000001</v>
      </c>
      <c r="E1190">
        <v>1325.4293213000001</v>
      </c>
      <c r="F1190">
        <v>1323.0607910000001</v>
      </c>
      <c r="G1190">
        <v>80</v>
      </c>
      <c r="H1190">
        <v>79.963027953999998</v>
      </c>
      <c r="I1190">
        <v>50</v>
      </c>
      <c r="J1190">
        <v>44.795406342</v>
      </c>
      <c r="K1190">
        <v>2400</v>
      </c>
      <c r="L1190">
        <v>0</v>
      </c>
      <c r="M1190">
        <v>0</v>
      </c>
      <c r="N1190">
        <v>2400</v>
      </c>
    </row>
    <row r="1191" spans="1:14" x14ac:dyDescent="0.25">
      <c r="A1191">
        <v>472.74709000000001</v>
      </c>
      <c r="B1191" s="1">
        <f>DATE(2011,8,16) + TIME(17,55,48)</f>
        <v>40771.747083333335</v>
      </c>
      <c r="C1191">
        <v>1339.2867432</v>
      </c>
      <c r="D1191">
        <v>1337.0806885</v>
      </c>
      <c r="E1191">
        <v>1325.411499</v>
      </c>
      <c r="F1191">
        <v>1323.0305175999999</v>
      </c>
      <c r="G1191">
        <v>80</v>
      </c>
      <c r="H1191">
        <v>79.963043213000006</v>
      </c>
      <c r="I1191">
        <v>50</v>
      </c>
      <c r="J1191">
        <v>44.818580627000003</v>
      </c>
      <c r="K1191">
        <v>2400</v>
      </c>
      <c r="L1191">
        <v>0</v>
      </c>
      <c r="M1191">
        <v>0</v>
      </c>
      <c r="N1191">
        <v>2400</v>
      </c>
    </row>
    <row r="1192" spans="1:14" x14ac:dyDescent="0.25">
      <c r="A1192">
        <v>473.56281200000001</v>
      </c>
      <c r="B1192" s="1">
        <f>DATE(2011,8,17) + TIME(13,30,26)</f>
        <v>40772.562800925924</v>
      </c>
      <c r="C1192">
        <v>1339.2807617000001</v>
      </c>
      <c r="D1192">
        <v>1337.0771483999999</v>
      </c>
      <c r="E1192">
        <v>1325.3956298999999</v>
      </c>
      <c r="F1192">
        <v>1323.0030518000001</v>
      </c>
      <c r="G1192">
        <v>80</v>
      </c>
      <c r="H1192">
        <v>79.963035583000007</v>
      </c>
      <c r="I1192">
        <v>50</v>
      </c>
      <c r="J1192">
        <v>44.851623535000002</v>
      </c>
      <c r="K1192">
        <v>2400</v>
      </c>
      <c r="L1192">
        <v>0</v>
      </c>
      <c r="M1192">
        <v>0</v>
      </c>
      <c r="N1192">
        <v>2400</v>
      </c>
    </row>
    <row r="1193" spans="1:14" x14ac:dyDescent="0.25">
      <c r="A1193">
        <v>475.11013300000002</v>
      </c>
      <c r="B1193" s="1">
        <f>DATE(2011,8,19) + TIME(2,38,35)</f>
        <v>40774.110127314816</v>
      </c>
      <c r="C1193">
        <v>1339.277832</v>
      </c>
      <c r="D1193">
        <v>1337.0755615</v>
      </c>
      <c r="E1193">
        <v>1325.3839111</v>
      </c>
      <c r="F1193">
        <v>1322.9832764</v>
      </c>
      <c r="G1193">
        <v>80</v>
      </c>
      <c r="H1193">
        <v>79.963066100999995</v>
      </c>
      <c r="I1193">
        <v>50</v>
      </c>
      <c r="J1193">
        <v>44.897830962999997</v>
      </c>
      <c r="K1193">
        <v>2400</v>
      </c>
      <c r="L1193">
        <v>0</v>
      </c>
      <c r="M1193">
        <v>0</v>
      </c>
      <c r="N1193">
        <v>2400</v>
      </c>
    </row>
    <row r="1194" spans="1:14" x14ac:dyDescent="0.25">
      <c r="A1194">
        <v>476.71767</v>
      </c>
      <c r="B1194" s="1">
        <f>DATE(2011,8,20) + TIME(17,13,26)</f>
        <v>40775.717662037037</v>
      </c>
      <c r="C1194">
        <v>1339.2723389</v>
      </c>
      <c r="D1194">
        <v>1337.0722656</v>
      </c>
      <c r="E1194">
        <v>1325.3696289</v>
      </c>
      <c r="F1194">
        <v>1322.958374</v>
      </c>
      <c r="G1194">
        <v>80</v>
      </c>
      <c r="H1194">
        <v>79.963088988999999</v>
      </c>
      <c r="I1194">
        <v>50</v>
      </c>
      <c r="J1194">
        <v>44.971755981000001</v>
      </c>
      <c r="K1194">
        <v>2400</v>
      </c>
      <c r="L1194">
        <v>0</v>
      </c>
      <c r="M1194">
        <v>0</v>
      </c>
      <c r="N1194">
        <v>2400</v>
      </c>
    </row>
    <row r="1195" spans="1:14" x14ac:dyDescent="0.25">
      <c r="A1195">
        <v>478.36276099999998</v>
      </c>
      <c r="B1195" s="1">
        <f>DATE(2011,8,22) + TIME(8,42,22)</f>
        <v>40777.362754629627</v>
      </c>
      <c r="C1195">
        <v>1339.2667236</v>
      </c>
      <c r="D1195">
        <v>1337.0689697</v>
      </c>
      <c r="E1195">
        <v>1325.3549805</v>
      </c>
      <c r="F1195">
        <v>1322.9327393000001</v>
      </c>
      <c r="G1195">
        <v>80</v>
      </c>
      <c r="H1195">
        <v>79.963111877000003</v>
      </c>
      <c r="I1195">
        <v>50</v>
      </c>
      <c r="J1195">
        <v>45.075122833000002</v>
      </c>
      <c r="K1195">
        <v>2400</v>
      </c>
      <c r="L1195">
        <v>0</v>
      </c>
      <c r="M1195">
        <v>0</v>
      </c>
      <c r="N1195">
        <v>2400</v>
      </c>
    </row>
    <row r="1196" spans="1:14" x14ac:dyDescent="0.25">
      <c r="A1196">
        <v>479.20362599999999</v>
      </c>
      <c r="B1196" s="1">
        <f>DATE(2011,8,23) + TIME(4,53,13)</f>
        <v>40778.203622685185</v>
      </c>
      <c r="C1196">
        <v>1339.2609863</v>
      </c>
      <c r="D1196">
        <v>1337.0655518000001</v>
      </c>
      <c r="E1196">
        <v>1325.3424072</v>
      </c>
      <c r="F1196">
        <v>1322.9093018000001</v>
      </c>
      <c r="G1196">
        <v>80</v>
      </c>
      <c r="H1196">
        <v>79.963111877000003</v>
      </c>
      <c r="I1196">
        <v>50</v>
      </c>
      <c r="J1196">
        <v>45.180583953999999</v>
      </c>
      <c r="K1196">
        <v>2400</v>
      </c>
      <c r="L1196">
        <v>0</v>
      </c>
      <c r="M1196">
        <v>0</v>
      </c>
      <c r="N1196">
        <v>2400</v>
      </c>
    </row>
    <row r="1197" spans="1:14" x14ac:dyDescent="0.25">
      <c r="A1197">
        <v>480.74951399999998</v>
      </c>
      <c r="B1197" s="1">
        <f>DATE(2011,8,24) + TIME(17,59,18)</f>
        <v>40779.749513888892</v>
      </c>
      <c r="C1197">
        <v>1339.2580565999999</v>
      </c>
      <c r="D1197">
        <v>1337.0638428</v>
      </c>
      <c r="E1197">
        <v>1325.3317870999999</v>
      </c>
      <c r="F1197">
        <v>1322.8923339999999</v>
      </c>
      <c r="G1197">
        <v>80</v>
      </c>
      <c r="H1197">
        <v>79.963142395000006</v>
      </c>
      <c r="I1197">
        <v>50</v>
      </c>
      <c r="J1197">
        <v>45.306018829000003</v>
      </c>
      <c r="K1197">
        <v>2400</v>
      </c>
      <c r="L1197">
        <v>0</v>
      </c>
      <c r="M1197">
        <v>0</v>
      </c>
      <c r="N1197">
        <v>2400</v>
      </c>
    </row>
    <row r="1198" spans="1:14" x14ac:dyDescent="0.25">
      <c r="A1198">
        <v>482.37706900000001</v>
      </c>
      <c r="B1198" s="1">
        <f>DATE(2011,8,26) + TIME(9,2,58)</f>
        <v>40781.377060185187</v>
      </c>
      <c r="C1198">
        <v>1339.2528076000001</v>
      </c>
      <c r="D1198">
        <v>1337.0606689000001</v>
      </c>
      <c r="E1198">
        <v>1325.3200684000001</v>
      </c>
      <c r="F1198">
        <v>1322.8714600000001</v>
      </c>
      <c r="G1198">
        <v>80</v>
      </c>
      <c r="H1198">
        <v>79.963165282999995</v>
      </c>
      <c r="I1198">
        <v>50</v>
      </c>
      <c r="J1198">
        <v>45.477302551000001</v>
      </c>
      <c r="K1198">
        <v>2400</v>
      </c>
      <c r="L1198">
        <v>0</v>
      </c>
      <c r="M1198">
        <v>0</v>
      </c>
      <c r="N1198">
        <v>2400</v>
      </c>
    </row>
    <row r="1199" spans="1:14" x14ac:dyDescent="0.25">
      <c r="A1199">
        <v>484.04344200000003</v>
      </c>
      <c r="B1199" s="1">
        <f>DATE(2011,8,28) + TIME(1,2,33)</f>
        <v>40783.043437499997</v>
      </c>
      <c r="C1199">
        <v>1339.2473144999999</v>
      </c>
      <c r="D1199">
        <v>1337.0573730000001</v>
      </c>
      <c r="E1199">
        <v>1325.3079834</v>
      </c>
      <c r="F1199">
        <v>1322.8500977000001</v>
      </c>
      <c r="G1199">
        <v>80</v>
      </c>
      <c r="H1199">
        <v>79.963188170999999</v>
      </c>
      <c r="I1199">
        <v>50</v>
      </c>
      <c r="J1199">
        <v>45.694976807000003</v>
      </c>
      <c r="K1199">
        <v>2400</v>
      </c>
      <c r="L1199">
        <v>0</v>
      </c>
      <c r="M1199">
        <v>0</v>
      </c>
      <c r="N1199">
        <v>2400</v>
      </c>
    </row>
    <row r="1200" spans="1:14" x14ac:dyDescent="0.25">
      <c r="A1200">
        <v>484.90364899999997</v>
      </c>
      <c r="B1200" s="1">
        <f>DATE(2011,8,28) + TIME(21,41,15)</f>
        <v>40783.903645833336</v>
      </c>
      <c r="C1200">
        <v>1339.2418213000001</v>
      </c>
      <c r="D1200">
        <v>1337.0540771000001</v>
      </c>
      <c r="E1200">
        <v>1325.2984618999999</v>
      </c>
      <c r="F1200">
        <v>1322.8310547000001</v>
      </c>
      <c r="G1200">
        <v>80</v>
      </c>
      <c r="H1200">
        <v>79.963188170999999</v>
      </c>
      <c r="I1200">
        <v>50</v>
      </c>
      <c r="J1200">
        <v>45.893806458</v>
      </c>
      <c r="K1200">
        <v>2400</v>
      </c>
      <c r="L1200">
        <v>0</v>
      </c>
      <c r="M1200">
        <v>0</v>
      </c>
      <c r="N1200">
        <v>2400</v>
      </c>
    </row>
    <row r="1201" spans="1:14" x14ac:dyDescent="0.25">
      <c r="A1201">
        <v>486.44599299999999</v>
      </c>
      <c r="B1201" s="1">
        <f>DATE(2011,8,30) + TIME(10,42,13)</f>
        <v>40785.445983796293</v>
      </c>
      <c r="C1201">
        <v>1339.2390137</v>
      </c>
      <c r="D1201">
        <v>1337.0523682</v>
      </c>
      <c r="E1201">
        <v>1325.2889404</v>
      </c>
      <c r="F1201">
        <v>1322.8175048999999</v>
      </c>
      <c r="G1201">
        <v>80</v>
      </c>
      <c r="H1201">
        <v>79.963218689000001</v>
      </c>
      <c r="I1201">
        <v>50</v>
      </c>
      <c r="J1201">
        <v>46.111572266000003</v>
      </c>
      <c r="K1201">
        <v>2400</v>
      </c>
      <c r="L1201">
        <v>0</v>
      </c>
      <c r="M1201">
        <v>0</v>
      </c>
      <c r="N1201">
        <v>2400</v>
      </c>
    </row>
    <row r="1202" spans="1:14" x14ac:dyDescent="0.25">
      <c r="A1202">
        <v>488</v>
      </c>
      <c r="B1202" s="1">
        <f>DATE(2011,9,1) + TIME(0,0,0)</f>
        <v>40787</v>
      </c>
      <c r="C1202">
        <v>1339.2340088000001</v>
      </c>
      <c r="D1202">
        <v>1337.0493164</v>
      </c>
      <c r="E1202">
        <v>1325.2795410000001</v>
      </c>
      <c r="F1202">
        <v>1322.8010254000001</v>
      </c>
      <c r="G1202">
        <v>80</v>
      </c>
      <c r="H1202">
        <v>79.963241577000005</v>
      </c>
      <c r="I1202">
        <v>50</v>
      </c>
      <c r="J1202">
        <v>46.395656586000001</v>
      </c>
      <c r="K1202">
        <v>2400</v>
      </c>
      <c r="L1202">
        <v>0</v>
      </c>
      <c r="M1202">
        <v>0</v>
      </c>
      <c r="N1202">
        <v>2400</v>
      </c>
    </row>
    <row r="1203" spans="1:14" x14ac:dyDescent="0.25">
      <c r="A1203">
        <v>489.64582100000001</v>
      </c>
      <c r="B1203" s="1">
        <f>DATE(2011,9,2) + TIME(15,29,58)</f>
        <v>40788.645810185182</v>
      </c>
      <c r="C1203">
        <v>1339.2290039</v>
      </c>
      <c r="D1203">
        <v>1337.0462646000001</v>
      </c>
      <c r="E1203">
        <v>1325.2701416</v>
      </c>
      <c r="F1203">
        <v>1322.7851562000001</v>
      </c>
      <c r="G1203">
        <v>80</v>
      </c>
      <c r="H1203">
        <v>79.963272094999994</v>
      </c>
      <c r="I1203">
        <v>50</v>
      </c>
      <c r="J1203">
        <v>46.700485229000002</v>
      </c>
      <c r="K1203">
        <v>2400</v>
      </c>
      <c r="L1203">
        <v>0</v>
      </c>
      <c r="M1203">
        <v>0</v>
      </c>
      <c r="N1203">
        <v>2400</v>
      </c>
    </row>
    <row r="1204" spans="1:14" x14ac:dyDescent="0.25">
      <c r="A1204">
        <v>491.44463300000001</v>
      </c>
      <c r="B1204" s="1">
        <f>DATE(2011,9,4) + TIME(10,40,16)</f>
        <v>40790.44462962963</v>
      </c>
      <c r="C1204">
        <v>1339.2237548999999</v>
      </c>
      <c r="D1204">
        <v>1337.0430908000001</v>
      </c>
      <c r="E1204">
        <v>1325.2607422000001</v>
      </c>
      <c r="F1204">
        <v>1322.7692870999999</v>
      </c>
      <c r="G1204">
        <v>80</v>
      </c>
      <c r="H1204">
        <v>79.963302612000007</v>
      </c>
      <c r="I1204">
        <v>50</v>
      </c>
      <c r="J1204">
        <v>47.052547455000003</v>
      </c>
      <c r="K1204">
        <v>2400</v>
      </c>
      <c r="L1204">
        <v>0</v>
      </c>
      <c r="M1204">
        <v>0</v>
      </c>
      <c r="N1204">
        <v>2400</v>
      </c>
    </row>
    <row r="1205" spans="1:14" x14ac:dyDescent="0.25">
      <c r="A1205">
        <v>493.26226600000001</v>
      </c>
      <c r="B1205" s="1">
        <f>DATE(2011,9,6) + TIME(6,17,39)</f>
        <v>40792.262256944443</v>
      </c>
      <c r="C1205">
        <v>1339.2181396000001</v>
      </c>
      <c r="D1205">
        <v>1337.0395507999999</v>
      </c>
      <c r="E1205">
        <v>1325.2514647999999</v>
      </c>
      <c r="F1205">
        <v>1322.7537841999999</v>
      </c>
      <c r="G1205">
        <v>80</v>
      </c>
      <c r="H1205">
        <v>79.963333129999995</v>
      </c>
      <c r="I1205">
        <v>50</v>
      </c>
      <c r="J1205">
        <v>47.459342956999997</v>
      </c>
      <c r="K1205">
        <v>2400</v>
      </c>
      <c r="L1205">
        <v>0</v>
      </c>
      <c r="M1205">
        <v>0</v>
      </c>
      <c r="N1205">
        <v>2400</v>
      </c>
    </row>
    <row r="1206" spans="1:14" x14ac:dyDescent="0.25">
      <c r="A1206">
        <v>495.14873799999998</v>
      </c>
      <c r="B1206" s="1">
        <f>DATE(2011,9,8) + TIME(3,34,10)</f>
        <v>40794.148726851854</v>
      </c>
      <c r="C1206">
        <v>1339.2125243999999</v>
      </c>
      <c r="D1206">
        <v>1337.0361327999999</v>
      </c>
      <c r="E1206">
        <v>1325.2424315999999</v>
      </c>
      <c r="F1206">
        <v>1322.7392577999999</v>
      </c>
      <c r="G1206">
        <v>80</v>
      </c>
      <c r="H1206">
        <v>79.963363646999994</v>
      </c>
      <c r="I1206">
        <v>50</v>
      </c>
      <c r="J1206">
        <v>47.904026031000001</v>
      </c>
      <c r="K1206">
        <v>2400</v>
      </c>
      <c r="L1206">
        <v>0</v>
      </c>
      <c r="M1206">
        <v>0</v>
      </c>
      <c r="N1206">
        <v>2400</v>
      </c>
    </row>
    <row r="1207" spans="1:14" x14ac:dyDescent="0.25">
      <c r="A1207">
        <v>497.11963400000002</v>
      </c>
      <c r="B1207" s="1">
        <f>DATE(2011,9,10) + TIME(2,52,16)</f>
        <v>40796.119629629633</v>
      </c>
      <c r="C1207">
        <v>1339.2067870999999</v>
      </c>
      <c r="D1207">
        <v>1337.0325928</v>
      </c>
      <c r="E1207">
        <v>1325.2336425999999</v>
      </c>
      <c r="F1207">
        <v>1322.7255858999999</v>
      </c>
      <c r="G1207">
        <v>80</v>
      </c>
      <c r="H1207">
        <v>79.963394164999997</v>
      </c>
      <c r="I1207">
        <v>50</v>
      </c>
      <c r="J1207">
        <v>48.381690978999998</v>
      </c>
      <c r="K1207">
        <v>2400</v>
      </c>
      <c r="L1207">
        <v>0</v>
      </c>
      <c r="M1207">
        <v>0</v>
      </c>
      <c r="N1207">
        <v>2400</v>
      </c>
    </row>
    <row r="1208" spans="1:14" x14ac:dyDescent="0.25">
      <c r="A1208">
        <v>499.11797100000001</v>
      </c>
      <c r="B1208" s="1">
        <f>DATE(2011,9,12) + TIME(2,49,52)</f>
        <v>40798.117962962962</v>
      </c>
      <c r="C1208">
        <v>1339.2009277</v>
      </c>
      <c r="D1208">
        <v>1337.0289307</v>
      </c>
      <c r="E1208">
        <v>1325.2253418</v>
      </c>
      <c r="F1208">
        <v>1322.7128906</v>
      </c>
      <c r="G1208">
        <v>80</v>
      </c>
      <c r="H1208">
        <v>79.963432311999995</v>
      </c>
      <c r="I1208">
        <v>50</v>
      </c>
      <c r="J1208">
        <v>48.884746552000003</v>
      </c>
      <c r="K1208">
        <v>2400</v>
      </c>
      <c r="L1208">
        <v>0</v>
      </c>
      <c r="M1208">
        <v>0</v>
      </c>
      <c r="N1208">
        <v>2400</v>
      </c>
    </row>
    <row r="1209" spans="1:14" x14ac:dyDescent="0.25">
      <c r="A1209">
        <v>501.15834000000001</v>
      </c>
      <c r="B1209" s="1">
        <f>DATE(2011,9,14) + TIME(3,48,0)</f>
        <v>40800.158333333333</v>
      </c>
      <c r="C1209">
        <v>1339.1950684000001</v>
      </c>
      <c r="D1209">
        <v>1337.0253906</v>
      </c>
      <c r="E1209">
        <v>1325.2175293</v>
      </c>
      <c r="F1209">
        <v>1322.7011719</v>
      </c>
      <c r="G1209">
        <v>80</v>
      </c>
      <c r="H1209">
        <v>79.963462829999997</v>
      </c>
      <c r="I1209">
        <v>50</v>
      </c>
      <c r="J1209">
        <v>49.400402069000002</v>
      </c>
      <c r="K1209">
        <v>2400</v>
      </c>
      <c r="L1209">
        <v>0</v>
      </c>
      <c r="M1209">
        <v>0</v>
      </c>
      <c r="N1209">
        <v>2400</v>
      </c>
    </row>
    <row r="1210" spans="1:14" x14ac:dyDescent="0.25">
      <c r="A1210">
        <v>503.21927499999998</v>
      </c>
      <c r="B1210" s="1">
        <f>DATE(2011,9,16) + TIME(5,15,45)</f>
        <v>40802.219270833331</v>
      </c>
      <c r="C1210">
        <v>1339.1892089999999</v>
      </c>
      <c r="D1210">
        <v>1337.0217285000001</v>
      </c>
      <c r="E1210">
        <v>1325.2102050999999</v>
      </c>
      <c r="F1210">
        <v>1322.6903076000001</v>
      </c>
      <c r="G1210">
        <v>80</v>
      </c>
      <c r="H1210">
        <v>79.963500976999995</v>
      </c>
      <c r="I1210">
        <v>50</v>
      </c>
      <c r="J1210">
        <v>49.921997070000003</v>
      </c>
      <c r="K1210">
        <v>2400</v>
      </c>
      <c r="L1210">
        <v>0</v>
      </c>
      <c r="M1210">
        <v>0</v>
      </c>
      <c r="N1210">
        <v>2400</v>
      </c>
    </row>
    <row r="1211" spans="1:14" x14ac:dyDescent="0.25">
      <c r="A1211">
        <v>505.30521900000002</v>
      </c>
      <c r="B1211" s="1">
        <f>DATE(2011,9,18) + TIME(7,19,30)</f>
        <v>40804.305208333331</v>
      </c>
      <c r="C1211">
        <v>1339.1833495999999</v>
      </c>
      <c r="D1211">
        <v>1337.0180664</v>
      </c>
      <c r="E1211">
        <v>1325.2033690999999</v>
      </c>
      <c r="F1211">
        <v>1322.6805420000001</v>
      </c>
      <c r="G1211">
        <v>80</v>
      </c>
      <c r="H1211">
        <v>79.963539123999993</v>
      </c>
      <c r="I1211">
        <v>50</v>
      </c>
      <c r="J1211">
        <v>50.441162108999997</v>
      </c>
      <c r="K1211">
        <v>2400</v>
      </c>
      <c r="L1211">
        <v>0</v>
      </c>
      <c r="M1211">
        <v>0</v>
      </c>
      <c r="N1211">
        <v>2400</v>
      </c>
    </row>
    <row r="1212" spans="1:14" x14ac:dyDescent="0.25">
      <c r="A1212">
        <v>507.44360599999999</v>
      </c>
      <c r="B1212" s="1">
        <f>DATE(2011,9,20) + TIME(10,38,47)</f>
        <v>40806.443599537037</v>
      </c>
      <c r="C1212">
        <v>1339.1776123</v>
      </c>
      <c r="D1212">
        <v>1337.0145264</v>
      </c>
      <c r="E1212">
        <v>1325.1971435999999</v>
      </c>
      <c r="F1212">
        <v>1322.6715088000001</v>
      </c>
      <c r="G1212">
        <v>80</v>
      </c>
      <c r="H1212">
        <v>79.963569641000007</v>
      </c>
      <c r="I1212">
        <v>50</v>
      </c>
      <c r="J1212">
        <v>50.954753875999998</v>
      </c>
      <c r="K1212">
        <v>2400</v>
      </c>
      <c r="L1212">
        <v>0</v>
      </c>
      <c r="M1212">
        <v>0</v>
      </c>
      <c r="N1212">
        <v>2400</v>
      </c>
    </row>
    <row r="1213" spans="1:14" x14ac:dyDescent="0.25">
      <c r="A1213">
        <v>509.60787699999997</v>
      </c>
      <c r="B1213" s="1">
        <f>DATE(2011,9,22) + TIME(14,35,20)</f>
        <v>40808.607870370368</v>
      </c>
      <c r="C1213">
        <v>1339.1717529</v>
      </c>
      <c r="D1213">
        <v>1337.0108643000001</v>
      </c>
      <c r="E1213">
        <v>1325.1912841999999</v>
      </c>
      <c r="F1213">
        <v>1322.6632079999999</v>
      </c>
      <c r="G1213">
        <v>80</v>
      </c>
      <c r="H1213">
        <v>79.963615417</v>
      </c>
      <c r="I1213">
        <v>50</v>
      </c>
      <c r="J1213">
        <v>51.461746216000002</v>
      </c>
      <c r="K1213">
        <v>2400</v>
      </c>
      <c r="L1213">
        <v>0</v>
      </c>
      <c r="M1213">
        <v>0</v>
      </c>
      <c r="N1213">
        <v>2400</v>
      </c>
    </row>
    <row r="1214" spans="1:14" x14ac:dyDescent="0.25">
      <c r="A1214">
        <v>511.78876100000002</v>
      </c>
      <c r="B1214" s="1">
        <f>DATE(2011,9,24) + TIME(18,55,48)</f>
        <v>40810.78875</v>
      </c>
      <c r="C1214">
        <v>1339.1660156</v>
      </c>
      <c r="D1214">
        <v>1337.0072021000001</v>
      </c>
      <c r="E1214">
        <v>1325.1860352000001</v>
      </c>
      <c r="F1214">
        <v>1322.6556396000001</v>
      </c>
      <c r="G1214">
        <v>80</v>
      </c>
      <c r="H1214">
        <v>79.963653563999998</v>
      </c>
      <c r="I1214">
        <v>50</v>
      </c>
      <c r="J1214">
        <v>51.956760406000001</v>
      </c>
      <c r="K1214">
        <v>2400</v>
      </c>
      <c r="L1214">
        <v>0</v>
      </c>
      <c r="M1214">
        <v>0</v>
      </c>
      <c r="N1214">
        <v>2400</v>
      </c>
    </row>
    <row r="1215" spans="1:14" x14ac:dyDescent="0.25">
      <c r="A1215">
        <v>514.01538500000004</v>
      </c>
      <c r="B1215" s="1">
        <f>DATE(2011,9,27) + TIME(0,22,9)</f>
        <v>40813.015381944446</v>
      </c>
      <c r="C1215">
        <v>1339.1602783000001</v>
      </c>
      <c r="D1215">
        <v>1337.0036620999999</v>
      </c>
      <c r="E1215">
        <v>1325.1810303</v>
      </c>
      <c r="F1215">
        <v>1322.6486815999999</v>
      </c>
      <c r="G1215">
        <v>80</v>
      </c>
      <c r="H1215">
        <v>79.963691710999996</v>
      </c>
      <c r="I1215">
        <v>50</v>
      </c>
      <c r="J1215">
        <v>52.440044403000002</v>
      </c>
      <c r="K1215">
        <v>2400</v>
      </c>
      <c r="L1215">
        <v>0</v>
      </c>
      <c r="M1215">
        <v>0</v>
      </c>
      <c r="N1215">
        <v>2400</v>
      </c>
    </row>
    <row r="1216" spans="1:14" x14ac:dyDescent="0.25">
      <c r="A1216">
        <v>516.29123600000003</v>
      </c>
      <c r="B1216" s="1">
        <f>DATE(2011,9,29) + TIME(6,59,22)</f>
        <v>40815.291226851848</v>
      </c>
      <c r="C1216">
        <v>1339.1545410000001</v>
      </c>
      <c r="D1216">
        <v>1337.0001221</v>
      </c>
      <c r="E1216">
        <v>1325.1765137</v>
      </c>
      <c r="F1216">
        <v>1322.6422118999999</v>
      </c>
      <c r="G1216">
        <v>80</v>
      </c>
      <c r="H1216">
        <v>79.963729857999994</v>
      </c>
      <c r="I1216">
        <v>50</v>
      </c>
      <c r="J1216">
        <v>52.914321899000001</v>
      </c>
      <c r="K1216">
        <v>2400</v>
      </c>
      <c r="L1216">
        <v>0</v>
      </c>
      <c r="M1216">
        <v>0</v>
      </c>
      <c r="N1216">
        <v>2400</v>
      </c>
    </row>
    <row r="1217" spans="1:14" x14ac:dyDescent="0.25">
      <c r="A1217">
        <v>518</v>
      </c>
      <c r="B1217" s="1">
        <f>DATE(2011,10,1) + TIME(0,0,0)</f>
        <v>40817</v>
      </c>
      <c r="C1217">
        <v>1339.1488036999999</v>
      </c>
      <c r="D1217">
        <v>1336.996582</v>
      </c>
      <c r="E1217">
        <v>1325.1730957</v>
      </c>
      <c r="F1217">
        <v>1322.6364745999999</v>
      </c>
      <c r="G1217">
        <v>80</v>
      </c>
      <c r="H1217">
        <v>79.963760375999996</v>
      </c>
      <c r="I1217">
        <v>50</v>
      </c>
      <c r="J1217">
        <v>53.347923279</v>
      </c>
      <c r="K1217">
        <v>2400</v>
      </c>
      <c r="L1217">
        <v>0</v>
      </c>
      <c r="M1217">
        <v>0</v>
      </c>
      <c r="N1217">
        <v>2400</v>
      </c>
    </row>
    <row r="1218" spans="1:14" x14ac:dyDescent="0.25">
      <c r="A1218">
        <v>520.29226500000004</v>
      </c>
      <c r="B1218" s="1">
        <f>DATE(2011,10,3) + TIME(7,0,51)</f>
        <v>40819.292256944442</v>
      </c>
      <c r="C1218">
        <v>1339.1446533000001</v>
      </c>
      <c r="D1218">
        <v>1336.9938964999999</v>
      </c>
      <c r="E1218">
        <v>1325.1689452999999</v>
      </c>
      <c r="F1218">
        <v>1322.6322021000001</v>
      </c>
      <c r="G1218">
        <v>80</v>
      </c>
      <c r="H1218">
        <v>79.963806152000004</v>
      </c>
      <c r="I1218">
        <v>50</v>
      </c>
      <c r="J1218">
        <v>53.730834960999999</v>
      </c>
      <c r="K1218">
        <v>2400</v>
      </c>
      <c r="L1218">
        <v>0</v>
      </c>
      <c r="M1218">
        <v>0</v>
      </c>
      <c r="N1218">
        <v>2400</v>
      </c>
    </row>
    <row r="1219" spans="1:14" x14ac:dyDescent="0.25">
      <c r="A1219">
        <v>522.65520000000004</v>
      </c>
      <c r="B1219" s="1">
        <f>DATE(2011,10,5) + TIME(15,43,29)</f>
        <v>40821.65519675926</v>
      </c>
      <c r="C1219">
        <v>1339.1390381000001</v>
      </c>
      <c r="D1219">
        <v>1336.9904785000001</v>
      </c>
      <c r="E1219">
        <v>1325.1654053</v>
      </c>
      <c r="F1219">
        <v>1322.6264647999999</v>
      </c>
      <c r="G1219">
        <v>80</v>
      </c>
      <c r="H1219">
        <v>79.963851929</v>
      </c>
      <c r="I1219">
        <v>50</v>
      </c>
      <c r="J1219">
        <v>54.153385161999999</v>
      </c>
      <c r="K1219">
        <v>2400</v>
      </c>
      <c r="L1219">
        <v>0</v>
      </c>
      <c r="M1219">
        <v>0</v>
      </c>
      <c r="N1219">
        <v>2400</v>
      </c>
    </row>
    <row r="1220" spans="1:14" x14ac:dyDescent="0.25">
      <c r="A1220">
        <v>525.06926699999997</v>
      </c>
      <c r="B1220" s="1">
        <f>DATE(2011,10,8) + TIME(1,39,44)</f>
        <v>40824.06925925926</v>
      </c>
      <c r="C1220">
        <v>1339.1334228999999</v>
      </c>
      <c r="D1220">
        <v>1336.9869385</v>
      </c>
      <c r="E1220">
        <v>1325.1619873</v>
      </c>
      <c r="F1220">
        <v>1322.6212158000001</v>
      </c>
      <c r="G1220">
        <v>80</v>
      </c>
      <c r="H1220">
        <v>79.963897704999994</v>
      </c>
      <c r="I1220">
        <v>50</v>
      </c>
      <c r="J1220">
        <v>54.578136444000002</v>
      </c>
      <c r="K1220">
        <v>2400</v>
      </c>
      <c r="L1220">
        <v>0</v>
      </c>
      <c r="M1220">
        <v>0</v>
      </c>
      <c r="N1220">
        <v>2400</v>
      </c>
    </row>
    <row r="1221" spans="1:14" x14ac:dyDescent="0.25">
      <c r="A1221">
        <v>527.51100899999994</v>
      </c>
      <c r="B1221" s="1">
        <f>DATE(2011,10,10) + TIME(12,15,51)</f>
        <v>40826.511006944442</v>
      </c>
      <c r="C1221">
        <v>1339.1278076000001</v>
      </c>
      <c r="D1221">
        <v>1336.9833983999999</v>
      </c>
      <c r="E1221">
        <v>1325.1585693</v>
      </c>
      <c r="F1221">
        <v>1322.6162108999999</v>
      </c>
      <c r="G1221">
        <v>80</v>
      </c>
      <c r="H1221">
        <v>79.963943481000001</v>
      </c>
      <c r="I1221">
        <v>50</v>
      </c>
      <c r="J1221">
        <v>54.993930816999999</v>
      </c>
      <c r="K1221">
        <v>2400</v>
      </c>
      <c r="L1221">
        <v>0</v>
      </c>
      <c r="M1221">
        <v>0</v>
      </c>
      <c r="N1221">
        <v>2400</v>
      </c>
    </row>
    <row r="1222" spans="1:14" x14ac:dyDescent="0.25">
      <c r="A1222">
        <v>529.98683000000005</v>
      </c>
      <c r="B1222" s="1">
        <f>DATE(2011,10,12) + TIME(23,41,2)</f>
        <v>40828.986828703702</v>
      </c>
      <c r="C1222">
        <v>1339.1221923999999</v>
      </c>
      <c r="D1222">
        <v>1336.9798584</v>
      </c>
      <c r="E1222">
        <v>1325.1553954999999</v>
      </c>
      <c r="F1222">
        <v>1322.6114502</v>
      </c>
      <c r="G1222">
        <v>80</v>
      </c>
      <c r="H1222">
        <v>79.963989257999998</v>
      </c>
      <c r="I1222">
        <v>50</v>
      </c>
      <c r="J1222">
        <v>55.396789550999998</v>
      </c>
      <c r="K1222">
        <v>2400</v>
      </c>
      <c r="L1222">
        <v>0</v>
      </c>
      <c r="M1222">
        <v>0</v>
      </c>
      <c r="N1222">
        <v>2400</v>
      </c>
    </row>
    <row r="1223" spans="1:14" x14ac:dyDescent="0.25">
      <c r="A1223">
        <v>532.50426100000004</v>
      </c>
      <c r="B1223" s="1">
        <f>DATE(2011,10,15) + TIME(12,6,8)</f>
        <v>40831.504259259258</v>
      </c>
      <c r="C1223">
        <v>1339.1165771000001</v>
      </c>
      <c r="D1223">
        <v>1336.9764404</v>
      </c>
      <c r="E1223">
        <v>1325.1523437999999</v>
      </c>
      <c r="F1223">
        <v>1322.6068115</v>
      </c>
      <c r="G1223">
        <v>80</v>
      </c>
      <c r="H1223">
        <v>79.964035034000005</v>
      </c>
      <c r="I1223">
        <v>50</v>
      </c>
      <c r="J1223">
        <v>55.784816741999997</v>
      </c>
      <c r="K1223">
        <v>2400</v>
      </c>
      <c r="L1223">
        <v>0</v>
      </c>
      <c r="M1223">
        <v>0</v>
      </c>
      <c r="N1223">
        <v>2400</v>
      </c>
    </row>
    <row r="1224" spans="1:14" x14ac:dyDescent="0.25">
      <c r="A1224">
        <v>535.08257700000001</v>
      </c>
      <c r="B1224" s="1">
        <f>DATE(2011,10,18) + TIME(1,58,54)</f>
        <v>40834.082569444443</v>
      </c>
      <c r="C1224">
        <v>1339.1110839999999</v>
      </c>
      <c r="D1224">
        <v>1336.9729004000001</v>
      </c>
      <c r="E1224">
        <v>1325.1495361</v>
      </c>
      <c r="F1224">
        <v>1322.6024170000001</v>
      </c>
      <c r="G1224">
        <v>80</v>
      </c>
      <c r="H1224">
        <v>79.964088439999998</v>
      </c>
      <c r="I1224">
        <v>50</v>
      </c>
      <c r="J1224">
        <v>56.159084319999998</v>
      </c>
      <c r="K1224">
        <v>2400</v>
      </c>
      <c r="L1224">
        <v>0</v>
      </c>
      <c r="M1224">
        <v>0</v>
      </c>
      <c r="N1224">
        <v>2400</v>
      </c>
    </row>
    <row r="1225" spans="1:14" x14ac:dyDescent="0.25">
      <c r="A1225">
        <v>537.68486600000006</v>
      </c>
      <c r="B1225" s="1">
        <f>DATE(2011,10,20) + TIME(16,26,12)</f>
        <v>40836.684861111113</v>
      </c>
      <c r="C1225">
        <v>1339.1055908000001</v>
      </c>
      <c r="D1225">
        <v>1336.9694824000001</v>
      </c>
      <c r="E1225">
        <v>1325.1468506000001</v>
      </c>
      <c r="F1225">
        <v>1322.5980225000001</v>
      </c>
      <c r="G1225">
        <v>80</v>
      </c>
      <c r="H1225">
        <v>79.964141846000004</v>
      </c>
      <c r="I1225">
        <v>50</v>
      </c>
      <c r="J1225">
        <v>56.522281647</v>
      </c>
      <c r="K1225">
        <v>2400</v>
      </c>
      <c r="L1225">
        <v>0</v>
      </c>
      <c r="M1225">
        <v>0</v>
      </c>
      <c r="N1225">
        <v>2400</v>
      </c>
    </row>
    <row r="1226" spans="1:14" x14ac:dyDescent="0.25">
      <c r="A1226">
        <v>540.31388400000003</v>
      </c>
      <c r="B1226" s="1">
        <f>DATE(2011,10,23) + TIME(7,31,59)</f>
        <v>40839.313877314817</v>
      </c>
      <c r="C1226">
        <v>1339.1000977000001</v>
      </c>
      <c r="D1226">
        <v>1336.9660644999999</v>
      </c>
      <c r="E1226">
        <v>1325.1442870999999</v>
      </c>
      <c r="F1226">
        <v>1322.5938721</v>
      </c>
      <c r="G1226">
        <v>80</v>
      </c>
      <c r="H1226">
        <v>79.964187621999997</v>
      </c>
      <c r="I1226">
        <v>50</v>
      </c>
      <c r="J1226">
        <v>56.870952606000003</v>
      </c>
      <c r="K1226">
        <v>2400</v>
      </c>
      <c r="L1226">
        <v>0</v>
      </c>
      <c r="M1226">
        <v>0</v>
      </c>
      <c r="N1226">
        <v>2400</v>
      </c>
    </row>
    <row r="1227" spans="1:14" x14ac:dyDescent="0.25">
      <c r="A1227">
        <v>543.00650900000005</v>
      </c>
      <c r="B1227" s="1">
        <f>DATE(2011,10,26) + TIME(0,9,22)</f>
        <v>40842.006504629629</v>
      </c>
      <c r="C1227">
        <v>1339.0946045000001</v>
      </c>
      <c r="D1227">
        <v>1336.9626464999999</v>
      </c>
      <c r="E1227">
        <v>1325.1419678</v>
      </c>
      <c r="F1227">
        <v>1322.5897216999999</v>
      </c>
      <c r="G1227">
        <v>80</v>
      </c>
      <c r="H1227">
        <v>79.964241028000004</v>
      </c>
      <c r="I1227">
        <v>50</v>
      </c>
      <c r="J1227">
        <v>57.206317902000002</v>
      </c>
      <c r="K1227">
        <v>2400</v>
      </c>
      <c r="L1227">
        <v>0</v>
      </c>
      <c r="M1227">
        <v>0</v>
      </c>
      <c r="N1227">
        <v>2400</v>
      </c>
    </row>
    <row r="1228" spans="1:14" x14ac:dyDescent="0.25">
      <c r="A1228">
        <v>545.75041999999996</v>
      </c>
      <c r="B1228" s="1">
        <f>DATE(2011,10,28) + TIME(18,0,36)</f>
        <v>40844.750416666669</v>
      </c>
      <c r="C1228">
        <v>1339.0891113</v>
      </c>
      <c r="D1228">
        <v>1336.9592285000001</v>
      </c>
      <c r="E1228">
        <v>1325.1396483999999</v>
      </c>
      <c r="F1228">
        <v>1322.5858154</v>
      </c>
      <c r="G1228">
        <v>80</v>
      </c>
      <c r="H1228">
        <v>79.964294433999996</v>
      </c>
      <c r="I1228">
        <v>50</v>
      </c>
      <c r="J1228">
        <v>57.531242370999998</v>
      </c>
      <c r="K1228">
        <v>2400</v>
      </c>
      <c r="L1228">
        <v>0</v>
      </c>
      <c r="M1228">
        <v>0</v>
      </c>
      <c r="N1228">
        <v>2400</v>
      </c>
    </row>
    <row r="1229" spans="1:14" x14ac:dyDescent="0.25">
      <c r="A1229">
        <v>548.51502000000005</v>
      </c>
      <c r="B1229" s="1">
        <f>DATE(2011,10,31) + TIME(12,21,37)</f>
        <v>40847.515011574076</v>
      </c>
      <c r="C1229">
        <v>1339.0837402</v>
      </c>
      <c r="D1229">
        <v>1336.9558105000001</v>
      </c>
      <c r="E1229">
        <v>1325.1375731999999</v>
      </c>
      <c r="F1229">
        <v>1322.5820312000001</v>
      </c>
      <c r="G1229">
        <v>80</v>
      </c>
      <c r="H1229">
        <v>79.964347838999998</v>
      </c>
      <c r="I1229">
        <v>50</v>
      </c>
      <c r="J1229">
        <v>57.845531463999997</v>
      </c>
      <c r="K1229">
        <v>2400</v>
      </c>
      <c r="L1229">
        <v>0</v>
      </c>
      <c r="M1229">
        <v>0</v>
      </c>
      <c r="N1229">
        <v>2400</v>
      </c>
    </row>
    <row r="1230" spans="1:14" x14ac:dyDescent="0.25">
      <c r="A1230">
        <v>549</v>
      </c>
      <c r="B1230" s="1">
        <f>DATE(2011,11,1) + TIME(0,0,0)</f>
        <v>40848</v>
      </c>
      <c r="C1230">
        <v>1339.0783690999999</v>
      </c>
      <c r="D1230">
        <v>1336.9525146000001</v>
      </c>
      <c r="E1230">
        <v>1325.1392822</v>
      </c>
      <c r="F1230">
        <v>1322.5800781</v>
      </c>
      <c r="G1230">
        <v>80</v>
      </c>
      <c r="H1230">
        <v>79.964347838999998</v>
      </c>
      <c r="I1230">
        <v>50</v>
      </c>
      <c r="J1230">
        <v>58.015438080000003</v>
      </c>
      <c r="K1230">
        <v>2400</v>
      </c>
      <c r="L1230">
        <v>0</v>
      </c>
      <c r="M1230">
        <v>0</v>
      </c>
      <c r="N1230">
        <v>2400</v>
      </c>
    </row>
    <row r="1231" spans="1:14" x14ac:dyDescent="0.25">
      <c r="A1231">
        <v>549.000001</v>
      </c>
      <c r="B1231" s="1">
        <f>DATE(2011,11,1) + TIME(0,0,0)</f>
        <v>40848</v>
      </c>
      <c r="C1231">
        <v>1336.3121338000001</v>
      </c>
      <c r="D1231">
        <v>1335.6761475000001</v>
      </c>
      <c r="E1231">
        <v>1328.5694579999999</v>
      </c>
      <c r="F1231">
        <v>1326.0916748</v>
      </c>
      <c r="G1231">
        <v>80</v>
      </c>
      <c r="H1231">
        <v>79.964256286999998</v>
      </c>
      <c r="I1231">
        <v>50</v>
      </c>
      <c r="J1231">
        <v>58.015548705999997</v>
      </c>
      <c r="K1231">
        <v>0</v>
      </c>
      <c r="L1231">
        <v>2400</v>
      </c>
      <c r="M1231">
        <v>2400</v>
      </c>
      <c r="N1231">
        <v>0</v>
      </c>
    </row>
    <row r="1232" spans="1:14" x14ac:dyDescent="0.25">
      <c r="A1232">
        <v>549.00000399999999</v>
      </c>
      <c r="B1232" s="1">
        <f>DATE(2011,11,1) + TIME(0,0,0)</f>
        <v>40848</v>
      </c>
      <c r="C1232">
        <v>1335.456543</v>
      </c>
      <c r="D1232">
        <v>1334.8099365</v>
      </c>
      <c r="E1232">
        <v>1329.8083495999999</v>
      </c>
      <c r="F1232">
        <v>1327.4558105000001</v>
      </c>
      <c r="G1232">
        <v>80</v>
      </c>
      <c r="H1232">
        <v>79.964134216000005</v>
      </c>
      <c r="I1232">
        <v>50</v>
      </c>
      <c r="J1232">
        <v>58.015686035000002</v>
      </c>
      <c r="K1232">
        <v>0</v>
      </c>
      <c r="L1232">
        <v>2400</v>
      </c>
      <c r="M1232">
        <v>2400</v>
      </c>
      <c r="N1232">
        <v>0</v>
      </c>
    </row>
    <row r="1233" spans="1:14" x14ac:dyDescent="0.25">
      <c r="A1233">
        <v>549.00001299999997</v>
      </c>
      <c r="B1233" s="1">
        <f>DATE(2011,11,1) + TIME(0,0,1)</f>
        <v>40848.000011574077</v>
      </c>
      <c r="C1233">
        <v>1334.5661620999999</v>
      </c>
      <c r="D1233">
        <v>1333.8846435999999</v>
      </c>
      <c r="E1233">
        <v>1331.3376464999999</v>
      </c>
      <c r="F1233">
        <v>1328.9686279</v>
      </c>
      <c r="G1233">
        <v>80</v>
      </c>
      <c r="H1233">
        <v>79.964004517000006</v>
      </c>
      <c r="I1233">
        <v>50</v>
      </c>
      <c r="J1233">
        <v>58.015762328999998</v>
      </c>
      <c r="K1233">
        <v>0</v>
      </c>
      <c r="L1233">
        <v>2400</v>
      </c>
      <c r="M1233">
        <v>2400</v>
      </c>
      <c r="N1233">
        <v>0</v>
      </c>
    </row>
    <row r="1234" spans="1:14" x14ac:dyDescent="0.25">
      <c r="A1234">
        <v>549.00004000000001</v>
      </c>
      <c r="B1234" s="1">
        <f>DATE(2011,11,1) + TIME(0,0,3)</f>
        <v>40848.000034722223</v>
      </c>
      <c r="C1234">
        <v>1333.6835937999999</v>
      </c>
      <c r="D1234">
        <v>1332.9556885</v>
      </c>
      <c r="E1234">
        <v>1332.9035644999999</v>
      </c>
      <c r="F1234">
        <v>1330.4837646000001</v>
      </c>
      <c r="G1234">
        <v>80</v>
      </c>
      <c r="H1234">
        <v>79.963874817000004</v>
      </c>
      <c r="I1234">
        <v>50</v>
      </c>
      <c r="J1234">
        <v>58.015586853000002</v>
      </c>
      <c r="K1234">
        <v>0</v>
      </c>
      <c r="L1234">
        <v>2400</v>
      </c>
      <c r="M1234">
        <v>2400</v>
      </c>
      <c r="N1234">
        <v>0</v>
      </c>
    </row>
    <row r="1235" spans="1:14" x14ac:dyDescent="0.25">
      <c r="A1235">
        <v>549.00012100000004</v>
      </c>
      <c r="B1235" s="1">
        <f>DATE(2011,11,1) + TIME(0,0,10)</f>
        <v>40848.000115740739</v>
      </c>
      <c r="C1235">
        <v>1332.7655029</v>
      </c>
      <c r="D1235">
        <v>1331.979126</v>
      </c>
      <c r="E1235">
        <v>1334.4511719</v>
      </c>
      <c r="F1235">
        <v>1331.9812012</v>
      </c>
      <c r="G1235">
        <v>80</v>
      </c>
      <c r="H1235">
        <v>79.963729857999994</v>
      </c>
      <c r="I1235">
        <v>50</v>
      </c>
      <c r="J1235">
        <v>58.014633179</v>
      </c>
      <c r="K1235">
        <v>0</v>
      </c>
      <c r="L1235">
        <v>2400</v>
      </c>
      <c r="M1235">
        <v>2400</v>
      </c>
      <c r="N1235">
        <v>0</v>
      </c>
    </row>
    <row r="1236" spans="1:14" x14ac:dyDescent="0.25">
      <c r="A1236">
        <v>549.00036399999999</v>
      </c>
      <c r="B1236" s="1">
        <f>DATE(2011,11,1) + TIME(0,0,31)</f>
        <v>40848.000358796293</v>
      </c>
      <c r="C1236">
        <v>1331.7850341999999</v>
      </c>
      <c r="D1236">
        <v>1330.9335937999999</v>
      </c>
      <c r="E1236">
        <v>1335.9832764</v>
      </c>
      <c r="F1236">
        <v>1333.4544678</v>
      </c>
      <c r="G1236">
        <v>80</v>
      </c>
      <c r="H1236">
        <v>79.963554381999998</v>
      </c>
      <c r="I1236">
        <v>50</v>
      </c>
      <c r="J1236">
        <v>58.011299133000001</v>
      </c>
      <c r="K1236">
        <v>0</v>
      </c>
      <c r="L1236">
        <v>2400</v>
      </c>
      <c r="M1236">
        <v>2400</v>
      </c>
      <c r="N1236">
        <v>0</v>
      </c>
    </row>
    <row r="1237" spans="1:14" x14ac:dyDescent="0.25">
      <c r="A1237">
        <v>549.00109299999997</v>
      </c>
      <c r="B1237" s="1">
        <f>DATE(2011,11,1) + TIME(0,1,34)</f>
        <v>40848.001087962963</v>
      </c>
      <c r="C1237">
        <v>1330.8342285000001</v>
      </c>
      <c r="D1237">
        <v>1329.9246826000001</v>
      </c>
      <c r="E1237">
        <v>1337.3875731999999</v>
      </c>
      <c r="F1237">
        <v>1334.7943115</v>
      </c>
      <c r="G1237">
        <v>80</v>
      </c>
      <c r="H1237">
        <v>79.963302612000007</v>
      </c>
      <c r="I1237">
        <v>50</v>
      </c>
      <c r="J1237">
        <v>58.000644684000001</v>
      </c>
      <c r="K1237">
        <v>0</v>
      </c>
      <c r="L1237">
        <v>2400</v>
      </c>
      <c r="M1237">
        <v>2400</v>
      </c>
      <c r="N1237">
        <v>0</v>
      </c>
    </row>
    <row r="1238" spans="1:14" x14ac:dyDescent="0.25">
      <c r="A1238">
        <v>549.00328000000002</v>
      </c>
      <c r="B1238" s="1">
        <f>DATE(2011,11,1) + TIME(0,4,43)</f>
        <v>40848.003275462965</v>
      </c>
      <c r="C1238">
        <v>1330.1319579999999</v>
      </c>
      <c r="D1238">
        <v>1329.1883545000001</v>
      </c>
      <c r="E1238">
        <v>1338.3931885</v>
      </c>
      <c r="F1238">
        <v>1335.7530518000001</v>
      </c>
      <c r="G1238">
        <v>80</v>
      </c>
      <c r="H1238">
        <v>79.962837218999994</v>
      </c>
      <c r="I1238">
        <v>50</v>
      </c>
      <c r="J1238">
        <v>57.967853546000001</v>
      </c>
      <c r="K1238">
        <v>0</v>
      </c>
      <c r="L1238">
        <v>2400</v>
      </c>
      <c r="M1238">
        <v>2400</v>
      </c>
      <c r="N1238">
        <v>0</v>
      </c>
    </row>
    <row r="1239" spans="1:14" x14ac:dyDescent="0.25">
      <c r="A1239">
        <v>549.00984100000005</v>
      </c>
      <c r="B1239" s="1">
        <f>DATE(2011,11,1) + TIME(0,14,10)</f>
        <v>40848.009837962964</v>
      </c>
      <c r="C1239">
        <v>1329.8221435999999</v>
      </c>
      <c r="D1239">
        <v>1328.8670654</v>
      </c>
      <c r="E1239">
        <v>1338.8232422000001</v>
      </c>
      <c r="F1239">
        <v>1336.1655272999999</v>
      </c>
      <c r="G1239">
        <v>80</v>
      </c>
      <c r="H1239">
        <v>79.961685181000007</v>
      </c>
      <c r="I1239">
        <v>50</v>
      </c>
      <c r="J1239">
        <v>57.869857787999997</v>
      </c>
      <c r="K1239">
        <v>0</v>
      </c>
      <c r="L1239">
        <v>2400</v>
      </c>
      <c r="M1239">
        <v>2400</v>
      </c>
      <c r="N1239">
        <v>0</v>
      </c>
    </row>
    <row r="1240" spans="1:14" x14ac:dyDescent="0.25">
      <c r="A1240">
        <v>549.02952400000004</v>
      </c>
      <c r="B1240" s="1">
        <f>DATE(2011,11,1) + TIME(0,42,30)</f>
        <v>40848.029513888891</v>
      </c>
      <c r="C1240">
        <v>1329.7592772999999</v>
      </c>
      <c r="D1240">
        <v>1328.8013916</v>
      </c>
      <c r="E1240">
        <v>1338.8895264</v>
      </c>
      <c r="F1240">
        <v>1336.2325439000001</v>
      </c>
      <c r="G1240">
        <v>80</v>
      </c>
      <c r="H1240">
        <v>79.958396911999998</v>
      </c>
      <c r="I1240">
        <v>50</v>
      </c>
      <c r="J1240">
        <v>57.587562560999999</v>
      </c>
      <c r="K1240">
        <v>0</v>
      </c>
      <c r="L1240">
        <v>2400</v>
      </c>
      <c r="M1240">
        <v>2400</v>
      </c>
      <c r="N1240">
        <v>0</v>
      </c>
    </row>
    <row r="1241" spans="1:14" x14ac:dyDescent="0.25">
      <c r="A1241">
        <v>549.056017</v>
      </c>
      <c r="B1241" s="1">
        <f>DATE(2011,11,1) + TIME(1,20,39)</f>
        <v>40848.056006944447</v>
      </c>
      <c r="C1241">
        <v>1329.7512207</v>
      </c>
      <c r="D1241">
        <v>1328.7911377</v>
      </c>
      <c r="E1241">
        <v>1338.8754882999999</v>
      </c>
      <c r="F1241">
        <v>1336.2222899999999</v>
      </c>
      <c r="G1241">
        <v>80</v>
      </c>
      <c r="H1241">
        <v>79.954032897999994</v>
      </c>
      <c r="I1241">
        <v>50</v>
      </c>
      <c r="J1241">
        <v>57.228103638</v>
      </c>
      <c r="K1241">
        <v>0</v>
      </c>
      <c r="L1241">
        <v>2400</v>
      </c>
      <c r="M1241">
        <v>2400</v>
      </c>
      <c r="N1241">
        <v>0</v>
      </c>
    </row>
    <row r="1242" spans="1:14" x14ac:dyDescent="0.25">
      <c r="A1242">
        <v>549.08362199999999</v>
      </c>
      <c r="B1242" s="1">
        <f>DATE(2011,11,1) + TIME(2,0,24)</f>
        <v>40848.083611111113</v>
      </c>
      <c r="C1242">
        <v>1329.7464600000001</v>
      </c>
      <c r="D1242">
        <v>1328.7840576000001</v>
      </c>
      <c r="E1242">
        <v>1338.8585204999999</v>
      </c>
      <c r="F1242">
        <v>1336.2084961</v>
      </c>
      <c r="G1242">
        <v>80</v>
      </c>
      <c r="H1242">
        <v>79.949516295999999</v>
      </c>
      <c r="I1242">
        <v>50</v>
      </c>
      <c r="J1242">
        <v>56.874275208</v>
      </c>
      <c r="K1242">
        <v>0</v>
      </c>
      <c r="L1242">
        <v>2400</v>
      </c>
      <c r="M1242">
        <v>2400</v>
      </c>
      <c r="N1242">
        <v>0</v>
      </c>
    </row>
    <row r="1243" spans="1:14" x14ac:dyDescent="0.25">
      <c r="A1243">
        <v>549.11240099999998</v>
      </c>
      <c r="B1243" s="1">
        <f>DATE(2011,11,1) + TIME(2,41,51)</f>
        <v>40848.112395833334</v>
      </c>
      <c r="C1243">
        <v>1329.7418213000001</v>
      </c>
      <c r="D1243">
        <v>1328.7770995999999</v>
      </c>
      <c r="E1243">
        <v>1338.8417969</v>
      </c>
      <c r="F1243">
        <v>1336.1948242000001</v>
      </c>
      <c r="G1243">
        <v>80</v>
      </c>
      <c r="H1243">
        <v>79.944831848000007</v>
      </c>
      <c r="I1243">
        <v>50</v>
      </c>
      <c r="J1243">
        <v>56.526378631999997</v>
      </c>
      <c r="K1243">
        <v>0</v>
      </c>
      <c r="L1243">
        <v>2400</v>
      </c>
      <c r="M1243">
        <v>2400</v>
      </c>
      <c r="N1243">
        <v>0</v>
      </c>
    </row>
    <row r="1244" spans="1:14" x14ac:dyDescent="0.25">
      <c r="A1244">
        <v>549.14243299999998</v>
      </c>
      <c r="B1244" s="1">
        <f>DATE(2011,11,1) + TIME(3,25,6)</f>
        <v>40848.142430555556</v>
      </c>
      <c r="C1244">
        <v>1329.7371826000001</v>
      </c>
      <c r="D1244">
        <v>1328.7698975000001</v>
      </c>
      <c r="E1244">
        <v>1338.8255615</v>
      </c>
      <c r="F1244">
        <v>1336.1816406</v>
      </c>
      <c r="G1244">
        <v>80</v>
      </c>
      <c r="H1244">
        <v>79.939971924000005</v>
      </c>
      <c r="I1244">
        <v>50</v>
      </c>
      <c r="J1244">
        <v>56.184551239000001</v>
      </c>
      <c r="K1244">
        <v>0</v>
      </c>
      <c r="L1244">
        <v>2400</v>
      </c>
      <c r="M1244">
        <v>2400</v>
      </c>
      <c r="N1244">
        <v>0</v>
      </c>
    </row>
    <row r="1245" spans="1:14" x14ac:dyDescent="0.25">
      <c r="A1245">
        <v>549.17380900000001</v>
      </c>
      <c r="B1245" s="1">
        <f>DATE(2011,11,1) + TIME(4,10,17)</f>
        <v>40848.173807870371</v>
      </c>
      <c r="C1245">
        <v>1329.7322998</v>
      </c>
      <c r="D1245">
        <v>1328.7625731999999</v>
      </c>
      <c r="E1245">
        <v>1338.8099365</v>
      </c>
      <c r="F1245">
        <v>1336.1688231999999</v>
      </c>
      <c r="G1245">
        <v>80</v>
      </c>
      <c r="H1245">
        <v>79.934936523000005</v>
      </c>
      <c r="I1245">
        <v>50</v>
      </c>
      <c r="J1245">
        <v>55.848941803000002</v>
      </c>
      <c r="K1245">
        <v>0</v>
      </c>
      <c r="L1245">
        <v>2400</v>
      </c>
      <c r="M1245">
        <v>2400</v>
      </c>
      <c r="N1245">
        <v>0</v>
      </c>
    </row>
    <row r="1246" spans="1:14" x14ac:dyDescent="0.25">
      <c r="A1246">
        <v>549.20662600000003</v>
      </c>
      <c r="B1246" s="1">
        <f>DATE(2011,11,1) + TIME(4,57,32)</f>
        <v>40848.206620370373</v>
      </c>
      <c r="C1246">
        <v>1329.7274170000001</v>
      </c>
      <c r="D1246">
        <v>1328.7551269999999</v>
      </c>
      <c r="E1246">
        <v>1338.7949219</v>
      </c>
      <c r="F1246">
        <v>1336.1564940999999</v>
      </c>
      <c r="G1246">
        <v>80</v>
      </c>
      <c r="H1246">
        <v>79.929710388000004</v>
      </c>
      <c r="I1246">
        <v>50</v>
      </c>
      <c r="J1246">
        <v>55.519706726000003</v>
      </c>
      <c r="K1246">
        <v>0</v>
      </c>
      <c r="L1246">
        <v>2400</v>
      </c>
      <c r="M1246">
        <v>2400</v>
      </c>
      <c r="N1246">
        <v>0</v>
      </c>
    </row>
    <row r="1247" spans="1:14" x14ac:dyDescent="0.25">
      <c r="A1247">
        <v>549.240993</v>
      </c>
      <c r="B1247" s="1">
        <f>DATE(2011,11,1) + TIME(5,47,1)</f>
        <v>40848.240983796299</v>
      </c>
      <c r="C1247">
        <v>1329.7224120999999</v>
      </c>
      <c r="D1247">
        <v>1328.7475586</v>
      </c>
      <c r="E1247">
        <v>1338.7805175999999</v>
      </c>
      <c r="F1247">
        <v>1336.1446533000001</v>
      </c>
      <c r="G1247">
        <v>80</v>
      </c>
      <c r="H1247">
        <v>79.924270629999995</v>
      </c>
      <c r="I1247">
        <v>50</v>
      </c>
      <c r="J1247">
        <v>55.197029114000003</v>
      </c>
      <c r="K1247">
        <v>0</v>
      </c>
      <c r="L1247">
        <v>2400</v>
      </c>
      <c r="M1247">
        <v>2400</v>
      </c>
      <c r="N1247">
        <v>0</v>
      </c>
    </row>
    <row r="1248" spans="1:14" x14ac:dyDescent="0.25">
      <c r="A1248">
        <v>549.27702899999997</v>
      </c>
      <c r="B1248" s="1">
        <f>DATE(2011,11,1) + TIME(6,38,55)</f>
        <v>40848.277025462965</v>
      </c>
      <c r="C1248">
        <v>1329.7172852000001</v>
      </c>
      <c r="D1248">
        <v>1328.7397461</v>
      </c>
      <c r="E1248">
        <v>1338.7668457</v>
      </c>
      <c r="F1248">
        <v>1336.1334228999999</v>
      </c>
      <c r="G1248">
        <v>80</v>
      </c>
      <c r="H1248">
        <v>79.918609618999994</v>
      </c>
      <c r="I1248">
        <v>50</v>
      </c>
      <c r="J1248">
        <v>54.881092072000001</v>
      </c>
      <c r="K1248">
        <v>0</v>
      </c>
      <c r="L1248">
        <v>2400</v>
      </c>
      <c r="M1248">
        <v>2400</v>
      </c>
      <c r="N1248">
        <v>0</v>
      </c>
    </row>
    <row r="1249" spans="1:14" x14ac:dyDescent="0.25">
      <c r="A1249">
        <v>549.31486600000005</v>
      </c>
      <c r="B1249" s="1">
        <f>DATE(2011,11,1) + TIME(7,33,24)</f>
        <v>40848.31486111111</v>
      </c>
      <c r="C1249">
        <v>1329.7120361</v>
      </c>
      <c r="D1249">
        <v>1328.7316894999999</v>
      </c>
      <c r="E1249">
        <v>1338.7537841999999</v>
      </c>
      <c r="F1249">
        <v>1336.1226807</v>
      </c>
      <c r="G1249">
        <v>80</v>
      </c>
      <c r="H1249">
        <v>79.912719726999995</v>
      </c>
      <c r="I1249">
        <v>50</v>
      </c>
      <c r="J1249">
        <v>54.572109222000002</v>
      </c>
      <c r="K1249">
        <v>0</v>
      </c>
      <c r="L1249">
        <v>2400</v>
      </c>
      <c r="M1249">
        <v>2400</v>
      </c>
      <c r="N1249">
        <v>0</v>
      </c>
    </row>
    <row r="1250" spans="1:14" x14ac:dyDescent="0.25">
      <c r="A1250">
        <v>549.354646</v>
      </c>
      <c r="B1250" s="1">
        <f>DATE(2011,11,1) + TIME(8,30,41)</f>
        <v>40848.354641203703</v>
      </c>
      <c r="C1250">
        <v>1329.706543</v>
      </c>
      <c r="D1250">
        <v>1328.7235106999999</v>
      </c>
      <c r="E1250">
        <v>1338.7415771000001</v>
      </c>
      <c r="F1250">
        <v>1336.1124268000001</v>
      </c>
      <c r="G1250">
        <v>80</v>
      </c>
      <c r="H1250">
        <v>79.906578064000001</v>
      </c>
      <c r="I1250">
        <v>50</v>
      </c>
      <c r="J1250">
        <v>54.270359038999999</v>
      </c>
      <c r="K1250">
        <v>0</v>
      </c>
      <c r="L1250">
        <v>2400</v>
      </c>
      <c r="M1250">
        <v>2400</v>
      </c>
      <c r="N1250">
        <v>0</v>
      </c>
    </row>
    <row r="1251" spans="1:14" x14ac:dyDescent="0.25">
      <c r="A1251">
        <v>549.39652599999999</v>
      </c>
      <c r="B1251" s="1">
        <f>DATE(2011,11,1) + TIME(9,30,59)</f>
        <v>40848.396516203706</v>
      </c>
      <c r="C1251">
        <v>1329.7010498</v>
      </c>
      <c r="D1251">
        <v>1328.7150879000001</v>
      </c>
      <c r="E1251">
        <v>1338.7301024999999</v>
      </c>
      <c r="F1251">
        <v>1336.1029053</v>
      </c>
      <c r="G1251">
        <v>80</v>
      </c>
      <c r="H1251">
        <v>79.900161742999998</v>
      </c>
      <c r="I1251">
        <v>50</v>
      </c>
      <c r="J1251">
        <v>53.976104736000003</v>
      </c>
      <c r="K1251">
        <v>0</v>
      </c>
      <c r="L1251">
        <v>2400</v>
      </c>
      <c r="M1251">
        <v>2400</v>
      </c>
      <c r="N1251">
        <v>0</v>
      </c>
    </row>
    <row r="1252" spans="1:14" x14ac:dyDescent="0.25">
      <c r="A1252">
        <v>549.44070199999999</v>
      </c>
      <c r="B1252" s="1">
        <f>DATE(2011,11,1) + TIME(10,34,36)</f>
        <v>40848.440694444442</v>
      </c>
      <c r="C1252">
        <v>1329.6953125</v>
      </c>
      <c r="D1252">
        <v>1328.7064209</v>
      </c>
      <c r="E1252">
        <v>1338.7193603999999</v>
      </c>
      <c r="F1252">
        <v>1336.0938721</v>
      </c>
      <c r="G1252">
        <v>80</v>
      </c>
      <c r="H1252">
        <v>79.893455505000006</v>
      </c>
      <c r="I1252">
        <v>50</v>
      </c>
      <c r="J1252">
        <v>53.689533234000002</v>
      </c>
      <c r="K1252">
        <v>0</v>
      </c>
      <c r="L1252">
        <v>2400</v>
      </c>
      <c r="M1252">
        <v>2400</v>
      </c>
      <c r="N1252">
        <v>0</v>
      </c>
    </row>
    <row r="1253" spans="1:14" x14ac:dyDescent="0.25">
      <c r="A1253">
        <v>549.48737900000003</v>
      </c>
      <c r="B1253" s="1">
        <f>DATE(2011,11,1) + TIME(11,41,49)</f>
        <v>40848.487372685187</v>
      </c>
      <c r="C1253">
        <v>1329.6893310999999</v>
      </c>
      <c r="D1253">
        <v>1328.6973877</v>
      </c>
      <c r="E1253">
        <v>1338.7094727000001</v>
      </c>
      <c r="F1253">
        <v>1336.0854492000001</v>
      </c>
      <c r="G1253">
        <v>80</v>
      </c>
      <c r="H1253">
        <v>79.886444092000005</v>
      </c>
      <c r="I1253">
        <v>50</v>
      </c>
      <c r="J1253">
        <v>53.410934447999999</v>
      </c>
      <c r="K1253">
        <v>0</v>
      </c>
      <c r="L1253">
        <v>2400</v>
      </c>
      <c r="M1253">
        <v>2400</v>
      </c>
      <c r="N1253">
        <v>0</v>
      </c>
    </row>
    <row r="1254" spans="1:14" x14ac:dyDescent="0.25">
      <c r="A1254">
        <v>549.536789</v>
      </c>
      <c r="B1254" s="1">
        <f>DATE(2011,11,1) + TIME(12,52,58)</f>
        <v>40848.536782407406</v>
      </c>
      <c r="C1254">
        <v>1329.6832274999999</v>
      </c>
      <c r="D1254">
        <v>1328.6881103999999</v>
      </c>
      <c r="E1254">
        <v>1338.7003173999999</v>
      </c>
      <c r="F1254">
        <v>1336.0776367000001</v>
      </c>
      <c r="G1254">
        <v>80</v>
      </c>
      <c r="H1254">
        <v>79.879081725999995</v>
      </c>
      <c r="I1254">
        <v>50</v>
      </c>
      <c r="J1254">
        <v>53.140613555999998</v>
      </c>
      <c r="K1254">
        <v>0</v>
      </c>
      <c r="L1254">
        <v>2400</v>
      </c>
      <c r="M1254">
        <v>2400</v>
      </c>
      <c r="N1254">
        <v>0</v>
      </c>
    </row>
    <row r="1255" spans="1:14" x14ac:dyDescent="0.25">
      <c r="A1255">
        <v>549.58919600000002</v>
      </c>
      <c r="B1255" s="1">
        <f>DATE(2011,11,1) + TIME(14,8,26)</f>
        <v>40848.589189814818</v>
      </c>
      <c r="C1255">
        <v>1329.6768798999999</v>
      </c>
      <c r="D1255">
        <v>1328.6785889</v>
      </c>
      <c r="E1255">
        <v>1338.6920166</v>
      </c>
      <c r="F1255">
        <v>1336.0704346</v>
      </c>
      <c r="G1255">
        <v>80</v>
      </c>
      <c r="H1255">
        <v>79.871360779</v>
      </c>
      <c r="I1255">
        <v>50</v>
      </c>
      <c r="J1255">
        <v>52.878894805999998</v>
      </c>
      <c r="K1255">
        <v>0</v>
      </c>
      <c r="L1255">
        <v>2400</v>
      </c>
      <c r="M1255">
        <v>2400</v>
      </c>
      <c r="N1255">
        <v>0</v>
      </c>
    </row>
    <row r="1256" spans="1:14" x14ac:dyDescent="0.25">
      <c r="A1256">
        <v>549.64489800000001</v>
      </c>
      <c r="B1256" s="1">
        <f>DATE(2011,11,1) + TIME(15,28,39)</f>
        <v>40848.644895833335</v>
      </c>
      <c r="C1256">
        <v>1329.6702881000001</v>
      </c>
      <c r="D1256">
        <v>1328.6687012</v>
      </c>
      <c r="E1256">
        <v>1338.6846923999999</v>
      </c>
      <c r="F1256">
        <v>1336.0639647999999</v>
      </c>
      <c r="G1256">
        <v>80</v>
      </c>
      <c r="H1256">
        <v>79.863243103000002</v>
      </c>
      <c r="I1256">
        <v>50</v>
      </c>
      <c r="J1256">
        <v>52.626140593999999</v>
      </c>
      <c r="K1256">
        <v>0</v>
      </c>
      <c r="L1256">
        <v>2400</v>
      </c>
      <c r="M1256">
        <v>2400</v>
      </c>
      <c r="N1256">
        <v>0</v>
      </c>
    </row>
    <row r="1257" spans="1:14" x14ac:dyDescent="0.25">
      <c r="A1257">
        <v>549.70423600000004</v>
      </c>
      <c r="B1257" s="1">
        <f>DATE(2011,11,1) + TIME(16,54,5)</f>
        <v>40848.704224537039</v>
      </c>
      <c r="C1257">
        <v>1329.6635742000001</v>
      </c>
      <c r="D1257">
        <v>1328.6584473</v>
      </c>
      <c r="E1257">
        <v>1338.6781006000001</v>
      </c>
      <c r="F1257">
        <v>1336.0579834</v>
      </c>
      <c r="G1257">
        <v>80</v>
      </c>
      <c r="H1257">
        <v>79.854682921999995</v>
      </c>
      <c r="I1257">
        <v>50</v>
      </c>
      <c r="J1257">
        <v>52.382720947000003</v>
      </c>
      <c r="K1257">
        <v>0</v>
      </c>
      <c r="L1257">
        <v>2400</v>
      </c>
      <c r="M1257">
        <v>2400</v>
      </c>
      <c r="N1257">
        <v>0</v>
      </c>
    </row>
    <row r="1258" spans="1:14" x14ac:dyDescent="0.25">
      <c r="A1258">
        <v>549.76759900000002</v>
      </c>
      <c r="B1258" s="1">
        <f>DATE(2011,11,1) + TIME(18,25,20)</f>
        <v>40848.767592592594</v>
      </c>
      <c r="C1258">
        <v>1329.6564940999999</v>
      </c>
      <c r="D1258">
        <v>1328.6478271000001</v>
      </c>
      <c r="E1258">
        <v>1338.6722411999999</v>
      </c>
      <c r="F1258">
        <v>1336.0527344</v>
      </c>
      <c r="G1258">
        <v>80</v>
      </c>
      <c r="H1258">
        <v>79.845649718999994</v>
      </c>
      <c r="I1258">
        <v>50</v>
      </c>
      <c r="J1258">
        <v>52.149032593000001</v>
      </c>
      <c r="K1258">
        <v>0</v>
      </c>
      <c r="L1258">
        <v>2400</v>
      </c>
      <c r="M1258">
        <v>2400</v>
      </c>
      <c r="N1258">
        <v>0</v>
      </c>
    </row>
    <row r="1259" spans="1:14" x14ac:dyDescent="0.25">
      <c r="A1259">
        <v>549.83543599999996</v>
      </c>
      <c r="B1259" s="1">
        <f>DATE(2011,11,1) + TIME(20,3,1)</f>
        <v>40848.835428240738</v>
      </c>
      <c r="C1259">
        <v>1329.6490478999999</v>
      </c>
      <c r="D1259">
        <v>1328.6367187999999</v>
      </c>
      <c r="E1259">
        <v>1338.6673584</v>
      </c>
      <c r="F1259">
        <v>1336.0482178</v>
      </c>
      <c r="G1259">
        <v>80</v>
      </c>
      <c r="H1259">
        <v>79.836097717000001</v>
      </c>
      <c r="I1259">
        <v>50</v>
      </c>
      <c r="J1259">
        <v>51.925498961999999</v>
      </c>
      <c r="K1259">
        <v>0</v>
      </c>
      <c r="L1259">
        <v>2400</v>
      </c>
      <c r="M1259">
        <v>2400</v>
      </c>
      <c r="N1259">
        <v>0</v>
      </c>
    </row>
    <row r="1260" spans="1:14" x14ac:dyDescent="0.25">
      <c r="A1260">
        <v>549.90826600000003</v>
      </c>
      <c r="B1260" s="1">
        <f>DATE(2011,11,1) + TIME(21,47,54)</f>
        <v>40848.908263888887</v>
      </c>
      <c r="C1260">
        <v>1329.6413574000001</v>
      </c>
      <c r="D1260">
        <v>1328.6252440999999</v>
      </c>
      <c r="E1260">
        <v>1338.6632079999999</v>
      </c>
      <c r="F1260">
        <v>1336.0441894999999</v>
      </c>
      <c r="G1260">
        <v>80</v>
      </c>
      <c r="H1260">
        <v>79.825965881000002</v>
      </c>
      <c r="I1260">
        <v>50</v>
      </c>
      <c r="J1260">
        <v>51.712554932000003</v>
      </c>
      <c r="K1260">
        <v>0</v>
      </c>
      <c r="L1260">
        <v>2400</v>
      </c>
      <c r="M1260">
        <v>2400</v>
      </c>
      <c r="N1260">
        <v>0</v>
      </c>
    </row>
    <row r="1261" spans="1:14" x14ac:dyDescent="0.25">
      <c r="A1261">
        <v>549.98617400000001</v>
      </c>
      <c r="B1261" s="1">
        <f>DATE(2011,11,1) + TIME(23,40,5)</f>
        <v>40848.986168981479</v>
      </c>
      <c r="C1261">
        <v>1329.6333007999999</v>
      </c>
      <c r="D1261">
        <v>1328.6131591999999</v>
      </c>
      <c r="E1261">
        <v>1338.6600341999999</v>
      </c>
      <c r="F1261">
        <v>1336.0410156</v>
      </c>
      <c r="G1261">
        <v>80</v>
      </c>
      <c r="H1261">
        <v>79.815269470000004</v>
      </c>
      <c r="I1261">
        <v>50</v>
      </c>
      <c r="J1261">
        <v>51.511825561999999</v>
      </c>
      <c r="K1261">
        <v>0</v>
      </c>
      <c r="L1261">
        <v>2400</v>
      </c>
      <c r="M1261">
        <v>2400</v>
      </c>
      <c r="N1261">
        <v>0</v>
      </c>
    </row>
    <row r="1262" spans="1:14" x14ac:dyDescent="0.25">
      <c r="A1262">
        <v>550.06914300000005</v>
      </c>
      <c r="B1262" s="1">
        <f>DATE(2011,11,2) + TIME(1,39,33)</f>
        <v>40849.069131944445</v>
      </c>
      <c r="C1262">
        <v>1329.625</v>
      </c>
      <c r="D1262">
        <v>1328.6005858999999</v>
      </c>
      <c r="E1262">
        <v>1338.6577147999999</v>
      </c>
      <c r="F1262">
        <v>1336.0384521000001</v>
      </c>
      <c r="G1262">
        <v>80</v>
      </c>
      <c r="H1262">
        <v>79.804016113000003</v>
      </c>
      <c r="I1262">
        <v>50</v>
      </c>
      <c r="J1262">
        <v>51.324729918999999</v>
      </c>
      <c r="K1262">
        <v>0</v>
      </c>
      <c r="L1262">
        <v>2400</v>
      </c>
      <c r="M1262">
        <v>2400</v>
      </c>
      <c r="N1262">
        <v>0</v>
      </c>
    </row>
    <row r="1263" spans="1:14" x14ac:dyDescent="0.25">
      <c r="A1263">
        <v>550.15785000000005</v>
      </c>
      <c r="B1263" s="1">
        <f>DATE(2011,11,2) + TIME(3,47,18)</f>
        <v>40849.157847222225</v>
      </c>
      <c r="C1263">
        <v>1329.6162108999999</v>
      </c>
      <c r="D1263">
        <v>1328.5875243999999</v>
      </c>
      <c r="E1263">
        <v>1338.6560059000001</v>
      </c>
      <c r="F1263">
        <v>1336.036499</v>
      </c>
      <c r="G1263">
        <v>80</v>
      </c>
      <c r="H1263">
        <v>79.792152404999996</v>
      </c>
      <c r="I1263">
        <v>50</v>
      </c>
      <c r="J1263">
        <v>51.151012420999997</v>
      </c>
      <c r="K1263">
        <v>0</v>
      </c>
      <c r="L1263">
        <v>2400</v>
      </c>
      <c r="M1263">
        <v>2400</v>
      </c>
      <c r="N1263">
        <v>0</v>
      </c>
    </row>
    <row r="1264" spans="1:14" x14ac:dyDescent="0.25">
      <c r="A1264">
        <v>550.25309300000004</v>
      </c>
      <c r="B1264" s="1">
        <f>DATE(2011,11,2) + TIME(6,4,27)</f>
        <v>40849.25309027778</v>
      </c>
      <c r="C1264">
        <v>1329.6071777</v>
      </c>
      <c r="D1264">
        <v>1328.5739745999999</v>
      </c>
      <c r="E1264">
        <v>1338.6547852000001</v>
      </c>
      <c r="F1264">
        <v>1336.0350341999999</v>
      </c>
      <c r="G1264">
        <v>80</v>
      </c>
      <c r="H1264">
        <v>79.779579162999994</v>
      </c>
      <c r="I1264">
        <v>50</v>
      </c>
      <c r="J1264">
        <v>50.990455627000003</v>
      </c>
      <c r="K1264">
        <v>0</v>
      </c>
      <c r="L1264">
        <v>2400</v>
      </c>
      <c r="M1264">
        <v>2400</v>
      </c>
      <c r="N1264">
        <v>0</v>
      </c>
    </row>
    <row r="1265" spans="1:14" x14ac:dyDescent="0.25">
      <c r="A1265">
        <v>550.35583799999995</v>
      </c>
      <c r="B1265" s="1">
        <f>DATE(2011,11,2) + TIME(8,32,24)</f>
        <v>40849.355833333335</v>
      </c>
      <c r="C1265">
        <v>1329.5975341999999</v>
      </c>
      <c r="D1265">
        <v>1328.5598144999999</v>
      </c>
      <c r="E1265">
        <v>1338.6540527</v>
      </c>
      <c r="F1265">
        <v>1336.0340576000001</v>
      </c>
      <c r="G1265">
        <v>80</v>
      </c>
      <c r="H1265">
        <v>79.766212463000002</v>
      </c>
      <c r="I1265">
        <v>50</v>
      </c>
      <c r="J1265">
        <v>50.842861176</v>
      </c>
      <c r="K1265">
        <v>0</v>
      </c>
      <c r="L1265">
        <v>2400</v>
      </c>
      <c r="M1265">
        <v>2400</v>
      </c>
      <c r="N1265">
        <v>0</v>
      </c>
    </row>
    <row r="1266" spans="1:14" x14ac:dyDescent="0.25">
      <c r="A1266">
        <v>550.46726699999999</v>
      </c>
      <c r="B1266" s="1">
        <f>DATE(2011,11,2) + TIME(11,12,51)</f>
        <v>40849.467256944445</v>
      </c>
      <c r="C1266">
        <v>1329.5875243999999</v>
      </c>
      <c r="D1266">
        <v>1328.5449219</v>
      </c>
      <c r="E1266">
        <v>1338.6535644999999</v>
      </c>
      <c r="F1266">
        <v>1336.0333252</v>
      </c>
      <c r="G1266">
        <v>80</v>
      </c>
      <c r="H1266">
        <v>79.751930236999996</v>
      </c>
      <c r="I1266">
        <v>50</v>
      </c>
      <c r="J1266">
        <v>50.708042145</v>
      </c>
      <c r="K1266">
        <v>0</v>
      </c>
      <c r="L1266">
        <v>2400</v>
      </c>
      <c r="M1266">
        <v>2400</v>
      </c>
      <c r="N1266">
        <v>0</v>
      </c>
    </row>
    <row r="1267" spans="1:14" x14ac:dyDescent="0.25">
      <c r="A1267">
        <v>550.588843</v>
      </c>
      <c r="B1267" s="1">
        <f>DATE(2011,11,2) + TIME(14,7,56)</f>
        <v>40849.588842592595</v>
      </c>
      <c r="C1267">
        <v>1329.5769043</v>
      </c>
      <c r="D1267">
        <v>1328.5291748</v>
      </c>
      <c r="E1267">
        <v>1338.6534423999999</v>
      </c>
      <c r="F1267">
        <v>1336.0329589999999</v>
      </c>
      <c r="G1267">
        <v>80</v>
      </c>
      <c r="H1267">
        <v>79.736602782999995</v>
      </c>
      <c r="I1267">
        <v>50</v>
      </c>
      <c r="J1267">
        <v>50.585811614999997</v>
      </c>
      <c r="K1267">
        <v>0</v>
      </c>
      <c r="L1267">
        <v>2400</v>
      </c>
      <c r="M1267">
        <v>2400</v>
      </c>
      <c r="N1267">
        <v>0</v>
      </c>
    </row>
    <row r="1268" spans="1:14" x14ac:dyDescent="0.25">
      <c r="A1268">
        <v>550.71638700000005</v>
      </c>
      <c r="B1268" s="1">
        <f>DATE(2011,11,2) + TIME(17,11,35)</f>
        <v>40849.716377314813</v>
      </c>
      <c r="C1268">
        <v>1329.5657959</v>
      </c>
      <c r="D1268">
        <v>1328.5126952999999</v>
      </c>
      <c r="E1268">
        <v>1338.6540527</v>
      </c>
      <c r="F1268">
        <v>1336.0332031</v>
      </c>
      <c r="G1268">
        <v>80</v>
      </c>
      <c r="H1268">
        <v>79.720695496000005</v>
      </c>
      <c r="I1268">
        <v>50</v>
      </c>
      <c r="J1268">
        <v>50.480049133000001</v>
      </c>
      <c r="K1268">
        <v>0</v>
      </c>
      <c r="L1268">
        <v>2400</v>
      </c>
      <c r="M1268">
        <v>2400</v>
      </c>
      <c r="N1268">
        <v>0</v>
      </c>
    </row>
    <row r="1269" spans="1:14" x14ac:dyDescent="0.25">
      <c r="A1269">
        <v>550.848252</v>
      </c>
      <c r="B1269" s="1">
        <f>DATE(2011,11,2) + TIME(20,21,28)</f>
        <v>40849.848240740743</v>
      </c>
      <c r="C1269">
        <v>1329.5543213000001</v>
      </c>
      <c r="D1269">
        <v>1328.4957274999999</v>
      </c>
      <c r="E1269">
        <v>1338.6547852000001</v>
      </c>
      <c r="F1269">
        <v>1336.0338135</v>
      </c>
      <c r="G1269">
        <v>80</v>
      </c>
      <c r="H1269">
        <v>79.704414368000002</v>
      </c>
      <c r="I1269">
        <v>50</v>
      </c>
      <c r="J1269">
        <v>50.390346526999998</v>
      </c>
      <c r="K1269">
        <v>0</v>
      </c>
      <c r="L1269">
        <v>2400</v>
      </c>
      <c r="M1269">
        <v>2400</v>
      </c>
      <c r="N1269">
        <v>0</v>
      </c>
    </row>
    <row r="1270" spans="1:14" x14ac:dyDescent="0.25">
      <c r="A1270">
        <v>550.98478599999999</v>
      </c>
      <c r="B1270" s="1">
        <f>DATE(2011,11,2) + TIME(23,38,5)</f>
        <v>40849.984780092593</v>
      </c>
      <c r="C1270">
        <v>1329.5427245999999</v>
      </c>
      <c r="D1270">
        <v>1328.4786377</v>
      </c>
      <c r="E1270">
        <v>1338.6551514</v>
      </c>
      <c r="F1270">
        <v>1336.0343018000001</v>
      </c>
      <c r="G1270">
        <v>80</v>
      </c>
      <c r="H1270">
        <v>79.687713622999993</v>
      </c>
      <c r="I1270">
        <v>50</v>
      </c>
      <c r="J1270">
        <v>50.314586638999998</v>
      </c>
      <c r="K1270">
        <v>0</v>
      </c>
      <c r="L1270">
        <v>2400</v>
      </c>
      <c r="M1270">
        <v>2400</v>
      </c>
      <c r="N1270">
        <v>0</v>
      </c>
    </row>
    <row r="1271" spans="1:14" x14ac:dyDescent="0.25">
      <c r="A1271">
        <v>551.12630300000001</v>
      </c>
      <c r="B1271" s="1">
        <f>DATE(2011,11,3) + TIME(3,1,52)</f>
        <v>40850.126296296294</v>
      </c>
      <c r="C1271">
        <v>1329.5310059000001</v>
      </c>
      <c r="D1271">
        <v>1328.4614257999999</v>
      </c>
      <c r="E1271">
        <v>1338.6551514</v>
      </c>
      <c r="F1271">
        <v>1336.034668</v>
      </c>
      <c r="G1271">
        <v>80</v>
      </c>
      <c r="H1271">
        <v>79.670570373999993</v>
      </c>
      <c r="I1271">
        <v>50</v>
      </c>
      <c r="J1271">
        <v>50.250930785999998</v>
      </c>
      <c r="K1271">
        <v>0</v>
      </c>
      <c r="L1271">
        <v>2400</v>
      </c>
      <c r="M1271">
        <v>2400</v>
      </c>
      <c r="N1271">
        <v>0</v>
      </c>
    </row>
    <row r="1272" spans="1:14" x14ac:dyDescent="0.25">
      <c r="A1272">
        <v>551.27314200000001</v>
      </c>
      <c r="B1272" s="1">
        <f>DATE(2011,11,3) + TIME(6,33,19)</f>
        <v>40850.273136574076</v>
      </c>
      <c r="C1272">
        <v>1329.5189209</v>
      </c>
      <c r="D1272">
        <v>1328.4438477000001</v>
      </c>
      <c r="E1272">
        <v>1338.6547852000001</v>
      </c>
      <c r="F1272">
        <v>1336.0347899999999</v>
      </c>
      <c r="G1272">
        <v>80</v>
      </c>
      <c r="H1272">
        <v>79.652946471999996</v>
      </c>
      <c r="I1272">
        <v>50</v>
      </c>
      <c r="J1272">
        <v>50.197742462000001</v>
      </c>
      <c r="K1272">
        <v>0</v>
      </c>
      <c r="L1272">
        <v>2400</v>
      </c>
      <c r="M1272">
        <v>2400</v>
      </c>
      <c r="N1272">
        <v>0</v>
      </c>
    </row>
    <row r="1273" spans="1:14" x14ac:dyDescent="0.25">
      <c r="A1273">
        <v>551.42566999999997</v>
      </c>
      <c r="B1273" s="1">
        <f>DATE(2011,11,3) + TIME(10,12,57)</f>
        <v>40850.425659722219</v>
      </c>
      <c r="C1273">
        <v>1329.5067139</v>
      </c>
      <c r="D1273">
        <v>1328.4259033000001</v>
      </c>
      <c r="E1273">
        <v>1338.6539307</v>
      </c>
      <c r="F1273">
        <v>1336.0347899999999</v>
      </c>
      <c r="G1273">
        <v>80</v>
      </c>
      <c r="H1273">
        <v>79.634803771999998</v>
      </c>
      <c r="I1273">
        <v>50</v>
      </c>
      <c r="J1273">
        <v>50.153560638000002</v>
      </c>
      <c r="K1273">
        <v>0</v>
      </c>
      <c r="L1273">
        <v>2400</v>
      </c>
      <c r="M1273">
        <v>2400</v>
      </c>
      <c r="N1273">
        <v>0</v>
      </c>
    </row>
    <row r="1274" spans="1:14" x14ac:dyDescent="0.25">
      <c r="A1274">
        <v>551.58426699999995</v>
      </c>
      <c r="B1274" s="1">
        <f>DATE(2011,11,3) + TIME(14,1,20)</f>
        <v>40850.58425925926</v>
      </c>
      <c r="C1274">
        <v>1329.4942627</v>
      </c>
      <c r="D1274">
        <v>1328.4077147999999</v>
      </c>
      <c r="E1274">
        <v>1338.6525879000001</v>
      </c>
      <c r="F1274">
        <v>1336.0345459</v>
      </c>
      <c r="G1274">
        <v>80</v>
      </c>
      <c r="H1274">
        <v>79.616111755000006</v>
      </c>
      <c r="I1274">
        <v>50</v>
      </c>
      <c r="J1274">
        <v>50.117095947000003</v>
      </c>
      <c r="K1274">
        <v>0</v>
      </c>
      <c r="L1274">
        <v>2400</v>
      </c>
      <c r="M1274">
        <v>2400</v>
      </c>
      <c r="N1274">
        <v>0</v>
      </c>
    </row>
    <row r="1275" spans="1:14" x14ac:dyDescent="0.25">
      <c r="A1275">
        <v>551.74933699999997</v>
      </c>
      <c r="B1275" s="1">
        <f>DATE(2011,11,3) + TIME(17,59,2)</f>
        <v>40850.749328703707</v>
      </c>
      <c r="C1275">
        <v>1329.4815673999999</v>
      </c>
      <c r="D1275">
        <v>1328.3891602000001</v>
      </c>
      <c r="E1275">
        <v>1338.6506348</v>
      </c>
      <c r="F1275">
        <v>1336.0339355000001</v>
      </c>
      <c r="G1275">
        <v>80</v>
      </c>
      <c r="H1275">
        <v>79.596839904999996</v>
      </c>
      <c r="I1275">
        <v>50</v>
      </c>
      <c r="J1275">
        <v>50.087207794000001</v>
      </c>
      <c r="K1275">
        <v>0</v>
      </c>
      <c r="L1275">
        <v>2400</v>
      </c>
      <c r="M1275">
        <v>2400</v>
      </c>
      <c r="N1275">
        <v>0</v>
      </c>
    </row>
    <row r="1276" spans="1:14" x14ac:dyDescent="0.25">
      <c r="A1276">
        <v>551.92140300000005</v>
      </c>
      <c r="B1276" s="1">
        <f>DATE(2011,11,3) + TIME(22,6,49)</f>
        <v>40850.921400462961</v>
      </c>
      <c r="C1276">
        <v>1329.4685059000001</v>
      </c>
      <c r="D1276">
        <v>1328.3701172000001</v>
      </c>
      <c r="E1276">
        <v>1338.6481934000001</v>
      </c>
      <c r="F1276">
        <v>1336.0330810999999</v>
      </c>
      <c r="G1276">
        <v>80</v>
      </c>
      <c r="H1276">
        <v>79.576927185000002</v>
      </c>
      <c r="I1276">
        <v>50</v>
      </c>
      <c r="J1276">
        <v>50.062873840000002</v>
      </c>
      <c r="K1276">
        <v>0</v>
      </c>
      <c r="L1276">
        <v>2400</v>
      </c>
      <c r="M1276">
        <v>2400</v>
      </c>
      <c r="N1276">
        <v>0</v>
      </c>
    </row>
    <row r="1277" spans="1:14" x14ac:dyDescent="0.25">
      <c r="A1277">
        <v>552.10098800000003</v>
      </c>
      <c r="B1277" s="1">
        <f>DATE(2011,11,4) + TIME(2,25,25)</f>
        <v>40851.100983796299</v>
      </c>
      <c r="C1277">
        <v>1329.4552002</v>
      </c>
      <c r="D1277">
        <v>1328.3507079999999</v>
      </c>
      <c r="E1277">
        <v>1338.6452637</v>
      </c>
      <c r="F1277">
        <v>1336.0319824000001</v>
      </c>
      <c r="G1277">
        <v>80</v>
      </c>
      <c r="H1277">
        <v>79.556343079000001</v>
      </c>
      <c r="I1277">
        <v>50</v>
      </c>
      <c r="J1277">
        <v>50.043209075999997</v>
      </c>
      <c r="K1277">
        <v>0</v>
      </c>
      <c r="L1277">
        <v>2400</v>
      </c>
      <c r="M1277">
        <v>2400</v>
      </c>
      <c r="N1277">
        <v>0</v>
      </c>
    </row>
    <row r="1278" spans="1:14" x14ac:dyDescent="0.25">
      <c r="A1278">
        <v>552.28867100000002</v>
      </c>
      <c r="B1278" s="1">
        <f>DATE(2011,11,4) + TIME(6,55,41)</f>
        <v>40851.288668981484</v>
      </c>
      <c r="C1278">
        <v>1329.4415283000001</v>
      </c>
      <c r="D1278">
        <v>1328.3308105000001</v>
      </c>
      <c r="E1278">
        <v>1338.6417236</v>
      </c>
      <c r="F1278">
        <v>1336.0305175999999</v>
      </c>
      <c r="G1278">
        <v>80</v>
      </c>
      <c r="H1278">
        <v>79.535018921000002</v>
      </c>
      <c r="I1278">
        <v>50</v>
      </c>
      <c r="J1278">
        <v>50.027446746999999</v>
      </c>
      <c r="K1278">
        <v>0</v>
      </c>
      <c r="L1278">
        <v>2400</v>
      </c>
      <c r="M1278">
        <v>2400</v>
      </c>
      <c r="N1278">
        <v>0</v>
      </c>
    </row>
    <row r="1279" spans="1:14" x14ac:dyDescent="0.25">
      <c r="A1279">
        <v>552.48508700000002</v>
      </c>
      <c r="B1279" s="1">
        <f>DATE(2011,11,4) + TIME(11,38,31)</f>
        <v>40851.485081018516</v>
      </c>
      <c r="C1279">
        <v>1329.4274902</v>
      </c>
      <c r="D1279">
        <v>1328.3104248</v>
      </c>
      <c r="E1279">
        <v>1338.6376952999999</v>
      </c>
      <c r="F1279">
        <v>1336.0286865</v>
      </c>
      <c r="G1279">
        <v>80</v>
      </c>
      <c r="H1279">
        <v>79.512916564999998</v>
      </c>
      <c r="I1279">
        <v>50</v>
      </c>
      <c r="J1279">
        <v>50.014915465999998</v>
      </c>
      <c r="K1279">
        <v>0</v>
      </c>
      <c r="L1279">
        <v>2400</v>
      </c>
      <c r="M1279">
        <v>2400</v>
      </c>
      <c r="N1279">
        <v>0</v>
      </c>
    </row>
    <row r="1280" spans="1:14" x14ac:dyDescent="0.25">
      <c r="A1280">
        <v>552.69094600000005</v>
      </c>
      <c r="B1280" s="1">
        <f>DATE(2011,11,4) + TIME(16,34,57)</f>
        <v>40851.690937500003</v>
      </c>
      <c r="C1280">
        <v>1329.4129639</v>
      </c>
      <c r="D1280">
        <v>1328.2894286999999</v>
      </c>
      <c r="E1280">
        <v>1338.6331786999999</v>
      </c>
      <c r="F1280">
        <v>1336.0267334</v>
      </c>
      <c r="G1280">
        <v>80</v>
      </c>
      <c r="H1280">
        <v>79.489959717000005</v>
      </c>
      <c r="I1280">
        <v>50</v>
      </c>
      <c r="J1280">
        <v>50.005043030000003</v>
      </c>
      <c r="K1280">
        <v>0</v>
      </c>
      <c r="L1280">
        <v>2400</v>
      </c>
      <c r="M1280">
        <v>2400</v>
      </c>
      <c r="N1280">
        <v>0</v>
      </c>
    </row>
    <row r="1281" spans="1:14" x14ac:dyDescent="0.25">
      <c r="A1281">
        <v>552.90601700000002</v>
      </c>
      <c r="B1281" s="1">
        <f>DATE(2011,11,4) + TIME(21,44,39)</f>
        <v>40851.906006944446</v>
      </c>
      <c r="C1281">
        <v>1329.3980713000001</v>
      </c>
      <c r="D1281">
        <v>1328.2678223</v>
      </c>
      <c r="E1281">
        <v>1338.6282959</v>
      </c>
      <c r="F1281">
        <v>1336.0244141000001</v>
      </c>
      <c r="G1281">
        <v>80</v>
      </c>
      <c r="H1281">
        <v>79.466186523000005</v>
      </c>
      <c r="I1281">
        <v>50</v>
      </c>
      <c r="J1281">
        <v>49.997360229000002</v>
      </c>
      <c r="K1281">
        <v>0</v>
      </c>
      <c r="L1281">
        <v>2400</v>
      </c>
      <c r="M1281">
        <v>2400</v>
      </c>
      <c r="N1281">
        <v>0</v>
      </c>
    </row>
    <row r="1282" spans="1:14" x14ac:dyDescent="0.25">
      <c r="A1282">
        <v>553.13009999999997</v>
      </c>
      <c r="B1282" s="1">
        <f>DATE(2011,11,5) + TIME(3,7,20)</f>
        <v>40852.13009259259</v>
      </c>
      <c r="C1282">
        <v>1329.3826904</v>
      </c>
      <c r="D1282">
        <v>1328.2457274999999</v>
      </c>
      <c r="E1282">
        <v>1338.6229248</v>
      </c>
      <c r="F1282">
        <v>1336.0218506000001</v>
      </c>
      <c r="G1282">
        <v>80</v>
      </c>
      <c r="H1282">
        <v>79.441612243999998</v>
      </c>
      <c r="I1282">
        <v>50</v>
      </c>
      <c r="J1282">
        <v>49.991447448999999</v>
      </c>
      <c r="K1282">
        <v>0</v>
      </c>
      <c r="L1282">
        <v>2400</v>
      </c>
      <c r="M1282">
        <v>2400</v>
      </c>
      <c r="N1282">
        <v>0</v>
      </c>
    </row>
    <row r="1283" spans="1:14" x14ac:dyDescent="0.25">
      <c r="A1283">
        <v>553.36369200000001</v>
      </c>
      <c r="B1283" s="1">
        <f>DATE(2011,11,5) + TIME(8,43,42)</f>
        <v>40852.363680555558</v>
      </c>
      <c r="C1283">
        <v>1329.3669434000001</v>
      </c>
      <c r="D1283">
        <v>1328.2230225000001</v>
      </c>
      <c r="E1283">
        <v>1338.6173096</v>
      </c>
      <c r="F1283">
        <v>1336.0191649999999</v>
      </c>
      <c r="G1283">
        <v>80</v>
      </c>
      <c r="H1283">
        <v>79.416198730000005</v>
      </c>
      <c r="I1283">
        <v>50</v>
      </c>
      <c r="J1283">
        <v>49.986934662000003</v>
      </c>
      <c r="K1283">
        <v>0</v>
      </c>
      <c r="L1283">
        <v>2400</v>
      </c>
      <c r="M1283">
        <v>2400</v>
      </c>
      <c r="N1283">
        <v>0</v>
      </c>
    </row>
    <row r="1284" spans="1:14" x14ac:dyDescent="0.25">
      <c r="A1284">
        <v>553.60739699999999</v>
      </c>
      <c r="B1284" s="1">
        <f>DATE(2011,11,5) + TIME(14,34,39)</f>
        <v>40852.607395833336</v>
      </c>
      <c r="C1284">
        <v>1329.3507079999999</v>
      </c>
      <c r="D1284">
        <v>1328.1995850000001</v>
      </c>
      <c r="E1284">
        <v>1338.6112060999999</v>
      </c>
      <c r="F1284">
        <v>1336.0161132999999</v>
      </c>
      <c r="G1284">
        <v>80</v>
      </c>
      <c r="H1284">
        <v>79.389907836999996</v>
      </c>
      <c r="I1284">
        <v>50</v>
      </c>
      <c r="J1284">
        <v>49.983520507999998</v>
      </c>
      <c r="K1284">
        <v>0</v>
      </c>
      <c r="L1284">
        <v>2400</v>
      </c>
      <c r="M1284">
        <v>2400</v>
      </c>
      <c r="N1284">
        <v>0</v>
      </c>
    </row>
    <row r="1285" spans="1:14" x14ac:dyDescent="0.25">
      <c r="A1285">
        <v>553.86208799999997</v>
      </c>
      <c r="B1285" s="1">
        <f>DATE(2011,11,5) + TIME(20,41,24)</f>
        <v>40852.862083333333</v>
      </c>
      <c r="C1285">
        <v>1329.3339844</v>
      </c>
      <c r="D1285">
        <v>1328.1756591999999</v>
      </c>
      <c r="E1285">
        <v>1338.6048584</v>
      </c>
      <c r="F1285">
        <v>1336.0129394999999</v>
      </c>
      <c r="G1285">
        <v>80</v>
      </c>
      <c r="H1285">
        <v>79.362670898000005</v>
      </c>
      <c r="I1285">
        <v>50</v>
      </c>
      <c r="J1285">
        <v>49.980953217</v>
      </c>
      <c r="K1285">
        <v>0</v>
      </c>
      <c r="L1285">
        <v>2400</v>
      </c>
      <c r="M1285">
        <v>2400</v>
      </c>
      <c r="N1285">
        <v>0</v>
      </c>
    </row>
    <row r="1286" spans="1:14" x14ac:dyDescent="0.25">
      <c r="A1286">
        <v>554.12869499999999</v>
      </c>
      <c r="B1286" s="1">
        <f>DATE(2011,11,6) + TIME(3,5,19)</f>
        <v>40853.128692129627</v>
      </c>
      <c r="C1286">
        <v>1329.3168945</v>
      </c>
      <c r="D1286">
        <v>1328.151001</v>
      </c>
      <c r="E1286">
        <v>1338.5982666</v>
      </c>
      <c r="F1286">
        <v>1336.0096435999999</v>
      </c>
      <c r="G1286">
        <v>80</v>
      </c>
      <c r="H1286">
        <v>79.334426879999995</v>
      </c>
      <c r="I1286">
        <v>50</v>
      </c>
      <c r="J1286">
        <v>49.979034423999998</v>
      </c>
      <c r="K1286">
        <v>0</v>
      </c>
      <c r="L1286">
        <v>2400</v>
      </c>
      <c r="M1286">
        <v>2400</v>
      </c>
      <c r="N1286">
        <v>0</v>
      </c>
    </row>
    <row r="1287" spans="1:14" x14ac:dyDescent="0.25">
      <c r="A1287">
        <v>554.40820900000006</v>
      </c>
      <c r="B1287" s="1">
        <f>DATE(2011,11,6) + TIME(9,47,49)</f>
        <v>40853.408206018517</v>
      </c>
      <c r="C1287">
        <v>1329.2991943</v>
      </c>
      <c r="D1287">
        <v>1328.1257324000001</v>
      </c>
      <c r="E1287">
        <v>1338.5914307</v>
      </c>
      <c r="F1287">
        <v>1336.0061035000001</v>
      </c>
      <c r="G1287">
        <v>80</v>
      </c>
      <c r="H1287">
        <v>79.305084229000002</v>
      </c>
      <c r="I1287">
        <v>50</v>
      </c>
      <c r="J1287">
        <v>49.977611541999998</v>
      </c>
      <c r="K1287">
        <v>0</v>
      </c>
      <c r="L1287">
        <v>2400</v>
      </c>
      <c r="M1287">
        <v>2400</v>
      </c>
      <c r="N1287">
        <v>0</v>
      </c>
    </row>
    <row r="1288" spans="1:14" x14ac:dyDescent="0.25">
      <c r="A1288">
        <v>554.70171000000005</v>
      </c>
      <c r="B1288" s="1">
        <f>DATE(2011,11,6) + TIME(16,50,27)</f>
        <v>40853.701701388891</v>
      </c>
      <c r="C1288">
        <v>1329.2808838000001</v>
      </c>
      <c r="D1288">
        <v>1328.0994873</v>
      </c>
      <c r="E1288">
        <v>1338.5842285000001</v>
      </c>
      <c r="F1288">
        <v>1336.0024414</v>
      </c>
      <c r="G1288">
        <v>80</v>
      </c>
      <c r="H1288">
        <v>79.274574279999996</v>
      </c>
      <c r="I1288">
        <v>50</v>
      </c>
      <c r="J1288">
        <v>49.976558685000001</v>
      </c>
      <c r="K1288">
        <v>0</v>
      </c>
      <c r="L1288">
        <v>2400</v>
      </c>
      <c r="M1288">
        <v>2400</v>
      </c>
      <c r="N1288">
        <v>0</v>
      </c>
    </row>
    <row r="1289" spans="1:14" x14ac:dyDescent="0.25">
      <c r="A1289">
        <v>555.01037899999994</v>
      </c>
      <c r="B1289" s="1">
        <f>DATE(2011,11,7) + TIME(0,14,56)</f>
        <v>40854.010370370372</v>
      </c>
      <c r="C1289">
        <v>1329.2619629000001</v>
      </c>
      <c r="D1289">
        <v>1328.0723877</v>
      </c>
      <c r="E1289">
        <v>1338.5769043</v>
      </c>
      <c r="F1289">
        <v>1335.9987793</v>
      </c>
      <c r="G1289">
        <v>80</v>
      </c>
      <c r="H1289">
        <v>79.24281311</v>
      </c>
      <c r="I1289">
        <v>50</v>
      </c>
      <c r="J1289">
        <v>49.975784302000001</v>
      </c>
      <c r="K1289">
        <v>0</v>
      </c>
      <c r="L1289">
        <v>2400</v>
      </c>
      <c r="M1289">
        <v>2400</v>
      </c>
      <c r="N1289">
        <v>0</v>
      </c>
    </row>
    <row r="1290" spans="1:14" x14ac:dyDescent="0.25">
      <c r="A1290">
        <v>555.33551899999998</v>
      </c>
      <c r="B1290" s="1">
        <f>DATE(2011,11,7) + TIME(8,3,8)</f>
        <v>40854.335509259261</v>
      </c>
      <c r="C1290">
        <v>1329.2423096</v>
      </c>
      <c r="D1290">
        <v>1328.0444336</v>
      </c>
      <c r="E1290">
        <v>1338.5693358999999</v>
      </c>
      <c r="F1290">
        <v>1335.9948730000001</v>
      </c>
      <c r="G1290">
        <v>80</v>
      </c>
      <c r="H1290">
        <v>79.209709167</v>
      </c>
      <c r="I1290">
        <v>50</v>
      </c>
      <c r="J1290">
        <v>49.975215912000003</v>
      </c>
      <c r="K1290">
        <v>0</v>
      </c>
      <c r="L1290">
        <v>2400</v>
      </c>
      <c r="M1290">
        <v>2400</v>
      </c>
      <c r="N1290">
        <v>0</v>
      </c>
    </row>
    <row r="1291" spans="1:14" x14ac:dyDescent="0.25">
      <c r="A1291">
        <v>555.67771100000004</v>
      </c>
      <c r="B1291" s="1">
        <f>DATE(2011,11,7) + TIME(16,15,54)</f>
        <v>40854.677708333336</v>
      </c>
      <c r="C1291">
        <v>1329.2220459</v>
      </c>
      <c r="D1291">
        <v>1328.0155029</v>
      </c>
      <c r="E1291">
        <v>1338.5616454999999</v>
      </c>
      <c r="F1291">
        <v>1335.9908447</v>
      </c>
      <c r="G1291">
        <v>80</v>
      </c>
      <c r="H1291">
        <v>79.175216675000001</v>
      </c>
      <c r="I1291">
        <v>50</v>
      </c>
      <c r="J1291">
        <v>49.974796294999997</v>
      </c>
      <c r="K1291">
        <v>0</v>
      </c>
      <c r="L1291">
        <v>2400</v>
      </c>
      <c r="M1291">
        <v>2400</v>
      </c>
      <c r="N1291">
        <v>0</v>
      </c>
    </row>
    <row r="1292" spans="1:14" x14ac:dyDescent="0.25">
      <c r="A1292">
        <v>556.02627500000006</v>
      </c>
      <c r="B1292" s="1">
        <f>DATE(2011,11,8) + TIME(0,37,50)</f>
        <v>40855.026273148149</v>
      </c>
      <c r="C1292">
        <v>1329.2010498</v>
      </c>
      <c r="D1292">
        <v>1327.9855957</v>
      </c>
      <c r="E1292">
        <v>1338.5537108999999</v>
      </c>
      <c r="F1292">
        <v>1335.9866943</v>
      </c>
      <c r="G1292">
        <v>80</v>
      </c>
      <c r="H1292">
        <v>79.140098571999999</v>
      </c>
      <c r="I1292">
        <v>50</v>
      </c>
      <c r="J1292">
        <v>49.974494933999999</v>
      </c>
      <c r="K1292">
        <v>0</v>
      </c>
      <c r="L1292">
        <v>2400</v>
      </c>
      <c r="M1292">
        <v>2400</v>
      </c>
      <c r="N1292">
        <v>0</v>
      </c>
    </row>
    <row r="1293" spans="1:14" x14ac:dyDescent="0.25">
      <c r="A1293">
        <v>556.38210600000002</v>
      </c>
      <c r="B1293" s="1">
        <f>DATE(2011,11,8) + TIME(9,10,13)</f>
        <v>40855.382094907407</v>
      </c>
      <c r="C1293">
        <v>1329.1798096</v>
      </c>
      <c r="D1293">
        <v>1327.9554443</v>
      </c>
      <c r="E1293">
        <v>1338.5460204999999</v>
      </c>
      <c r="F1293">
        <v>1335.9826660000001</v>
      </c>
      <c r="G1293">
        <v>80</v>
      </c>
      <c r="H1293">
        <v>79.104385375999996</v>
      </c>
      <c r="I1293">
        <v>50</v>
      </c>
      <c r="J1293">
        <v>49.974273682000003</v>
      </c>
      <c r="K1293">
        <v>0</v>
      </c>
      <c r="L1293">
        <v>2400</v>
      </c>
      <c r="M1293">
        <v>2400</v>
      </c>
      <c r="N1293">
        <v>0</v>
      </c>
    </row>
    <row r="1294" spans="1:14" x14ac:dyDescent="0.25">
      <c r="A1294">
        <v>556.74593000000004</v>
      </c>
      <c r="B1294" s="1">
        <f>DATE(2011,11,8) + TIME(17,54,8)</f>
        <v>40855.745925925927</v>
      </c>
      <c r="C1294">
        <v>1329.1583252</v>
      </c>
      <c r="D1294">
        <v>1327.9249268000001</v>
      </c>
      <c r="E1294">
        <v>1338.5383300999999</v>
      </c>
      <c r="F1294">
        <v>1335.9786377</v>
      </c>
      <c r="G1294">
        <v>80</v>
      </c>
      <c r="H1294">
        <v>79.068069457999997</v>
      </c>
      <c r="I1294">
        <v>50</v>
      </c>
      <c r="J1294">
        <v>49.974105835000003</v>
      </c>
      <c r="K1294">
        <v>0</v>
      </c>
      <c r="L1294">
        <v>2400</v>
      </c>
      <c r="M1294">
        <v>2400</v>
      </c>
      <c r="N1294">
        <v>0</v>
      </c>
    </row>
    <row r="1295" spans="1:14" x14ac:dyDescent="0.25">
      <c r="A1295">
        <v>557.11852899999997</v>
      </c>
      <c r="B1295" s="1">
        <f>DATE(2011,11,9) + TIME(2,50,40)</f>
        <v>40856.118518518517</v>
      </c>
      <c r="C1295">
        <v>1329.1367187999999</v>
      </c>
      <c r="D1295">
        <v>1327.8941649999999</v>
      </c>
      <c r="E1295">
        <v>1338.5306396000001</v>
      </c>
      <c r="F1295">
        <v>1335.9747314000001</v>
      </c>
      <c r="G1295">
        <v>80</v>
      </c>
      <c r="H1295">
        <v>79.031150818</v>
      </c>
      <c r="I1295">
        <v>50</v>
      </c>
      <c r="J1295">
        <v>49.97397995</v>
      </c>
      <c r="K1295">
        <v>0</v>
      </c>
      <c r="L1295">
        <v>2400</v>
      </c>
      <c r="M1295">
        <v>2400</v>
      </c>
      <c r="N1295">
        <v>0</v>
      </c>
    </row>
    <row r="1296" spans="1:14" x14ac:dyDescent="0.25">
      <c r="A1296">
        <v>557.50071400000002</v>
      </c>
      <c r="B1296" s="1">
        <f>DATE(2011,11,9) + TIME(12,1,1)</f>
        <v>40856.500706018516</v>
      </c>
      <c r="C1296">
        <v>1329.1147461</v>
      </c>
      <c r="D1296">
        <v>1327.8631591999999</v>
      </c>
      <c r="E1296">
        <v>1338.5231934000001</v>
      </c>
      <c r="F1296">
        <v>1335.9708252</v>
      </c>
      <c r="G1296">
        <v>80</v>
      </c>
      <c r="H1296">
        <v>78.993598938000005</v>
      </c>
      <c r="I1296">
        <v>50</v>
      </c>
      <c r="J1296">
        <v>49.973876953000001</v>
      </c>
      <c r="K1296">
        <v>0</v>
      </c>
      <c r="L1296">
        <v>2400</v>
      </c>
      <c r="M1296">
        <v>2400</v>
      </c>
      <c r="N1296">
        <v>0</v>
      </c>
    </row>
    <row r="1297" spans="1:14" x14ac:dyDescent="0.25">
      <c r="A1297">
        <v>557.89335300000005</v>
      </c>
      <c r="B1297" s="1">
        <f>DATE(2011,11,9) + TIME(21,26,25)</f>
        <v>40856.89334490741</v>
      </c>
      <c r="C1297">
        <v>1329.0926514</v>
      </c>
      <c r="D1297">
        <v>1327.8316649999999</v>
      </c>
      <c r="E1297">
        <v>1338.5157471</v>
      </c>
      <c r="F1297">
        <v>1335.9669189000001</v>
      </c>
      <c r="G1297">
        <v>80</v>
      </c>
      <c r="H1297">
        <v>78.955375670999999</v>
      </c>
      <c r="I1297">
        <v>50</v>
      </c>
      <c r="J1297">
        <v>49.973796843999999</v>
      </c>
      <c r="K1297">
        <v>0</v>
      </c>
      <c r="L1297">
        <v>2400</v>
      </c>
      <c r="M1297">
        <v>2400</v>
      </c>
      <c r="N1297">
        <v>0</v>
      </c>
    </row>
    <row r="1298" spans="1:14" x14ac:dyDescent="0.25">
      <c r="A1298">
        <v>558.297372</v>
      </c>
      <c r="B1298" s="1">
        <f>DATE(2011,11,10) + TIME(7,8,12)</f>
        <v>40857.297361111108</v>
      </c>
      <c r="C1298">
        <v>1329.0700684000001</v>
      </c>
      <c r="D1298">
        <v>1327.7998047000001</v>
      </c>
      <c r="E1298">
        <v>1338.5084228999999</v>
      </c>
      <c r="F1298">
        <v>1335.9631348</v>
      </c>
      <c r="G1298">
        <v>80</v>
      </c>
      <c r="H1298">
        <v>78.916419982999997</v>
      </c>
      <c r="I1298">
        <v>50</v>
      </c>
      <c r="J1298">
        <v>49.973728180000002</v>
      </c>
      <c r="K1298">
        <v>0</v>
      </c>
      <c r="L1298">
        <v>2400</v>
      </c>
      <c r="M1298">
        <v>2400</v>
      </c>
      <c r="N1298">
        <v>0</v>
      </c>
    </row>
    <row r="1299" spans="1:14" x14ac:dyDescent="0.25">
      <c r="A1299">
        <v>558.71375899999998</v>
      </c>
      <c r="B1299" s="1">
        <f>DATE(2011,11,10) + TIME(17,7,48)</f>
        <v>40857.713750000003</v>
      </c>
      <c r="C1299">
        <v>1329.0472411999999</v>
      </c>
      <c r="D1299">
        <v>1327.7675781</v>
      </c>
      <c r="E1299">
        <v>1338.5010986</v>
      </c>
      <c r="F1299">
        <v>1335.9593506000001</v>
      </c>
      <c r="G1299">
        <v>80</v>
      </c>
      <c r="H1299">
        <v>78.876693725999999</v>
      </c>
      <c r="I1299">
        <v>50</v>
      </c>
      <c r="J1299">
        <v>49.973670959000003</v>
      </c>
      <c r="K1299">
        <v>0</v>
      </c>
      <c r="L1299">
        <v>2400</v>
      </c>
      <c r="M1299">
        <v>2400</v>
      </c>
      <c r="N1299">
        <v>0</v>
      </c>
    </row>
    <row r="1300" spans="1:14" x14ac:dyDescent="0.25">
      <c r="A1300">
        <v>559.14348199999995</v>
      </c>
      <c r="B1300" s="1">
        <f>DATE(2011,11,11) + TIME(3,26,36)</f>
        <v>40858.143472222226</v>
      </c>
      <c r="C1300">
        <v>1329.0240478999999</v>
      </c>
      <c r="D1300">
        <v>1327.7348632999999</v>
      </c>
      <c r="E1300">
        <v>1338.4937743999999</v>
      </c>
      <c r="F1300">
        <v>1335.9555664</v>
      </c>
      <c r="G1300">
        <v>80</v>
      </c>
      <c r="H1300">
        <v>78.836120605000005</v>
      </c>
      <c r="I1300">
        <v>50</v>
      </c>
      <c r="J1300">
        <v>49.973621368000003</v>
      </c>
      <c r="K1300">
        <v>0</v>
      </c>
      <c r="L1300">
        <v>2400</v>
      </c>
      <c r="M1300">
        <v>2400</v>
      </c>
      <c r="N1300">
        <v>0</v>
      </c>
    </row>
    <row r="1301" spans="1:14" x14ac:dyDescent="0.25">
      <c r="A1301">
        <v>559.58767799999998</v>
      </c>
      <c r="B1301" s="1">
        <f>DATE(2011,11,11) + TIME(14,6,15)</f>
        <v>40858.587673611109</v>
      </c>
      <c r="C1301">
        <v>1329.0004882999999</v>
      </c>
      <c r="D1301">
        <v>1327.7015381000001</v>
      </c>
      <c r="E1301">
        <v>1338.4865723</v>
      </c>
      <c r="F1301">
        <v>1335.9519043</v>
      </c>
      <c r="G1301">
        <v>80</v>
      </c>
      <c r="H1301">
        <v>78.794639587000006</v>
      </c>
      <c r="I1301">
        <v>50</v>
      </c>
      <c r="J1301">
        <v>49.973579407000003</v>
      </c>
      <c r="K1301">
        <v>0</v>
      </c>
      <c r="L1301">
        <v>2400</v>
      </c>
      <c r="M1301">
        <v>2400</v>
      </c>
      <c r="N1301">
        <v>0</v>
      </c>
    </row>
    <row r="1302" spans="1:14" x14ac:dyDescent="0.25">
      <c r="A1302">
        <v>560.047686</v>
      </c>
      <c r="B1302" s="1">
        <f>DATE(2011,11,12) + TIME(1,8,40)</f>
        <v>40859.047685185185</v>
      </c>
      <c r="C1302">
        <v>1328.9763184000001</v>
      </c>
      <c r="D1302">
        <v>1327.6676024999999</v>
      </c>
      <c r="E1302">
        <v>1338.4793701000001</v>
      </c>
      <c r="F1302">
        <v>1335.9481201000001</v>
      </c>
      <c r="G1302">
        <v>80</v>
      </c>
      <c r="H1302">
        <v>78.752151488999999</v>
      </c>
      <c r="I1302">
        <v>50</v>
      </c>
      <c r="J1302">
        <v>49.973537444999998</v>
      </c>
      <c r="K1302">
        <v>0</v>
      </c>
      <c r="L1302">
        <v>2400</v>
      </c>
      <c r="M1302">
        <v>2400</v>
      </c>
      <c r="N1302">
        <v>0</v>
      </c>
    </row>
    <row r="1303" spans="1:14" x14ac:dyDescent="0.25">
      <c r="A1303">
        <v>560.52488500000004</v>
      </c>
      <c r="B1303" s="1">
        <f>DATE(2011,11,12) + TIME(12,35,50)</f>
        <v>40859.524884259263</v>
      </c>
      <c r="C1303">
        <v>1328.9517822</v>
      </c>
      <c r="D1303">
        <v>1327.6329346</v>
      </c>
      <c r="E1303">
        <v>1338.472168</v>
      </c>
      <c r="F1303">
        <v>1335.9444579999999</v>
      </c>
      <c r="G1303">
        <v>80</v>
      </c>
      <c r="H1303">
        <v>78.708572387999993</v>
      </c>
      <c r="I1303">
        <v>50</v>
      </c>
      <c r="J1303">
        <v>49.973503113</v>
      </c>
      <c r="K1303">
        <v>0</v>
      </c>
      <c r="L1303">
        <v>2400</v>
      </c>
      <c r="M1303">
        <v>2400</v>
      </c>
      <c r="N1303">
        <v>0</v>
      </c>
    </row>
    <row r="1304" spans="1:14" x14ac:dyDescent="0.25">
      <c r="A1304">
        <v>561.02079500000002</v>
      </c>
      <c r="B1304" s="1">
        <f>DATE(2011,11,13) + TIME(0,29,56)</f>
        <v>40860.020787037036</v>
      </c>
      <c r="C1304">
        <v>1328.9266356999999</v>
      </c>
      <c r="D1304">
        <v>1327.5976562000001</v>
      </c>
      <c r="E1304">
        <v>1338.4650879000001</v>
      </c>
      <c r="F1304">
        <v>1335.9407959</v>
      </c>
      <c r="G1304">
        <v>80</v>
      </c>
      <c r="H1304">
        <v>78.663795471</v>
      </c>
      <c r="I1304">
        <v>50</v>
      </c>
      <c r="J1304">
        <v>49.973468781000001</v>
      </c>
      <c r="K1304">
        <v>0</v>
      </c>
      <c r="L1304">
        <v>2400</v>
      </c>
      <c r="M1304">
        <v>2400</v>
      </c>
      <c r="N1304">
        <v>0</v>
      </c>
    </row>
    <row r="1305" spans="1:14" x14ac:dyDescent="0.25">
      <c r="A1305">
        <v>561.53709500000002</v>
      </c>
      <c r="B1305" s="1">
        <f>DATE(2011,11,13) + TIME(12,53,24)</f>
        <v>40860.537083333336</v>
      </c>
      <c r="C1305">
        <v>1328.9007568</v>
      </c>
      <c r="D1305">
        <v>1327.5614014</v>
      </c>
      <c r="E1305">
        <v>1338.4578856999999</v>
      </c>
      <c r="F1305">
        <v>1335.9372559000001</v>
      </c>
      <c r="G1305">
        <v>80</v>
      </c>
      <c r="H1305">
        <v>78.617721558</v>
      </c>
      <c r="I1305">
        <v>50</v>
      </c>
      <c r="J1305">
        <v>49.973438262999998</v>
      </c>
      <c r="K1305">
        <v>0</v>
      </c>
      <c r="L1305">
        <v>2400</v>
      </c>
      <c r="M1305">
        <v>2400</v>
      </c>
      <c r="N1305">
        <v>0</v>
      </c>
    </row>
    <row r="1306" spans="1:14" x14ac:dyDescent="0.25">
      <c r="A1306">
        <v>562.07564600000001</v>
      </c>
      <c r="B1306" s="1">
        <f>DATE(2011,11,14) + TIME(1,48,55)</f>
        <v>40861.075636574074</v>
      </c>
      <c r="C1306">
        <v>1328.8743896000001</v>
      </c>
      <c r="D1306">
        <v>1327.5244141000001</v>
      </c>
      <c r="E1306">
        <v>1338.4506836</v>
      </c>
      <c r="F1306">
        <v>1335.9335937999999</v>
      </c>
      <c r="G1306">
        <v>80</v>
      </c>
      <c r="H1306">
        <v>78.570213318</v>
      </c>
      <c r="I1306">
        <v>50</v>
      </c>
      <c r="J1306">
        <v>49.973407745000003</v>
      </c>
      <c r="K1306">
        <v>0</v>
      </c>
      <c r="L1306">
        <v>2400</v>
      </c>
      <c r="M1306">
        <v>2400</v>
      </c>
      <c r="N1306">
        <v>0</v>
      </c>
    </row>
    <row r="1307" spans="1:14" x14ac:dyDescent="0.25">
      <c r="A1307">
        <v>562.63851999999997</v>
      </c>
      <c r="B1307" s="1">
        <f>DATE(2011,11,14) + TIME(15,19,28)</f>
        <v>40861.638518518521</v>
      </c>
      <c r="C1307">
        <v>1328.847168</v>
      </c>
      <c r="D1307">
        <v>1327.4863281</v>
      </c>
      <c r="E1307">
        <v>1338.4433594</v>
      </c>
      <c r="F1307">
        <v>1335.9299315999999</v>
      </c>
      <c r="G1307">
        <v>80</v>
      </c>
      <c r="H1307">
        <v>78.521141052000004</v>
      </c>
      <c r="I1307">
        <v>50</v>
      </c>
      <c r="J1307">
        <v>49.973377227999997</v>
      </c>
      <c r="K1307">
        <v>0</v>
      </c>
      <c r="L1307">
        <v>2400</v>
      </c>
      <c r="M1307">
        <v>2400</v>
      </c>
      <c r="N1307">
        <v>0</v>
      </c>
    </row>
    <row r="1308" spans="1:14" x14ac:dyDescent="0.25">
      <c r="A1308">
        <v>563.22804900000006</v>
      </c>
      <c r="B1308" s="1">
        <f>DATE(2011,11,15) + TIME(5,28,23)</f>
        <v>40862.228043981479</v>
      </c>
      <c r="C1308">
        <v>1328.8190918</v>
      </c>
      <c r="D1308">
        <v>1327.4471435999999</v>
      </c>
      <c r="E1308">
        <v>1338.4360352000001</v>
      </c>
      <c r="F1308">
        <v>1335.9262695</v>
      </c>
      <c r="G1308">
        <v>80</v>
      </c>
      <c r="H1308">
        <v>78.470352172999995</v>
      </c>
      <c r="I1308">
        <v>50</v>
      </c>
      <c r="J1308">
        <v>49.973350525000001</v>
      </c>
      <c r="K1308">
        <v>0</v>
      </c>
      <c r="L1308">
        <v>2400</v>
      </c>
      <c r="M1308">
        <v>2400</v>
      </c>
      <c r="N1308">
        <v>0</v>
      </c>
    </row>
    <row r="1309" spans="1:14" x14ac:dyDescent="0.25">
      <c r="A1309">
        <v>563.839562</v>
      </c>
      <c r="B1309" s="1">
        <f>DATE(2011,11,15) + TIME(20,8,58)</f>
        <v>40862.839560185188</v>
      </c>
      <c r="C1309">
        <v>1328.7902832</v>
      </c>
      <c r="D1309">
        <v>1327.4068603999999</v>
      </c>
      <c r="E1309">
        <v>1338.4287108999999</v>
      </c>
      <c r="F1309">
        <v>1335.9227295000001</v>
      </c>
      <c r="G1309">
        <v>80</v>
      </c>
      <c r="H1309">
        <v>78.418014525999993</v>
      </c>
      <c r="I1309">
        <v>50</v>
      </c>
      <c r="J1309">
        <v>49.973323821999998</v>
      </c>
      <c r="K1309">
        <v>0</v>
      </c>
      <c r="L1309">
        <v>2400</v>
      </c>
      <c r="M1309">
        <v>2400</v>
      </c>
      <c r="N1309">
        <v>0</v>
      </c>
    </row>
    <row r="1310" spans="1:14" x14ac:dyDescent="0.25">
      <c r="A1310">
        <v>564.46949800000004</v>
      </c>
      <c r="B1310" s="1">
        <f>DATE(2011,11,16) + TIME(11,16,4)</f>
        <v>40863.469490740739</v>
      </c>
      <c r="C1310">
        <v>1328.7607422000001</v>
      </c>
      <c r="D1310">
        <v>1327.3657227000001</v>
      </c>
      <c r="E1310">
        <v>1338.4213867000001</v>
      </c>
      <c r="F1310">
        <v>1335.9190673999999</v>
      </c>
      <c r="G1310">
        <v>80</v>
      </c>
      <c r="H1310">
        <v>78.364356994999994</v>
      </c>
      <c r="I1310">
        <v>50</v>
      </c>
      <c r="J1310">
        <v>49.973297119000001</v>
      </c>
      <c r="K1310">
        <v>0</v>
      </c>
      <c r="L1310">
        <v>2400</v>
      </c>
      <c r="M1310">
        <v>2400</v>
      </c>
      <c r="N1310">
        <v>0</v>
      </c>
    </row>
    <row r="1311" spans="1:14" x14ac:dyDescent="0.25">
      <c r="A1311">
        <v>565.11386400000004</v>
      </c>
      <c r="B1311" s="1">
        <f>DATE(2011,11,17) + TIME(2,43,57)</f>
        <v>40864.113854166666</v>
      </c>
      <c r="C1311">
        <v>1328.7305908000001</v>
      </c>
      <c r="D1311">
        <v>1327.3238524999999</v>
      </c>
      <c r="E1311">
        <v>1338.4140625</v>
      </c>
      <c r="F1311">
        <v>1335.9155272999999</v>
      </c>
      <c r="G1311">
        <v>80</v>
      </c>
      <c r="H1311">
        <v>78.309646606000001</v>
      </c>
      <c r="I1311">
        <v>50</v>
      </c>
      <c r="J1311">
        <v>49.973274230999998</v>
      </c>
      <c r="K1311">
        <v>0</v>
      </c>
      <c r="L1311">
        <v>2400</v>
      </c>
      <c r="M1311">
        <v>2400</v>
      </c>
      <c r="N1311">
        <v>0</v>
      </c>
    </row>
    <row r="1312" spans="1:14" x14ac:dyDescent="0.25">
      <c r="A1312">
        <v>565.77444700000001</v>
      </c>
      <c r="B1312" s="1">
        <f>DATE(2011,11,17) + TIME(18,35,12)</f>
        <v>40864.774444444447</v>
      </c>
      <c r="C1312">
        <v>1328.7001952999999</v>
      </c>
      <c r="D1312">
        <v>1327.2814940999999</v>
      </c>
      <c r="E1312">
        <v>1338.4068603999999</v>
      </c>
      <c r="F1312">
        <v>1335.9119873</v>
      </c>
      <c r="G1312">
        <v>80</v>
      </c>
      <c r="H1312">
        <v>78.253936768000003</v>
      </c>
      <c r="I1312">
        <v>50</v>
      </c>
      <c r="J1312">
        <v>49.973247528000002</v>
      </c>
      <c r="K1312">
        <v>0</v>
      </c>
      <c r="L1312">
        <v>2400</v>
      </c>
      <c r="M1312">
        <v>2400</v>
      </c>
      <c r="N1312">
        <v>0</v>
      </c>
    </row>
    <row r="1313" spans="1:14" x14ac:dyDescent="0.25">
      <c r="A1313">
        <v>566.45548099999996</v>
      </c>
      <c r="B1313" s="1">
        <f>DATE(2011,11,18) + TIME(10,55,53)</f>
        <v>40865.455474537041</v>
      </c>
      <c r="C1313">
        <v>1328.6694336</v>
      </c>
      <c r="D1313">
        <v>1327.2387695</v>
      </c>
      <c r="E1313">
        <v>1338.3997803</v>
      </c>
      <c r="F1313">
        <v>1335.9085693</v>
      </c>
      <c r="G1313">
        <v>80</v>
      </c>
      <c r="H1313">
        <v>78.197082519999995</v>
      </c>
      <c r="I1313">
        <v>50</v>
      </c>
      <c r="J1313">
        <v>49.973224639999998</v>
      </c>
      <c r="K1313">
        <v>0</v>
      </c>
      <c r="L1313">
        <v>2400</v>
      </c>
      <c r="M1313">
        <v>2400</v>
      </c>
      <c r="N1313">
        <v>0</v>
      </c>
    </row>
    <row r="1314" spans="1:14" x14ac:dyDescent="0.25">
      <c r="A1314">
        <v>567.16159000000005</v>
      </c>
      <c r="B1314" s="1">
        <f>DATE(2011,11,19) + TIME(3,52,41)</f>
        <v>40866.161585648151</v>
      </c>
      <c r="C1314">
        <v>1328.6381836</v>
      </c>
      <c r="D1314">
        <v>1327.1954346</v>
      </c>
      <c r="E1314">
        <v>1338.3927002</v>
      </c>
      <c r="F1314">
        <v>1335.9052733999999</v>
      </c>
      <c r="G1314">
        <v>80</v>
      </c>
      <c r="H1314">
        <v>78.138824463000006</v>
      </c>
      <c r="I1314">
        <v>50</v>
      </c>
      <c r="J1314">
        <v>49.973201752000001</v>
      </c>
      <c r="K1314">
        <v>0</v>
      </c>
      <c r="L1314">
        <v>2400</v>
      </c>
      <c r="M1314">
        <v>2400</v>
      </c>
      <c r="N1314">
        <v>0</v>
      </c>
    </row>
    <row r="1315" spans="1:14" x14ac:dyDescent="0.25">
      <c r="A1315">
        <v>567.89729999999997</v>
      </c>
      <c r="B1315" s="1">
        <f>DATE(2011,11,19) + TIME(21,32,6)</f>
        <v>40866.897291666668</v>
      </c>
      <c r="C1315">
        <v>1328.6062012</v>
      </c>
      <c r="D1315">
        <v>1327.1511230000001</v>
      </c>
      <c r="E1315">
        <v>1338.3857422000001</v>
      </c>
      <c r="F1315">
        <v>1335.9018555</v>
      </c>
      <c r="G1315">
        <v>80</v>
      </c>
      <c r="H1315">
        <v>78.078865050999994</v>
      </c>
      <c r="I1315">
        <v>50</v>
      </c>
      <c r="J1315">
        <v>49.973178863999998</v>
      </c>
      <c r="K1315">
        <v>0</v>
      </c>
      <c r="L1315">
        <v>2400</v>
      </c>
      <c r="M1315">
        <v>2400</v>
      </c>
      <c r="N1315">
        <v>0</v>
      </c>
    </row>
    <row r="1316" spans="1:14" x14ac:dyDescent="0.25">
      <c r="A1316">
        <v>568.66384500000004</v>
      </c>
      <c r="B1316" s="1">
        <f>DATE(2011,11,20) + TIME(15,55,56)</f>
        <v>40867.663842592592</v>
      </c>
      <c r="C1316">
        <v>1328.5736084</v>
      </c>
      <c r="D1316">
        <v>1327.105957</v>
      </c>
      <c r="E1316">
        <v>1338.3786620999999</v>
      </c>
      <c r="F1316">
        <v>1335.8985596</v>
      </c>
      <c r="G1316">
        <v>80</v>
      </c>
      <c r="H1316">
        <v>78.016998290999993</v>
      </c>
      <c r="I1316">
        <v>50</v>
      </c>
      <c r="J1316">
        <v>49.973159789999997</v>
      </c>
      <c r="K1316">
        <v>0</v>
      </c>
      <c r="L1316">
        <v>2400</v>
      </c>
      <c r="M1316">
        <v>2400</v>
      </c>
      <c r="N1316">
        <v>0</v>
      </c>
    </row>
    <row r="1317" spans="1:14" x14ac:dyDescent="0.25">
      <c r="A1317">
        <v>569.44086800000002</v>
      </c>
      <c r="B1317" s="1">
        <f>DATE(2011,11,21) + TIME(10,34,50)</f>
        <v>40868.44085648148</v>
      </c>
      <c r="C1317">
        <v>1328.5401611</v>
      </c>
      <c r="D1317">
        <v>1327.0598144999999</v>
      </c>
      <c r="E1317">
        <v>1338.3714600000001</v>
      </c>
      <c r="F1317">
        <v>1335.8952637</v>
      </c>
      <c r="G1317">
        <v>80</v>
      </c>
      <c r="H1317">
        <v>77.953895568999997</v>
      </c>
      <c r="I1317">
        <v>50</v>
      </c>
      <c r="J1317">
        <v>49.973136902</v>
      </c>
      <c r="K1317">
        <v>0</v>
      </c>
      <c r="L1317">
        <v>2400</v>
      </c>
      <c r="M1317">
        <v>2400</v>
      </c>
      <c r="N1317">
        <v>0</v>
      </c>
    </row>
    <row r="1318" spans="1:14" x14ac:dyDescent="0.25">
      <c r="A1318">
        <v>570.23004600000002</v>
      </c>
      <c r="B1318" s="1">
        <f>DATE(2011,11,22) + TIME(5,31,15)</f>
        <v>40869.230034722219</v>
      </c>
      <c r="C1318">
        <v>1328.5065918</v>
      </c>
      <c r="D1318">
        <v>1327.0135498</v>
      </c>
      <c r="E1318">
        <v>1338.3645019999999</v>
      </c>
      <c r="F1318">
        <v>1335.8920897999999</v>
      </c>
      <c r="G1318">
        <v>80</v>
      </c>
      <c r="H1318">
        <v>77.889877318999993</v>
      </c>
      <c r="I1318">
        <v>50</v>
      </c>
      <c r="J1318">
        <v>49.973114013999997</v>
      </c>
      <c r="K1318">
        <v>0</v>
      </c>
      <c r="L1318">
        <v>2400</v>
      </c>
      <c r="M1318">
        <v>2400</v>
      </c>
      <c r="N1318">
        <v>0</v>
      </c>
    </row>
    <row r="1319" spans="1:14" x14ac:dyDescent="0.25">
      <c r="A1319">
        <v>571.03672200000005</v>
      </c>
      <c r="B1319" s="1">
        <f>DATE(2011,11,23) + TIME(0,52,52)</f>
        <v>40870.036712962959</v>
      </c>
      <c r="C1319">
        <v>1328.4729004000001</v>
      </c>
      <c r="D1319">
        <v>1326.9670410000001</v>
      </c>
      <c r="E1319">
        <v>1338.3577881000001</v>
      </c>
      <c r="F1319">
        <v>1335.8889160000001</v>
      </c>
      <c r="G1319">
        <v>80</v>
      </c>
      <c r="H1319">
        <v>77.824867248999993</v>
      </c>
      <c r="I1319">
        <v>50</v>
      </c>
      <c r="J1319">
        <v>49.973094940000003</v>
      </c>
      <c r="K1319">
        <v>0</v>
      </c>
      <c r="L1319">
        <v>2400</v>
      </c>
      <c r="M1319">
        <v>2400</v>
      </c>
      <c r="N1319">
        <v>0</v>
      </c>
    </row>
    <row r="1320" spans="1:14" x14ac:dyDescent="0.25">
      <c r="A1320">
        <v>571.86644799999999</v>
      </c>
      <c r="B1320" s="1">
        <f>DATE(2011,11,23) + TIME(20,47,41)</f>
        <v>40870.866446759261</v>
      </c>
      <c r="C1320">
        <v>1328.4389647999999</v>
      </c>
      <c r="D1320">
        <v>1326.9202881000001</v>
      </c>
      <c r="E1320">
        <v>1338.3509521000001</v>
      </c>
      <c r="F1320">
        <v>1335.8858643000001</v>
      </c>
      <c r="G1320">
        <v>80</v>
      </c>
      <c r="H1320">
        <v>77.758598328000005</v>
      </c>
      <c r="I1320">
        <v>50</v>
      </c>
      <c r="J1320">
        <v>49.973072051999999</v>
      </c>
      <c r="K1320">
        <v>0</v>
      </c>
      <c r="L1320">
        <v>2400</v>
      </c>
      <c r="M1320">
        <v>2400</v>
      </c>
      <c r="N1320">
        <v>0</v>
      </c>
    </row>
    <row r="1321" spans="1:14" x14ac:dyDescent="0.25">
      <c r="A1321">
        <v>572.72528</v>
      </c>
      <c r="B1321" s="1">
        <f>DATE(2011,11,24) + TIME(17,24,24)</f>
        <v>40871.725277777776</v>
      </c>
      <c r="C1321">
        <v>1328.4046631000001</v>
      </c>
      <c r="D1321">
        <v>1326.8730469</v>
      </c>
      <c r="E1321">
        <v>1338.3443603999999</v>
      </c>
      <c r="F1321">
        <v>1335.8829346</v>
      </c>
      <c r="G1321">
        <v>80</v>
      </c>
      <c r="H1321">
        <v>77.690666199000006</v>
      </c>
      <c r="I1321">
        <v>50</v>
      </c>
      <c r="J1321">
        <v>49.973052979000002</v>
      </c>
      <c r="K1321">
        <v>0</v>
      </c>
      <c r="L1321">
        <v>2400</v>
      </c>
      <c r="M1321">
        <v>2400</v>
      </c>
      <c r="N1321">
        <v>0</v>
      </c>
    </row>
    <row r="1322" spans="1:14" x14ac:dyDescent="0.25">
      <c r="A1322">
        <v>573.60335899999995</v>
      </c>
      <c r="B1322" s="1">
        <f>DATE(2011,11,25) + TIME(14,28,50)</f>
        <v>40872.603356481479</v>
      </c>
      <c r="C1322">
        <v>1328.369751</v>
      </c>
      <c r="D1322">
        <v>1326.8251952999999</v>
      </c>
      <c r="E1322">
        <v>1338.3376464999999</v>
      </c>
      <c r="F1322">
        <v>1335.8798827999999</v>
      </c>
      <c r="G1322">
        <v>80</v>
      </c>
      <c r="H1322">
        <v>77.621177673000005</v>
      </c>
      <c r="I1322">
        <v>50</v>
      </c>
      <c r="J1322">
        <v>49.973033905000001</v>
      </c>
      <c r="K1322">
        <v>0</v>
      </c>
      <c r="L1322">
        <v>2400</v>
      </c>
      <c r="M1322">
        <v>2400</v>
      </c>
      <c r="N1322">
        <v>0</v>
      </c>
    </row>
    <row r="1323" spans="1:14" x14ac:dyDescent="0.25">
      <c r="A1323">
        <v>574.49876099999994</v>
      </c>
      <c r="B1323" s="1">
        <f>DATE(2011,11,26) + TIME(11,58,12)</f>
        <v>40873.498749999999</v>
      </c>
      <c r="C1323">
        <v>1328.3347168</v>
      </c>
      <c r="D1323">
        <v>1326.7769774999999</v>
      </c>
      <c r="E1323">
        <v>1338.3310547000001</v>
      </c>
      <c r="F1323">
        <v>1335.8770752</v>
      </c>
      <c r="G1323">
        <v>80</v>
      </c>
      <c r="H1323">
        <v>77.550300598000007</v>
      </c>
      <c r="I1323">
        <v>50</v>
      </c>
      <c r="J1323">
        <v>49.973014831999997</v>
      </c>
      <c r="K1323">
        <v>0</v>
      </c>
      <c r="L1323">
        <v>2400</v>
      </c>
      <c r="M1323">
        <v>2400</v>
      </c>
      <c r="N1323">
        <v>0</v>
      </c>
    </row>
    <row r="1324" spans="1:14" x14ac:dyDescent="0.25">
      <c r="A1324">
        <v>575.41726500000004</v>
      </c>
      <c r="B1324" s="1">
        <f>DATE(2011,11,27) + TIME(10,0,51)</f>
        <v>40874.417256944442</v>
      </c>
      <c r="C1324">
        <v>1328.2993164</v>
      </c>
      <c r="D1324">
        <v>1326.7285156</v>
      </c>
      <c r="E1324">
        <v>1338.3244629000001</v>
      </c>
      <c r="F1324">
        <v>1335.8741454999999</v>
      </c>
      <c r="G1324">
        <v>80</v>
      </c>
      <c r="H1324">
        <v>77.477912903000004</v>
      </c>
      <c r="I1324">
        <v>50</v>
      </c>
      <c r="J1324">
        <v>49.972999573000003</v>
      </c>
      <c r="K1324">
        <v>0</v>
      </c>
      <c r="L1324">
        <v>2400</v>
      </c>
      <c r="M1324">
        <v>2400</v>
      </c>
      <c r="N1324">
        <v>0</v>
      </c>
    </row>
    <row r="1325" spans="1:14" x14ac:dyDescent="0.25">
      <c r="A1325">
        <v>576.36501699999997</v>
      </c>
      <c r="B1325" s="1">
        <f>DATE(2011,11,28) + TIME(8,45,37)</f>
        <v>40875.365011574075</v>
      </c>
      <c r="C1325">
        <v>1328.2636719</v>
      </c>
      <c r="D1325">
        <v>1326.6796875</v>
      </c>
      <c r="E1325">
        <v>1338.3179932</v>
      </c>
      <c r="F1325">
        <v>1335.8713379000001</v>
      </c>
      <c r="G1325">
        <v>80</v>
      </c>
      <c r="H1325">
        <v>77.403671265</v>
      </c>
      <c r="I1325">
        <v>50</v>
      </c>
      <c r="J1325">
        <v>49.972980499000002</v>
      </c>
      <c r="K1325">
        <v>0</v>
      </c>
      <c r="L1325">
        <v>2400</v>
      </c>
      <c r="M1325">
        <v>2400</v>
      </c>
      <c r="N1325">
        <v>0</v>
      </c>
    </row>
    <row r="1326" spans="1:14" x14ac:dyDescent="0.25">
      <c r="A1326">
        <v>577.34893499999998</v>
      </c>
      <c r="B1326" s="1">
        <f>DATE(2011,11,29) + TIME(8,22,28)</f>
        <v>40876.348935185182</v>
      </c>
      <c r="C1326">
        <v>1328.2275391000001</v>
      </c>
      <c r="D1326">
        <v>1326.630249</v>
      </c>
      <c r="E1326">
        <v>1338.3116454999999</v>
      </c>
      <c r="F1326">
        <v>1335.8686522999999</v>
      </c>
      <c r="G1326">
        <v>80</v>
      </c>
      <c r="H1326">
        <v>77.327102660999998</v>
      </c>
      <c r="I1326">
        <v>50</v>
      </c>
      <c r="J1326">
        <v>49.972965240000001</v>
      </c>
      <c r="K1326">
        <v>0</v>
      </c>
      <c r="L1326">
        <v>2400</v>
      </c>
      <c r="M1326">
        <v>2400</v>
      </c>
      <c r="N1326">
        <v>0</v>
      </c>
    </row>
    <row r="1327" spans="1:14" x14ac:dyDescent="0.25">
      <c r="A1327">
        <v>578.36227099999996</v>
      </c>
      <c r="B1327" s="1">
        <f>DATE(2011,11,30) + TIME(8,41,40)</f>
        <v>40877.362268518518</v>
      </c>
      <c r="C1327">
        <v>1328.1906738</v>
      </c>
      <c r="D1327">
        <v>1326.5799560999999</v>
      </c>
      <c r="E1327">
        <v>1338.3050536999999</v>
      </c>
      <c r="F1327">
        <v>1335.8658447</v>
      </c>
      <c r="G1327">
        <v>80</v>
      </c>
      <c r="H1327">
        <v>77.248077393000003</v>
      </c>
      <c r="I1327">
        <v>50</v>
      </c>
      <c r="J1327">
        <v>49.972946167000003</v>
      </c>
      <c r="K1327">
        <v>0</v>
      </c>
      <c r="L1327">
        <v>2400</v>
      </c>
      <c r="M1327">
        <v>2400</v>
      </c>
      <c r="N1327">
        <v>0</v>
      </c>
    </row>
    <row r="1328" spans="1:14" x14ac:dyDescent="0.25">
      <c r="A1328">
        <v>579</v>
      </c>
      <c r="B1328" s="1">
        <f>DATE(2011,12,1) + TIME(0,0,0)</f>
        <v>40878</v>
      </c>
      <c r="C1328">
        <v>1328.1544189000001</v>
      </c>
      <c r="D1328">
        <v>1326.53125</v>
      </c>
      <c r="E1328">
        <v>1338.2985839999999</v>
      </c>
      <c r="F1328">
        <v>1335.8631591999999</v>
      </c>
      <c r="G1328">
        <v>80</v>
      </c>
      <c r="H1328">
        <v>77.182739257999998</v>
      </c>
      <c r="I1328">
        <v>50</v>
      </c>
      <c r="J1328">
        <v>49.972930908000002</v>
      </c>
      <c r="K1328">
        <v>0</v>
      </c>
      <c r="L1328">
        <v>2400</v>
      </c>
      <c r="M1328">
        <v>2400</v>
      </c>
      <c r="N1328">
        <v>0</v>
      </c>
    </row>
    <row r="1329" spans="1:14" x14ac:dyDescent="0.25">
      <c r="A1329">
        <v>580.03177600000004</v>
      </c>
      <c r="B1329" s="1">
        <f>DATE(2011,12,2) + TIME(0,45,45)</f>
        <v>40879.031770833331</v>
      </c>
      <c r="C1329">
        <v>1328.1269531</v>
      </c>
      <c r="D1329">
        <v>1326.4919434000001</v>
      </c>
      <c r="E1329">
        <v>1338.2946777</v>
      </c>
      <c r="F1329">
        <v>1335.8615723</v>
      </c>
      <c r="G1329">
        <v>80</v>
      </c>
      <c r="H1329">
        <v>77.110137938999998</v>
      </c>
      <c r="I1329">
        <v>50</v>
      </c>
      <c r="J1329">
        <v>49.972919464</v>
      </c>
      <c r="K1329">
        <v>0</v>
      </c>
      <c r="L1329">
        <v>2400</v>
      </c>
      <c r="M1329">
        <v>2400</v>
      </c>
      <c r="N1329">
        <v>0</v>
      </c>
    </row>
    <row r="1330" spans="1:14" x14ac:dyDescent="0.25">
      <c r="A1330">
        <v>581.110319</v>
      </c>
      <c r="B1330" s="1">
        <f>DATE(2011,12,3) + TIME(2,38,51)</f>
        <v>40880.110312500001</v>
      </c>
      <c r="C1330">
        <v>1328.0915527</v>
      </c>
      <c r="D1330">
        <v>1326.4444579999999</v>
      </c>
      <c r="E1330">
        <v>1338.2884521000001</v>
      </c>
      <c r="F1330">
        <v>1335.8590088000001</v>
      </c>
      <c r="G1330">
        <v>80</v>
      </c>
      <c r="H1330">
        <v>77.029693604000002</v>
      </c>
      <c r="I1330">
        <v>50</v>
      </c>
      <c r="J1330">
        <v>49.972904204999999</v>
      </c>
      <c r="K1330">
        <v>0</v>
      </c>
      <c r="L1330">
        <v>2400</v>
      </c>
      <c r="M1330">
        <v>2400</v>
      </c>
      <c r="N1330">
        <v>0</v>
      </c>
    </row>
    <row r="1331" spans="1:14" x14ac:dyDescent="0.25">
      <c r="A1331">
        <v>582.22753</v>
      </c>
      <c r="B1331" s="1">
        <f>DATE(2011,12,4) + TIME(5,27,38)</f>
        <v>40881.227523148147</v>
      </c>
      <c r="C1331">
        <v>1328.0541992000001</v>
      </c>
      <c r="D1331">
        <v>1326.394043</v>
      </c>
      <c r="E1331">
        <v>1338.2821045000001</v>
      </c>
      <c r="F1331">
        <v>1335.8563231999999</v>
      </c>
      <c r="G1331">
        <v>80</v>
      </c>
      <c r="H1331">
        <v>76.943923949999999</v>
      </c>
      <c r="I1331">
        <v>50</v>
      </c>
      <c r="J1331">
        <v>49.972888947000001</v>
      </c>
      <c r="K1331">
        <v>0</v>
      </c>
      <c r="L1331">
        <v>2400</v>
      </c>
      <c r="M1331">
        <v>2400</v>
      </c>
      <c r="N1331">
        <v>0</v>
      </c>
    </row>
    <row r="1332" spans="1:14" x14ac:dyDescent="0.25">
      <c r="A1332">
        <v>583.36574700000006</v>
      </c>
      <c r="B1332" s="1">
        <f>DATE(2011,12,5) + TIME(8,46,40)</f>
        <v>40882.365740740737</v>
      </c>
      <c r="C1332">
        <v>1328.0158690999999</v>
      </c>
      <c r="D1332">
        <v>1326.3421631000001</v>
      </c>
      <c r="E1332">
        <v>1338.2757568</v>
      </c>
      <c r="F1332">
        <v>1335.8537598</v>
      </c>
      <c r="G1332">
        <v>80</v>
      </c>
      <c r="H1332">
        <v>76.854515075999998</v>
      </c>
      <c r="I1332">
        <v>50</v>
      </c>
      <c r="J1332">
        <v>49.972877502000003</v>
      </c>
      <c r="K1332">
        <v>0</v>
      </c>
      <c r="L1332">
        <v>2400</v>
      </c>
      <c r="M1332">
        <v>2400</v>
      </c>
      <c r="N1332">
        <v>0</v>
      </c>
    </row>
    <row r="1333" spans="1:14" x14ac:dyDescent="0.25">
      <c r="A1333">
        <v>584.52352299999995</v>
      </c>
      <c r="B1333" s="1">
        <f>DATE(2011,12,6) + TIME(12,33,52)</f>
        <v>40883.523518518516</v>
      </c>
      <c r="C1333">
        <v>1327.9771728999999</v>
      </c>
      <c r="D1333">
        <v>1326.2896728999999</v>
      </c>
      <c r="E1333">
        <v>1338.2694091999999</v>
      </c>
      <c r="F1333">
        <v>1335.8513184000001</v>
      </c>
      <c r="G1333">
        <v>80</v>
      </c>
      <c r="H1333">
        <v>76.762519835999996</v>
      </c>
      <c r="I1333">
        <v>50</v>
      </c>
      <c r="J1333">
        <v>49.972862243999998</v>
      </c>
      <c r="K1333">
        <v>0</v>
      </c>
      <c r="L1333">
        <v>2400</v>
      </c>
      <c r="M1333">
        <v>2400</v>
      </c>
      <c r="N1333">
        <v>0</v>
      </c>
    </row>
    <row r="1334" spans="1:14" x14ac:dyDescent="0.25">
      <c r="A1334">
        <v>585.70869300000004</v>
      </c>
      <c r="B1334" s="1">
        <f>DATE(2011,12,7) + TIME(17,0,31)</f>
        <v>40884.708692129629</v>
      </c>
      <c r="C1334">
        <v>1327.9382324000001</v>
      </c>
      <c r="D1334">
        <v>1326.2369385</v>
      </c>
      <c r="E1334">
        <v>1338.2633057</v>
      </c>
      <c r="F1334">
        <v>1335.8488769999999</v>
      </c>
      <c r="G1334">
        <v>80</v>
      </c>
      <c r="H1334">
        <v>76.668121338000006</v>
      </c>
      <c r="I1334">
        <v>50</v>
      </c>
      <c r="J1334">
        <v>49.972850800000003</v>
      </c>
      <c r="K1334">
        <v>0</v>
      </c>
      <c r="L1334">
        <v>2400</v>
      </c>
      <c r="M1334">
        <v>2400</v>
      </c>
      <c r="N1334">
        <v>0</v>
      </c>
    </row>
    <row r="1335" spans="1:14" x14ac:dyDescent="0.25">
      <c r="A1335">
        <v>586.92970600000001</v>
      </c>
      <c r="B1335" s="1">
        <f>DATE(2011,12,8) + TIME(22,18,46)</f>
        <v>40885.929699074077</v>
      </c>
      <c r="C1335">
        <v>1327.8990478999999</v>
      </c>
      <c r="D1335">
        <v>1326.1839600000001</v>
      </c>
      <c r="E1335">
        <v>1338.2570800999999</v>
      </c>
      <c r="F1335">
        <v>1335.8464355000001</v>
      </c>
      <c r="G1335">
        <v>80</v>
      </c>
      <c r="H1335">
        <v>76.57093811</v>
      </c>
      <c r="I1335">
        <v>50</v>
      </c>
      <c r="J1335">
        <v>49.972835541000002</v>
      </c>
      <c r="K1335">
        <v>0</v>
      </c>
      <c r="L1335">
        <v>2400</v>
      </c>
      <c r="M1335">
        <v>2400</v>
      </c>
      <c r="N1335">
        <v>0</v>
      </c>
    </row>
    <row r="1336" spans="1:14" x14ac:dyDescent="0.25">
      <c r="A1336">
        <v>588.195829</v>
      </c>
      <c r="B1336" s="1">
        <f>DATE(2011,12,10) + TIME(4,41,59)</f>
        <v>40887.195821759262</v>
      </c>
      <c r="C1336">
        <v>1327.8594971</v>
      </c>
      <c r="D1336">
        <v>1326.1304932</v>
      </c>
      <c r="E1336">
        <v>1338.2509766000001</v>
      </c>
      <c r="F1336">
        <v>1335.8441161999999</v>
      </c>
      <c r="G1336">
        <v>80</v>
      </c>
      <c r="H1336">
        <v>76.470314025999997</v>
      </c>
      <c r="I1336">
        <v>50</v>
      </c>
      <c r="J1336">
        <v>49.972824097</v>
      </c>
      <c r="K1336">
        <v>0</v>
      </c>
      <c r="L1336">
        <v>2400</v>
      </c>
      <c r="M1336">
        <v>2400</v>
      </c>
      <c r="N1336">
        <v>0</v>
      </c>
    </row>
    <row r="1337" spans="1:14" x14ac:dyDescent="0.25">
      <c r="A1337">
        <v>589.49048700000003</v>
      </c>
      <c r="B1337" s="1">
        <f>DATE(2011,12,11) + TIME(11,46,18)</f>
        <v>40888.490486111114</v>
      </c>
      <c r="C1337">
        <v>1327.8193358999999</v>
      </c>
      <c r="D1337">
        <v>1326.0762939000001</v>
      </c>
      <c r="E1337">
        <v>1338.244751</v>
      </c>
      <c r="F1337">
        <v>1335.8416748</v>
      </c>
      <c r="G1337">
        <v>80</v>
      </c>
      <c r="H1337">
        <v>76.366157532000003</v>
      </c>
      <c r="I1337">
        <v>50</v>
      </c>
      <c r="J1337">
        <v>49.972812652999998</v>
      </c>
      <c r="K1337">
        <v>0</v>
      </c>
      <c r="L1337">
        <v>2400</v>
      </c>
      <c r="M1337">
        <v>2400</v>
      </c>
      <c r="N1337">
        <v>0</v>
      </c>
    </row>
    <row r="1338" spans="1:14" x14ac:dyDescent="0.25">
      <c r="A1338">
        <v>590.807727</v>
      </c>
      <c r="B1338" s="1">
        <f>DATE(2011,12,12) + TIME(19,23,7)</f>
        <v>40889.807719907411</v>
      </c>
      <c r="C1338">
        <v>1327.7789307</v>
      </c>
      <c r="D1338">
        <v>1326.0217285000001</v>
      </c>
      <c r="E1338">
        <v>1338.2386475000001</v>
      </c>
      <c r="F1338">
        <v>1335.8393555</v>
      </c>
      <c r="G1338">
        <v>80</v>
      </c>
      <c r="H1338">
        <v>76.259010314999998</v>
      </c>
      <c r="I1338">
        <v>50</v>
      </c>
      <c r="J1338">
        <v>49.972801208</v>
      </c>
      <c r="K1338">
        <v>0</v>
      </c>
      <c r="L1338">
        <v>2400</v>
      </c>
      <c r="M1338">
        <v>2400</v>
      </c>
      <c r="N1338">
        <v>0</v>
      </c>
    </row>
    <row r="1339" spans="1:14" x14ac:dyDescent="0.25">
      <c r="A1339">
        <v>592.15738999999996</v>
      </c>
      <c r="B1339" s="1">
        <f>DATE(2011,12,14) + TIME(3,46,38)</f>
        <v>40891.157384259262</v>
      </c>
      <c r="C1339">
        <v>1327.7384033000001</v>
      </c>
      <c r="D1339">
        <v>1325.9671631000001</v>
      </c>
      <c r="E1339">
        <v>1338.2325439000001</v>
      </c>
      <c r="F1339">
        <v>1335.8370361</v>
      </c>
      <c r="G1339">
        <v>80</v>
      </c>
      <c r="H1339">
        <v>76.148956299000005</v>
      </c>
      <c r="I1339">
        <v>50</v>
      </c>
      <c r="J1339">
        <v>49.972789763999998</v>
      </c>
      <c r="K1339">
        <v>0</v>
      </c>
      <c r="L1339">
        <v>2400</v>
      </c>
      <c r="M1339">
        <v>2400</v>
      </c>
      <c r="N1339">
        <v>0</v>
      </c>
    </row>
    <row r="1340" spans="1:14" x14ac:dyDescent="0.25">
      <c r="A1340">
        <v>593.54981999999995</v>
      </c>
      <c r="B1340" s="1">
        <f>DATE(2011,12,15) + TIME(13,11,44)</f>
        <v>40892.549814814818</v>
      </c>
      <c r="C1340">
        <v>1327.6976318</v>
      </c>
      <c r="D1340">
        <v>1325.9123535000001</v>
      </c>
      <c r="E1340">
        <v>1338.2264404</v>
      </c>
      <c r="F1340">
        <v>1335.8348389</v>
      </c>
      <c r="G1340">
        <v>80</v>
      </c>
      <c r="H1340">
        <v>76.035423279</v>
      </c>
      <c r="I1340">
        <v>50</v>
      </c>
      <c r="J1340">
        <v>49.972782135000003</v>
      </c>
      <c r="K1340">
        <v>0</v>
      </c>
      <c r="L1340">
        <v>2400</v>
      </c>
      <c r="M1340">
        <v>2400</v>
      </c>
      <c r="N1340">
        <v>0</v>
      </c>
    </row>
    <row r="1341" spans="1:14" x14ac:dyDescent="0.25">
      <c r="A1341">
        <v>594.99654099999998</v>
      </c>
      <c r="B1341" s="1">
        <f>DATE(2011,12,16) + TIME(23,55,1)</f>
        <v>40893.996539351851</v>
      </c>
      <c r="C1341">
        <v>1327.6564940999999</v>
      </c>
      <c r="D1341">
        <v>1325.8570557</v>
      </c>
      <c r="E1341">
        <v>1338.2204589999999</v>
      </c>
      <c r="F1341">
        <v>1335.8326416</v>
      </c>
      <c r="G1341">
        <v>80</v>
      </c>
      <c r="H1341">
        <v>75.917572020999998</v>
      </c>
      <c r="I1341">
        <v>50</v>
      </c>
      <c r="J1341">
        <v>49.972770691000001</v>
      </c>
      <c r="K1341">
        <v>0</v>
      </c>
      <c r="L1341">
        <v>2400</v>
      </c>
      <c r="M1341">
        <v>2400</v>
      </c>
      <c r="N1341">
        <v>0</v>
      </c>
    </row>
    <row r="1342" spans="1:14" x14ac:dyDescent="0.25">
      <c r="A1342">
        <v>596.47951999999998</v>
      </c>
      <c r="B1342" s="1">
        <f>DATE(2011,12,18) + TIME(11,30,30)</f>
        <v>40895.479513888888</v>
      </c>
      <c r="C1342">
        <v>1327.6147461</v>
      </c>
      <c r="D1342">
        <v>1325.8010254000001</v>
      </c>
      <c r="E1342">
        <v>1338.2143555</v>
      </c>
      <c r="F1342">
        <v>1335.8303223</v>
      </c>
      <c r="G1342">
        <v>80</v>
      </c>
      <c r="H1342">
        <v>75.795104980000005</v>
      </c>
      <c r="I1342">
        <v>50</v>
      </c>
      <c r="J1342">
        <v>49.972763061999999</v>
      </c>
      <c r="K1342">
        <v>0</v>
      </c>
      <c r="L1342">
        <v>2400</v>
      </c>
      <c r="M1342">
        <v>2400</v>
      </c>
      <c r="N1342">
        <v>0</v>
      </c>
    </row>
    <row r="1343" spans="1:14" x14ac:dyDescent="0.25">
      <c r="A1343">
        <v>597.99454800000001</v>
      </c>
      <c r="B1343" s="1">
        <f>DATE(2011,12,19) + TIME(23,52,8)</f>
        <v>40896.994537037041</v>
      </c>
      <c r="C1343">
        <v>1327.5726318</v>
      </c>
      <c r="D1343">
        <v>1325.7445068</v>
      </c>
      <c r="E1343">
        <v>1338.2082519999999</v>
      </c>
      <c r="F1343">
        <v>1335.828125</v>
      </c>
      <c r="G1343">
        <v>80</v>
      </c>
      <c r="H1343">
        <v>75.668640136999997</v>
      </c>
      <c r="I1343">
        <v>50</v>
      </c>
      <c r="J1343">
        <v>49.972755432</v>
      </c>
      <c r="K1343">
        <v>0</v>
      </c>
      <c r="L1343">
        <v>2400</v>
      </c>
      <c r="M1343">
        <v>2400</v>
      </c>
      <c r="N1343">
        <v>0</v>
      </c>
    </row>
    <row r="1344" spans="1:14" x14ac:dyDescent="0.25">
      <c r="A1344">
        <v>599.54594199999997</v>
      </c>
      <c r="B1344" s="1">
        <f>DATE(2011,12,21) + TIME(13,6,9)</f>
        <v>40898.545937499999</v>
      </c>
      <c r="C1344">
        <v>1327.5302733999999</v>
      </c>
      <c r="D1344">
        <v>1325.6877440999999</v>
      </c>
      <c r="E1344">
        <v>1338.2021483999999</v>
      </c>
      <c r="F1344">
        <v>1335.8259277</v>
      </c>
      <c r="G1344">
        <v>80</v>
      </c>
      <c r="H1344">
        <v>75.538375853999995</v>
      </c>
      <c r="I1344">
        <v>50</v>
      </c>
      <c r="J1344">
        <v>49.972747802999997</v>
      </c>
      <c r="K1344">
        <v>0</v>
      </c>
      <c r="L1344">
        <v>2400</v>
      </c>
      <c r="M1344">
        <v>2400</v>
      </c>
      <c r="N1344">
        <v>0</v>
      </c>
    </row>
    <row r="1345" spans="1:14" x14ac:dyDescent="0.25">
      <c r="A1345">
        <v>601.11539200000004</v>
      </c>
      <c r="B1345" s="1">
        <f>DATE(2011,12,23) + TIME(2,46,9)</f>
        <v>40900.115381944444</v>
      </c>
      <c r="C1345">
        <v>1327.487793</v>
      </c>
      <c r="D1345">
        <v>1325.6309814000001</v>
      </c>
      <c r="E1345">
        <v>1338.1961670000001</v>
      </c>
      <c r="F1345">
        <v>1335.8238524999999</v>
      </c>
      <c r="G1345">
        <v>80</v>
      </c>
      <c r="H1345">
        <v>75.404602050999998</v>
      </c>
      <c r="I1345">
        <v>50</v>
      </c>
      <c r="J1345">
        <v>49.972740172999998</v>
      </c>
      <c r="K1345">
        <v>0</v>
      </c>
      <c r="L1345">
        <v>2400</v>
      </c>
      <c r="M1345">
        <v>2400</v>
      </c>
      <c r="N1345">
        <v>0</v>
      </c>
    </row>
    <row r="1346" spans="1:14" x14ac:dyDescent="0.25">
      <c r="A1346">
        <v>602.71511399999997</v>
      </c>
      <c r="B1346" s="1">
        <f>DATE(2011,12,24) + TIME(17,9,45)</f>
        <v>40901.715104166666</v>
      </c>
      <c r="C1346">
        <v>1327.4455565999999</v>
      </c>
      <c r="D1346">
        <v>1325.5743408000001</v>
      </c>
      <c r="E1346">
        <v>1338.1901855000001</v>
      </c>
      <c r="F1346">
        <v>1335.8216553</v>
      </c>
      <c r="G1346">
        <v>80</v>
      </c>
      <c r="H1346">
        <v>75.267814635999997</v>
      </c>
      <c r="I1346">
        <v>50</v>
      </c>
      <c r="J1346">
        <v>49.972736359000002</v>
      </c>
      <c r="K1346">
        <v>0</v>
      </c>
      <c r="L1346">
        <v>2400</v>
      </c>
      <c r="M1346">
        <v>2400</v>
      </c>
      <c r="N1346">
        <v>0</v>
      </c>
    </row>
    <row r="1347" spans="1:14" x14ac:dyDescent="0.25">
      <c r="A1347">
        <v>604.35767699999997</v>
      </c>
      <c r="B1347" s="1">
        <f>DATE(2011,12,26) + TIME(8,35,3)</f>
        <v>40903.357673611114</v>
      </c>
      <c r="C1347">
        <v>1327.4033202999999</v>
      </c>
      <c r="D1347">
        <v>1325.5178223</v>
      </c>
      <c r="E1347">
        <v>1338.1843262</v>
      </c>
      <c r="F1347">
        <v>1335.8195800999999</v>
      </c>
      <c r="G1347">
        <v>80</v>
      </c>
      <c r="H1347">
        <v>75.127426146999994</v>
      </c>
      <c r="I1347">
        <v>50</v>
      </c>
      <c r="J1347">
        <v>49.972728729000004</v>
      </c>
      <c r="K1347">
        <v>0</v>
      </c>
      <c r="L1347">
        <v>2400</v>
      </c>
      <c r="M1347">
        <v>2400</v>
      </c>
      <c r="N1347">
        <v>0</v>
      </c>
    </row>
    <row r="1348" spans="1:14" x14ac:dyDescent="0.25">
      <c r="A1348">
        <v>606.05667100000005</v>
      </c>
      <c r="B1348" s="1">
        <f>DATE(2011,12,28) + TIME(1,21,36)</f>
        <v>40905.056666666664</v>
      </c>
      <c r="C1348">
        <v>1327.3609618999999</v>
      </c>
      <c r="D1348">
        <v>1325.4611815999999</v>
      </c>
      <c r="E1348">
        <v>1338.1783447</v>
      </c>
      <c r="F1348">
        <v>1335.8175048999999</v>
      </c>
      <c r="G1348">
        <v>80</v>
      </c>
      <c r="H1348">
        <v>74.982383728000002</v>
      </c>
      <c r="I1348">
        <v>50</v>
      </c>
      <c r="J1348">
        <v>49.972724915000001</v>
      </c>
      <c r="K1348">
        <v>0</v>
      </c>
      <c r="L1348">
        <v>2400</v>
      </c>
      <c r="M1348">
        <v>2400</v>
      </c>
      <c r="N1348">
        <v>0</v>
      </c>
    </row>
    <row r="1349" spans="1:14" x14ac:dyDescent="0.25">
      <c r="A1349">
        <v>607.82737999999995</v>
      </c>
      <c r="B1349" s="1">
        <f>DATE(2011,12,29) + TIME(19,51,25)</f>
        <v>40906.827372685184</v>
      </c>
      <c r="C1349">
        <v>1327.3179932</v>
      </c>
      <c r="D1349">
        <v>1325.4040527</v>
      </c>
      <c r="E1349">
        <v>1338.1724853999999</v>
      </c>
      <c r="F1349">
        <v>1335.8154297000001</v>
      </c>
      <c r="G1349">
        <v>80</v>
      </c>
      <c r="H1349">
        <v>74.831321716000005</v>
      </c>
      <c r="I1349">
        <v>50</v>
      </c>
      <c r="J1349">
        <v>49.972721100000001</v>
      </c>
      <c r="K1349">
        <v>0</v>
      </c>
      <c r="L1349">
        <v>2400</v>
      </c>
      <c r="M1349">
        <v>2400</v>
      </c>
      <c r="N1349">
        <v>0</v>
      </c>
    </row>
    <row r="1350" spans="1:14" x14ac:dyDescent="0.25">
      <c r="A1350">
        <v>609.66260399999999</v>
      </c>
      <c r="B1350" s="1">
        <f>DATE(2011,12,31) + TIME(15,54,9)</f>
        <v>40908.662604166668</v>
      </c>
      <c r="C1350">
        <v>1327.2744141000001</v>
      </c>
      <c r="D1350">
        <v>1325.3459473</v>
      </c>
      <c r="E1350">
        <v>1338.1663818</v>
      </c>
      <c r="F1350">
        <v>1335.8133545000001</v>
      </c>
      <c r="G1350">
        <v>80</v>
      </c>
      <c r="H1350">
        <v>74.673446655000006</v>
      </c>
      <c r="I1350">
        <v>50</v>
      </c>
      <c r="J1350">
        <v>49.972721100000001</v>
      </c>
      <c r="K1350">
        <v>0</v>
      </c>
      <c r="L1350">
        <v>2400</v>
      </c>
      <c r="M1350">
        <v>2400</v>
      </c>
      <c r="N1350">
        <v>0</v>
      </c>
    </row>
    <row r="1351" spans="1:14" x14ac:dyDescent="0.25">
      <c r="A1351">
        <v>610</v>
      </c>
      <c r="B1351" s="1">
        <f>DATE(2012,1,1) + TIME(0,0,0)</f>
        <v>40909</v>
      </c>
      <c r="C1351">
        <v>1327.2324219</v>
      </c>
      <c r="D1351">
        <v>1325.2932129000001</v>
      </c>
      <c r="E1351">
        <v>1338.1601562000001</v>
      </c>
      <c r="F1351">
        <v>1335.8111572</v>
      </c>
      <c r="G1351">
        <v>80</v>
      </c>
      <c r="H1351">
        <v>74.593963622999993</v>
      </c>
      <c r="I1351">
        <v>50</v>
      </c>
      <c r="J1351">
        <v>49.972705841</v>
      </c>
      <c r="K1351">
        <v>0</v>
      </c>
      <c r="L1351">
        <v>2400</v>
      </c>
      <c r="M1351">
        <v>2400</v>
      </c>
      <c r="N1351">
        <v>0</v>
      </c>
    </row>
    <row r="1352" spans="1:14" x14ac:dyDescent="0.25">
      <c r="A1352">
        <v>611.86681199999998</v>
      </c>
      <c r="B1352" s="1">
        <f>DATE(2012,1,2) + TIME(20,48,12)</f>
        <v>40910.866805555554</v>
      </c>
      <c r="C1352">
        <v>1327.2169189000001</v>
      </c>
      <c r="D1352">
        <v>1325.2672118999999</v>
      </c>
      <c r="E1352">
        <v>1338.1591797000001</v>
      </c>
      <c r="F1352">
        <v>1335.8109131000001</v>
      </c>
      <c r="G1352">
        <v>80</v>
      </c>
      <c r="H1352">
        <v>74.467552185000002</v>
      </c>
      <c r="I1352">
        <v>50</v>
      </c>
      <c r="J1352">
        <v>49.972713470000002</v>
      </c>
      <c r="K1352">
        <v>0</v>
      </c>
      <c r="L1352">
        <v>2400</v>
      </c>
      <c r="M1352">
        <v>2400</v>
      </c>
      <c r="N1352">
        <v>0</v>
      </c>
    </row>
    <row r="1353" spans="1:14" x14ac:dyDescent="0.25">
      <c r="A1353">
        <v>613.75387499999999</v>
      </c>
      <c r="B1353" s="1">
        <f>DATE(2012,1,4) + TIME(18,5,34)</f>
        <v>40912.753865740742</v>
      </c>
      <c r="C1353">
        <v>1327.1763916</v>
      </c>
      <c r="D1353">
        <v>1325.2149658000001</v>
      </c>
      <c r="E1353">
        <v>1338.1531981999999</v>
      </c>
      <c r="F1353">
        <v>1335.8088379000001</v>
      </c>
      <c r="G1353">
        <v>80</v>
      </c>
      <c r="H1353">
        <v>74.308151245000005</v>
      </c>
      <c r="I1353">
        <v>50</v>
      </c>
      <c r="J1353">
        <v>49.972713470000002</v>
      </c>
      <c r="K1353">
        <v>0</v>
      </c>
      <c r="L1353">
        <v>2400</v>
      </c>
      <c r="M1353">
        <v>2400</v>
      </c>
      <c r="N1353">
        <v>0</v>
      </c>
    </row>
    <row r="1354" spans="1:14" x14ac:dyDescent="0.25">
      <c r="A1354">
        <v>615.67394999999999</v>
      </c>
      <c r="B1354" s="1">
        <f>DATE(2012,1,6) + TIME(16,10,29)</f>
        <v>40914.673946759256</v>
      </c>
      <c r="C1354">
        <v>1327.1334228999999</v>
      </c>
      <c r="D1354">
        <v>1325.1582031</v>
      </c>
      <c r="E1354">
        <v>1338.1472168</v>
      </c>
      <c r="F1354">
        <v>1335.8067627</v>
      </c>
      <c r="G1354">
        <v>80</v>
      </c>
      <c r="H1354">
        <v>74.138610839999998</v>
      </c>
      <c r="I1354">
        <v>50</v>
      </c>
      <c r="J1354">
        <v>49.972717285000002</v>
      </c>
      <c r="K1354">
        <v>0</v>
      </c>
      <c r="L1354">
        <v>2400</v>
      </c>
      <c r="M1354">
        <v>2400</v>
      </c>
      <c r="N1354">
        <v>0</v>
      </c>
    </row>
    <row r="1355" spans="1:14" x14ac:dyDescent="0.25">
      <c r="A1355">
        <v>617.64307099999996</v>
      </c>
      <c r="B1355" s="1">
        <f>DATE(2012,1,8) + TIME(15,26,1)</f>
        <v>40916.643067129633</v>
      </c>
      <c r="C1355">
        <v>1327.0899658000001</v>
      </c>
      <c r="D1355">
        <v>1325.1005858999999</v>
      </c>
      <c r="E1355">
        <v>1338.1413574000001</v>
      </c>
      <c r="F1355">
        <v>1335.8048096</v>
      </c>
      <c r="G1355">
        <v>80</v>
      </c>
      <c r="H1355">
        <v>73.963409424000005</v>
      </c>
      <c r="I1355">
        <v>50</v>
      </c>
      <c r="J1355">
        <v>49.972717285000002</v>
      </c>
      <c r="K1355">
        <v>0</v>
      </c>
      <c r="L1355">
        <v>2400</v>
      </c>
      <c r="M1355">
        <v>2400</v>
      </c>
      <c r="N1355">
        <v>0</v>
      </c>
    </row>
    <row r="1356" spans="1:14" x14ac:dyDescent="0.25">
      <c r="A1356">
        <v>619.66366900000003</v>
      </c>
      <c r="B1356" s="1">
        <f>DATE(2012,1,10) + TIME(15,55,41)</f>
        <v>40918.663668981484</v>
      </c>
      <c r="C1356">
        <v>1327.0462646000001</v>
      </c>
      <c r="D1356">
        <v>1325.0426024999999</v>
      </c>
      <c r="E1356">
        <v>1338.1354980000001</v>
      </c>
      <c r="F1356">
        <v>1335.8027344</v>
      </c>
      <c r="G1356">
        <v>80</v>
      </c>
      <c r="H1356">
        <v>73.782730103000006</v>
      </c>
      <c r="I1356">
        <v>50</v>
      </c>
      <c r="J1356">
        <v>49.972717285000002</v>
      </c>
      <c r="K1356">
        <v>0</v>
      </c>
      <c r="L1356">
        <v>2400</v>
      </c>
      <c r="M1356">
        <v>2400</v>
      </c>
      <c r="N1356">
        <v>0</v>
      </c>
    </row>
    <row r="1357" spans="1:14" x14ac:dyDescent="0.25">
      <c r="A1357">
        <v>621.74502900000005</v>
      </c>
      <c r="B1357" s="1">
        <f>DATE(2012,1,12) + TIME(17,52,50)</f>
        <v>40920.745023148149</v>
      </c>
      <c r="C1357">
        <v>1327.0023193</v>
      </c>
      <c r="D1357">
        <v>1324.984375</v>
      </c>
      <c r="E1357">
        <v>1338.1295166</v>
      </c>
      <c r="F1357">
        <v>1335.8006591999999</v>
      </c>
      <c r="G1357">
        <v>80</v>
      </c>
      <c r="H1357">
        <v>73.596305846999996</v>
      </c>
      <c r="I1357">
        <v>50</v>
      </c>
      <c r="J1357">
        <v>49.972721100000001</v>
      </c>
      <c r="K1357">
        <v>0</v>
      </c>
      <c r="L1357">
        <v>2400</v>
      </c>
      <c r="M1357">
        <v>2400</v>
      </c>
      <c r="N1357">
        <v>0</v>
      </c>
    </row>
    <row r="1358" spans="1:14" x14ac:dyDescent="0.25">
      <c r="A1358">
        <v>623.90610000000004</v>
      </c>
      <c r="B1358" s="1">
        <f>DATE(2012,1,14) + TIME(21,44,47)</f>
        <v>40922.906099537038</v>
      </c>
      <c r="C1358">
        <v>1326.9581298999999</v>
      </c>
      <c r="D1358">
        <v>1324.9256591999999</v>
      </c>
      <c r="E1358">
        <v>1338.1236572</v>
      </c>
      <c r="F1358">
        <v>1335.7987060999999</v>
      </c>
      <c r="G1358">
        <v>80</v>
      </c>
      <c r="H1358">
        <v>73.403213500999996</v>
      </c>
      <c r="I1358">
        <v>50</v>
      </c>
      <c r="J1358">
        <v>49.972724915000001</v>
      </c>
      <c r="K1358">
        <v>0</v>
      </c>
      <c r="L1358">
        <v>2400</v>
      </c>
      <c r="M1358">
        <v>2400</v>
      </c>
      <c r="N1358">
        <v>0</v>
      </c>
    </row>
    <row r="1359" spans="1:14" x14ac:dyDescent="0.25">
      <c r="A1359">
        <v>626.14046800000006</v>
      </c>
      <c r="B1359" s="1">
        <f>DATE(2012,1,17) + TIME(3,22,16)</f>
        <v>40925.140462962961</v>
      </c>
      <c r="C1359">
        <v>1326.9133300999999</v>
      </c>
      <c r="D1359">
        <v>1324.8664550999999</v>
      </c>
      <c r="E1359">
        <v>1338.1175536999999</v>
      </c>
      <c r="F1359">
        <v>1335.7966309000001</v>
      </c>
      <c r="G1359">
        <v>80</v>
      </c>
      <c r="H1359">
        <v>73.202339171999995</v>
      </c>
      <c r="I1359">
        <v>50</v>
      </c>
      <c r="J1359">
        <v>49.972728729000004</v>
      </c>
      <c r="K1359">
        <v>0</v>
      </c>
      <c r="L1359">
        <v>2400</v>
      </c>
      <c r="M1359">
        <v>2400</v>
      </c>
      <c r="N1359">
        <v>0</v>
      </c>
    </row>
    <row r="1360" spans="1:14" x14ac:dyDescent="0.25">
      <c r="A1360">
        <v>628.40526999999997</v>
      </c>
      <c r="B1360" s="1">
        <f>DATE(2012,1,19) + TIME(9,43,35)</f>
        <v>40927.405266203707</v>
      </c>
      <c r="C1360">
        <v>1326.8680420000001</v>
      </c>
      <c r="D1360">
        <v>1324.8065185999999</v>
      </c>
      <c r="E1360">
        <v>1338.1114502</v>
      </c>
      <c r="F1360">
        <v>1335.7944336</v>
      </c>
      <c r="G1360">
        <v>80</v>
      </c>
      <c r="H1360">
        <v>72.994514464999995</v>
      </c>
      <c r="I1360">
        <v>50</v>
      </c>
      <c r="J1360">
        <v>49.972736359000002</v>
      </c>
      <c r="K1360">
        <v>0</v>
      </c>
      <c r="L1360">
        <v>2400</v>
      </c>
      <c r="M1360">
        <v>2400</v>
      </c>
      <c r="N1360">
        <v>0</v>
      </c>
    </row>
    <row r="1361" spans="1:14" x14ac:dyDescent="0.25">
      <c r="A1361">
        <v>630.68593699999997</v>
      </c>
      <c r="B1361" s="1">
        <f>DATE(2012,1,21) + TIME(16,27,44)</f>
        <v>40929.685925925929</v>
      </c>
      <c r="C1361">
        <v>1326.822876</v>
      </c>
      <c r="D1361">
        <v>1324.7467041</v>
      </c>
      <c r="E1361">
        <v>1338.1054687999999</v>
      </c>
      <c r="F1361">
        <v>1335.7923584</v>
      </c>
      <c r="G1361">
        <v>80</v>
      </c>
      <c r="H1361">
        <v>72.782630920000003</v>
      </c>
      <c r="I1361">
        <v>50</v>
      </c>
      <c r="J1361">
        <v>49.972740172999998</v>
      </c>
      <c r="K1361">
        <v>0</v>
      </c>
      <c r="L1361">
        <v>2400</v>
      </c>
      <c r="M1361">
        <v>2400</v>
      </c>
      <c r="N1361">
        <v>0</v>
      </c>
    </row>
    <row r="1362" spans="1:14" x14ac:dyDescent="0.25">
      <c r="A1362">
        <v>633.00524199999995</v>
      </c>
      <c r="B1362" s="1">
        <f>DATE(2012,1,24) + TIME(0,7,32)</f>
        <v>40932.005231481482</v>
      </c>
      <c r="C1362">
        <v>1326.7781981999999</v>
      </c>
      <c r="D1362">
        <v>1324.6875</v>
      </c>
      <c r="E1362">
        <v>1338.0994873</v>
      </c>
      <c r="F1362">
        <v>1335.7902832</v>
      </c>
      <c r="G1362">
        <v>80</v>
      </c>
      <c r="H1362">
        <v>72.567726135000001</v>
      </c>
      <c r="I1362">
        <v>50</v>
      </c>
      <c r="J1362">
        <v>49.972747802999997</v>
      </c>
      <c r="K1362">
        <v>0</v>
      </c>
      <c r="L1362">
        <v>2400</v>
      </c>
      <c r="M1362">
        <v>2400</v>
      </c>
      <c r="N1362">
        <v>0</v>
      </c>
    </row>
    <row r="1363" spans="1:14" x14ac:dyDescent="0.25">
      <c r="A1363">
        <v>635.38351399999999</v>
      </c>
      <c r="B1363" s="1">
        <f>DATE(2012,1,26) + TIME(9,12,15)</f>
        <v>40934.383506944447</v>
      </c>
      <c r="C1363">
        <v>1326.7338867000001</v>
      </c>
      <c r="D1363">
        <v>1324.6287841999999</v>
      </c>
      <c r="E1363">
        <v>1338.0936279</v>
      </c>
      <c r="F1363">
        <v>1335.7882079999999</v>
      </c>
      <c r="G1363">
        <v>80</v>
      </c>
      <c r="H1363">
        <v>72.348350525000001</v>
      </c>
      <c r="I1363">
        <v>50</v>
      </c>
      <c r="J1363">
        <v>49.972755432</v>
      </c>
      <c r="K1363">
        <v>0</v>
      </c>
      <c r="L1363">
        <v>2400</v>
      </c>
      <c r="M1363">
        <v>2400</v>
      </c>
      <c r="N1363">
        <v>0</v>
      </c>
    </row>
    <row r="1364" spans="1:14" x14ac:dyDescent="0.25">
      <c r="A1364">
        <v>637.84256700000003</v>
      </c>
      <c r="B1364" s="1">
        <f>DATE(2012,1,28) + TIME(20,13,17)</f>
        <v>40936.842557870368</v>
      </c>
      <c r="C1364">
        <v>1326.6895752</v>
      </c>
      <c r="D1364">
        <v>1324.5701904</v>
      </c>
      <c r="E1364">
        <v>1338.0876464999999</v>
      </c>
      <c r="F1364">
        <v>1335.7861327999999</v>
      </c>
      <c r="G1364">
        <v>80</v>
      </c>
      <c r="H1364">
        <v>72.122680664000001</v>
      </c>
      <c r="I1364">
        <v>50</v>
      </c>
      <c r="J1364">
        <v>49.972766876000001</v>
      </c>
      <c r="K1364">
        <v>0</v>
      </c>
      <c r="L1364">
        <v>2400</v>
      </c>
      <c r="M1364">
        <v>2400</v>
      </c>
      <c r="N1364">
        <v>0</v>
      </c>
    </row>
    <row r="1365" spans="1:14" x14ac:dyDescent="0.25">
      <c r="A1365">
        <v>640.36720500000001</v>
      </c>
      <c r="B1365" s="1">
        <f>DATE(2012,1,31) + TIME(8,48,46)</f>
        <v>40939.367199074077</v>
      </c>
      <c r="C1365">
        <v>1326.6448975000001</v>
      </c>
      <c r="D1365">
        <v>1324.5112305</v>
      </c>
      <c r="E1365">
        <v>1338.0816649999999</v>
      </c>
      <c r="F1365">
        <v>1335.7840576000001</v>
      </c>
      <c r="G1365">
        <v>80</v>
      </c>
      <c r="H1365">
        <v>71.889312743999994</v>
      </c>
      <c r="I1365">
        <v>50</v>
      </c>
      <c r="J1365">
        <v>49.972778320000003</v>
      </c>
      <c r="K1365">
        <v>0</v>
      </c>
      <c r="L1365">
        <v>2400</v>
      </c>
      <c r="M1365">
        <v>2400</v>
      </c>
      <c r="N1365">
        <v>0</v>
      </c>
    </row>
    <row r="1366" spans="1:14" x14ac:dyDescent="0.25">
      <c r="A1366">
        <v>641</v>
      </c>
      <c r="B1366" s="1">
        <f>DATE(2012,2,1) + TIME(0,0,0)</f>
        <v>40940</v>
      </c>
      <c r="C1366">
        <v>1326.6011963000001</v>
      </c>
      <c r="D1366">
        <v>1324.4564209</v>
      </c>
      <c r="E1366">
        <v>1338.0755615</v>
      </c>
      <c r="F1366">
        <v>1335.7817382999999</v>
      </c>
      <c r="G1366">
        <v>80</v>
      </c>
      <c r="H1366">
        <v>71.732147217000005</v>
      </c>
      <c r="I1366">
        <v>50</v>
      </c>
      <c r="J1366">
        <v>49.972763061999999</v>
      </c>
      <c r="K1366">
        <v>0</v>
      </c>
      <c r="L1366">
        <v>2400</v>
      </c>
      <c r="M1366">
        <v>2400</v>
      </c>
      <c r="N1366">
        <v>0</v>
      </c>
    </row>
    <row r="1367" spans="1:14" x14ac:dyDescent="0.25">
      <c r="A1367">
        <v>643.56789100000003</v>
      </c>
      <c r="B1367" s="1">
        <f>DATE(2012,2,3) + TIME(13,37,45)</f>
        <v>40942.567881944444</v>
      </c>
      <c r="C1367">
        <v>1326.5826416</v>
      </c>
      <c r="D1367">
        <v>1324.4255370999999</v>
      </c>
      <c r="E1367">
        <v>1338.0740966999999</v>
      </c>
      <c r="F1367">
        <v>1335.78125</v>
      </c>
      <c r="G1367">
        <v>80</v>
      </c>
      <c r="H1367">
        <v>71.571960449000002</v>
      </c>
      <c r="I1367">
        <v>50</v>
      </c>
      <c r="J1367">
        <v>49.972789763999998</v>
      </c>
      <c r="K1367">
        <v>0</v>
      </c>
      <c r="L1367">
        <v>2400</v>
      </c>
      <c r="M1367">
        <v>2400</v>
      </c>
      <c r="N1367">
        <v>0</v>
      </c>
    </row>
    <row r="1368" spans="1:14" x14ac:dyDescent="0.25">
      <c r="A1368">
        <v>646.22239500000001</v>
      </c>
      <c r="B1368" s="1">
        <f>DATE(2012,2,6) + TIME(5,20,14)</f>
        <v>40945.222384259258</v>
      </c>
      <c r="C1368">
        <v>1326.5430908000001</v>
      </c>
      <c r="D1368">
        <v>1324.3760986</v>
      </c>
      <c r="E1368">
        <v>1338.0681152</v>
      </c>
      <c r="F1368">
        <v>1335.7791748</v>
      </c>
      <c r="G1368">
        <v>80</v>
      </c>
      <c r="H1368">
        <v>71.339485167999996</v>
      </c>
      <c r="I1368">
        <v>50</v>
      </c>
      <c r="J1368">
        <v>49.972805022999999</v>
      </c>
      <c r="K1368">
        <v>0</v>
      </c>
      <c r="L1368">
        <v>2400</v>
      </c>
      <c r="M1368">
        <v>2400</v>
      </c>
      <c r="N1368">
        <v>0</v>
      </c>
    </row>
    <row r="1369" spans="1:14" x14ac:dyDescent="0.25">
      <c r="A1369">
        <v>648.92290600000001</v>
      </c>
      <c r="B1369" s="1">
        <f>DATE(2012,2,8) + TIME(22,8,59)</f>
        <v>40947.922905092593</v>
      </c>
      <c r="C1369">
        <v>1326.4993896000001</v>
      </c>
      <c r="D1369">
        <v>1324.3188477000001</v>
      </c>
      <c r="E1369">
        <v>1338.0620117000001</v>
      </c>
      <c r="F1369">
        <v>1335.7768555</v>
      </c>
      <c r="G1369">
        <v>80</v>
      </c>
      <c r="H1369">
        <v>71.088096618999998</v>
      </c>
      <c r="I1369">
        <v>50</v>
      </c>
      <c r="J1369">
        <v>49.972820282000001</v>
      </c>
      <c r="K1369">
        <v>0</v>
      </c>
      <c r="L1369">
        <v>2400</v>
      </c>
      <c r="M1369">
        <v>2400</v>
      </c>
      <c r="N1369">
        <v>0</v>
      </c>
    </row>
    <row r="1370" spans="1:14" x14ac:dyDescent="0.25">
      <c r="A1370">
        <v>651.68548799999996</v>
      </c>
      <c r="B1370" s="1">
        <f>DATE(2012,2,11) + TIME(16,27,6)</f>
        <v>40950.685486111113</v>
      </c>
      <c r="C1370">
        <v>1326.4549560999999</v>
      </c>
      <c r="D1370">
        <v>1324.260376</v>
      </c>
      <c r="E1370">
        <v>1338.0560303</v>
      </c>
      <c r="F1370">
        <v>1335.7746582</v>
      </c>
      <c r="G1370">
        <v>80</v>
      </c>
      <c r="H1370">
        <v>70.829086304</v>
      </c>
      <c r="I1370">
        <v>50</v>
      </c>
      <c r="J1370">
        <v>49.972835541000002</v>
      </c>
      <c r="K1370">
        <v>0</v>
      </c>
      <c r="L1370">
        <v>2400</v>
      </c>
      <c r="M1370">
        <v>2400</v>
      </c>
      <c r="N1370">
        <v>0</v>
      </c>
    </row>
    <row r="1371" spans="1:14" x14ac:dyDescent="0.25">
      <c r="A1371">
        <v>654.53681200000005</v>
      </c>
      <c r="B1371" s="1">
        <f>DATE(2012,2,14) + TIME(12,53,0)</f>
        <v>40953.536805555559</v>
      </c>
      <c r="C1371">
        <v>1326.4105225000001</v>
      </c>
      <c r="D1371">
        <v>1324.2016602000001</v>
      </c>
      <c r="E1371">
        <v>1338.0499268000001</v>
      </c>
      <c r="F1371">
        <v>1335.7723389</v>
      </c>
      <c r="G1371">
        <v>80</v>
      </c>
      <c r="H1371">
        <v>70.563049316000004</v>
      </c>
      <c r="I1371">
        <v>50</v>
      </c>
      <c r="J1371">
        <v>49.972854613999999</v>
      </c>
      <c r="K1371">
        <v>0</v>
      </c>
      <c r="L1371">
        <v>2400</v>
      </c>
      <c r="M1371">
        <v>2400</v>
      </c>
      <c r="N1371">
        <v>0</v>
      </c>
    </row>
    <row r="1372" spans="1:14" x14ac:dyDescent="0.25">
      <c r="A1372">
        <v>657.482215</v>
      </c>
      <c r="B1372" s="1">
        <f>DATE(2012,2,17) + TIME(11,34,23)</f>
        <v>40956.482210648152</v>
      </c>
      <c r="C1372">
        <v>1326.3658447</v>
      </c>
      <c r="D1372">
        <v>1324.1427002</v>
      </c>
      <c r="E1372">
        <v>1338.0438231999999</v>
      </c>
      <c r="F1372">
        <v>1335.7700195</v>
      </c>
      <c r="G1372">
        <v>80</v>
      </c>
      <c r="H1372">
        <v>70.288299561000002</v>
      </c>
      <c r="I1372">
        <v>50</v>
      </c>
      <c r="J1372">
        <v>49.972873688</v>
      </c>
      <c r="K1372">
        <v>0</v>
      </c>
      <c r="L1372">
        <v>2400</v>
      </c>
      <c r="M1372">
        <v>2400</v>
      </c>
      <c r="N1372">
        <v>0</v>
      </c>
    </row>
    <row r="1373" spans="1:14" x14ac:dyDescent="0.25">
      <c r="A1373">
        <v>660.51840400000003</v>
      </c>
      <c r="B1373" s="1">
        <f>DATE(2012,2,20) + TIME(12,26,30)</f>
        <v>40959.51840277778</v>
      </c>
      <c r="C1373">
        <v>1326.3208007999999</v>
      </c>
      <c r="D1373">
        <v>1324.083374</v>
      </c>
      <c r="E1373">
        <v>1338.0374756000001</v>
      </c>
      <c r="F1373">
        <v>1335.7675781</v>
      </c>
      <c r="G1373">
        <v>80</v>
      </c>
      <c r="H1373">
        <v>70.004142760999997</v>
      </c>
      <c r="I1373">
        <v>50</v>
      </c>
      <c r="J1373">
        <v>49.972892760999997</v>
      </c>
      <c r="K1373">
        <v>0</v>
      </c>
      <c r="L1373">
        <v>2400</v>
      </c>
      <c r="M1373">
        <v>2400</v>
      </c>
      <c r="N1373">
        <v>0</v>
      </c>
    </row>
    <row r="1374" spans="1:14" x14ac:dyDescent="0.25">
      <c r="A1374">
        <v>663.61176399999999</v>
      </c>
      <c r="B1374" s="1">
        <f>DATE(2012,2,23) + TIME(14,40,56)</f>
        <v>40962.611759259256</v>
      </c>
      <c r="C1374">
        <v>1326.2753906</v>
      </c>
      <c r="D1374">
        <v>1324.0236815999999</v>
      </c>
      <c r="E1374">
        <v>1338.03125</v>
      </c>
      <c r="F1374">
        <v>1335.7651367000001</v>
      </c>
      <c r="G1374">
        <v>80</v>
      </c>
      <c r="H1374">
        <v>69.710777282999999</v>
      </c>
      <c r="I1374">
        <v>50</v>
      </c>
      <c r="J1374">
        <v>49.972915649000001</v>
      </c>
      <c r="K1374">
        <v>0</v>
      </c>
      <c r="L1374">
        <v>2400</v>
      </c>
      <c r="M1374">
        <v>2400</v>
      </c>
      <c r="N1374">
        <v>0</v>
      </c>
    </row>
    <row r="1375" spans="1:14" x14ac:dyDescent="0.25">
      <c r="A1375">
        <v>666.71567200000004</v>
      </c>
      <c r="B1375" s="1">
        <f>DATE(2012,2,26) + TIME(17,10,34)</f>
        <v>40965.715671296297</v>
      </c>
      <c r="C1375">
        <v>1326.2302245999999</v>
      </c>
      <c r="D1375">
        <v>1323.9639893000001</v>
      </c>
      <c r="E1375">
        <v>1338.0249022999999</v>
      </c>
      <c r="F1375">
        <v>1335.7626952999999</v>
      </c>
      <c r="G1375">
        <v>80</v>
      </c>
      <c r="H1375">
        <v>69.411605835000003</v>
      </c>
      <c r="I1375">
        <v>50</v>
      </c>
      <c r="J1375">
        <v>49.972934723000002</v>
      </c>
      <c r="K1375">
        <v>0</v>
      </c>
      <c r="L1375">
        <v>2400</v>
      </c>
      <c r="M1375">
        <v>2400</v>
      </c>
      <c r="N1375">
        <v>0</v>
      </c>
    </row>
    <row r="1376" spans="1:14" x14ac:dyDescent="0.25">
      <c r="A1376">
        <v>668.35783600000002</v>
      </c>
      <c r="B1376" s="1">
        <f>DATE(2012,2,28) + TIME(8,35,17)</f>
        <v>40967.357835648145</v>
      </c>
      <c r="C1376">
        <v>1326.1860352000001</v>
      </c>
      <c r="D1376">
        <v>1323.9067382999999</v>
      </c>
      <c r="E1376">
        <v>1338.0186768000001</v>
      </c>
      <c r="F1376">
        <v>1335.7601318</v>
      </c>
      <c r="G1376">
        <v>80</v>
      </c>
      <c r="H1376">
        <v>69.144584656000006</v>
      </c>
      <c r="I1376">
        <v>50</v>
      </c>
      <c r="J1376">
        <v>49.972934723000002</v>
      </c>
      <c r="K1376">
        <v>0</v>
      </c>
      <c r="L1376">
        <v>2400</v>
      </c>
      <c r="M1376">
        <v>2400</v>
      </c>
      <c r="N1376">
        <v>0</v>
      </c>
    </row>
    <row r="1377" spans="1:14" x14ac:dyDescent="0.25">
      <c r="A1377">
        <v>670</v>
      </c>
      <c r="B1377" s="1">
        <f>DATE(2012,3,1) + TIME(0,0,0)</f>
        <v>40969</v>
      </c>
      <c r="C1377">
        <v>1326.1575928</v>
      </c>
      <c r="D1377">
        <v>1323.8654785000001</v>
      </c>
      <c r="E1377">
        <v>1338.0153809000001</v>
      </c>
      <c r="F1377">
        <v>1335.7587891000001</v>
      </c>
      <c r="G1377">
        <v>80</v>
      </c>
      <c r="H1377">
        <v>68.958534240999995</v>
      </c>
      <c r="I1377">
        <v>50</v>
      </c>
      <c r="J1377">
        <v>49.972942351999997</v>
      </c>
      <c r="K1377">
        <v>0</v>
      </c>
      <c r="L1377">
        <v>2400</v>
      </c>
      <c r="M1377">
        <v>2400</v>
      </c>
      <c r="N1377">
        <v>0</v>
      </c>
    </row>
    <row r="1378" spans="1:14" x14ac:dyDescent="0.25">
      <c r="A1378">
        <v>673.23668399999997</v>
      </c>
      <c r="B1378" s="1">
        <f>DATE(2012,3,4) + TIME(5,40,49)</f>
        <v>40972.236678240741</v>
      </c>
      <c r="C1378">
        <v>1326.1331786999999</v>
      </c>
      <c r="D1378">
        <v>1323.831543</v>
      </c>
      <c r="E1378">
        <v>1338.012207</v>
      </c>
      <c r="F1378">
        <v>1335.7574463000001</v>
      </c>
      <c r="G1378">
        <v>80</v>
      </c>
      <c r="H1378">
        <v>68.769134520999998</v>
      </c>
      <c r="I1378">
        <v>50</v>
      </c>
      <c r="J1378">
        <v>49.972984314000001</v>
      </c>
      <c r="K1378">
        <v>0</v>
      </c>
      <c r="L1378">
        <v>2400</v>
      </c>
      <c r="M1378">
        <v>2400</v>
      </c>
      <c r="N1378">
        <v>0</v>
      </c>
    </row>
    <row r="1379" spans="1:14" x14ac:dyDescent="0.25">
      <c r="A1379">
        <v>676.60305000000005</v>
      </c>
      <c r="B1379" s="1">
        <f>DATE(2012,3,7) + TIME(14,28,23)</f>
        <v>40975.603043981479</v>
      </c>
      <c r="C1379">
        <v>1326.0950928</v>
      </c>
      <c r="D1379">
        <v>1323.784668</v>
      </c>
      <c r="E1379">
        <v>1338.0059814000001</v>
      </c>
      <c r="F1379">
        <v>1335.7548827999999</v>
      </c>
      <c r="G1379">
        <v>80</v>
      </c>
      <c r="H1379">
        <v>68.469055175999998</v>
      </c>
      <c r="I1379">
        <v>50</v>
      </c>
      <c r="J1379">
        <v>49.973014831999997</v>
      </c>
      <c r="K1379">
        <v>0</v>
      </c>
      <c r="L1379">
        <v>2400</v>
      </c>
      <c r="M1379">
        <v>2400</v>
      </c>
      <c r="N1379">
        <v>0</v>
      </c>
    </row>
    <row r="1380" spans="1:14" x14ac:dyDescent="0.25">
      <c r="A1380">
        <v>680.08013700000004</v>
      </c>
      <c r="B1380" s="1">
        <f>DATE(2012,3,11) + TIME(1,55,23)</f>
        <v>40979.080127314817</v>
      </c>
      <c r="C1380">
        <v>1326.0518798999999</v>
      </c>
      <c r="D1380">
        <v>1323.7281493999999</v>
      </c>
      <c r="E1380">
        <v>1337.9996338000001</v>
      </c>
      <c r="F1380">
        <v>1335.7521973</v>
      </c>
      <c r="G1380">
        <v>80</v>
      </c>
      <c r="H1380">
        <v>68.143135071000003</v>
      </c>
      <c r="I1380">
        <v>50</v>
      </c>
      <c r="J1380">
        <v>49.973041533999996</v>
      </c>
      <c r="K1380">
        <v>0</v>
      </c>
      <c r="L1380">
        <v>2400</v>
      </c>
      <c r="M1380">
        <v>2400</v>
      </c>
      <c r="N1380">
        <v>0</v>
      </c>
    </row>
    <row r="1381" spans="1:14" x14ac:dyDescent="0.25">
      <c r="A1381">
        <v>683.67588000000001</v>
      </c>
      <c r="B1381" s="1">
        <f>DATE(2012,3,14) + TIME(16,13,16)</f>
        <v>40982.675879629627</v>
      </c>
      <c r="C1381">
        <v>1326.0075684000001</v>
      </c>
      <c r="D1381">
        <v>1323.6697998</v>
      </c>
      <c r="E1381">
        <v>1337.9930420000001</v>
      </c>
      <c r="F1381">
        <v>1335.7493896000001</v>
      </c>
      <c r="G1381">
        <v>80</v>
      </c>
      <c r="H1381">
        <v>67.803939818999993</v>
      </c>
      <c r="I1381">
        <v>50</v>
      </c>
      <c r="J1381">
        <v>49.973075866999999</v>
      </c>
      <c r="K1381">
        <v>0</v>
      </c>
      <c r="L1381">
        <v>2400</v>
      </c>
      <c r="M1381">
        <v>2400</v>
      </c>
      <c r="N1381">
        <v>0</v>
      </c>
    </row>
    <row r="1382" spans="1:14" x14ac:dyDescent="0.25">
      <c r="A1382">
        <v>687.29013099999997</v>
      </c>
      <c r="B1382" s="1">
        <f>DATE(2012,3,18) + TIME(6,57,47)</f>
        <v>40986.290127314816</v>
      </c>
      <c r="C1382">
        <v>1325.9628906</v>
      </c>
      <c r="D1382">
        <v>1323.6108397999999</v>
      </c>
      <c r="E1382">
        <v>1337.9864502</v>
      </c>
      <c r="F1382">
        <v>1335.746582</v>
      </c>
      <c r="G1382">
        <v>80</v>
      </c>
      <c r="H1382">
        <v>67.453308105000005</v>
      </c>
      <c r="I1382">
        <v>50</v>
      </c>
      <c r="J1382">
        <v>49.973106383999998</v>
      </c>
      <c r="K1382">
        <v>0</v>
      </c>
      <c r="L1382">
        <v>2400</v>
      </c>
      <c r="M1382">
        <v>2400</v>
      </c>
      <c r="N1382">
        <v>0</v>
      </c>
    </row>
    <row r="1383" spans="1:14" x14ac:dyDescent="0.25">
      <c r="A1383">
        <v>690.94876399999998</v>
      </c>
      <c r="B1383" s="1">
        <f>DATE(2012,3,21) + TIME(22,46,13)</f>
        <v>40989.948761574073</v>
      </c>
      <c r="C1383">
        <v>1325.9188231999999</v>
      </c>
      <c r="D1383">
        <v>1323.5523682</v>
      </c>
      <c r="E1383">
        <v>1337.9799805</v>
      </c>
      <c r="F1383">
        <v>1335.7436522999999</v>
      </c>
      <c r="G1383">
        <v>80</v>
      </c>
      <c r="H1383">
        <v>67.099296570000007</v>
      </c>
      <c r="I1383">
        <v>50</v>
      </c>
      <c r="J1383">
        <v>49.973136902</v>
      </c>
      <c r="K1383">
        <v>0</v>
      </c>
      <c r="L1383">
        <v>2400</v>
      </c>
      <c r="M1383">
        <v>2400</v>
      </c>
      <c r="N1383">
        <v>0</v>
      </c>
    </row>
    <row r="1384" spans="1:14" x14ac:dyDescent="0.25">
      <c r="A1384">
        <v>694.63843599999996</v>
      </c>
      <c r="B1384" s="1">
        <f>DATE(2012,3,25) + TIME(15,19,20)</f>
        <v>40993.638425925928</v>
      </c>
      <c r="C1384">
        <v>1325.8754882999999</v>
      </c>
      <c r="D1384">
        <v>1323.494751</v>
      </c>
      <c r="E1384">
        <v>1337.9733887</v>
      </c>
      <c r="F1384">
        <v>1335.7407227000001</v>
      </c>
      <c r="G1384">
        <v>80</v>
      </c>
      <c r="H1384">
        <v>66.739929199000002</v>
      </c>
      <c r="I1384">
        <v>50</v>
      </c>
      <c r="J1384">
        <v>49.973171233999999</v>
      </c>
      <c r="K1384">
        <v>0</v>
      </c>
      <c r="L1384">
        <v>2400</v>
      </c>
      <c r="M1384">
        <v>2400</v>
      </c>
      <c r="N1384">
        <v>0</v>
      </c>
    </row>
    <row r="1385" spans="1:14" x14ac:dyDescent="0.25">
      <c r="A1385">
        <v>698.39731200000006</v>
      </c>
      <c r="B1385" s="1">
        <f>DATE(2012,3,29) + TIME(9,32,7)</f>
        <v>40997.397303240738</v>
      </c>
      <c r="C1385">
        <v>1325.8328856999999</v>
      </c>
      <c r="D1385">
        <v>1323.4382324000001</v>
      </c>
      <c r="E1385">
        <v>1337.9669189000001</v>
      </c>
      <c r="F1385">
        <v>1335.7376709</v>
      </c>
      <c r="G1385">
        <v>80</v>
      </c>
      <c r="H1385">
        <v>66.377334594999994</v>
      </c>
      <c r="I1385">
        <v>50</v>
      </c>
      <c r="J1385">
        <v>49.973205565999997</v>
      </c>
      <c r="K1385">
        <v>0</v>
      </c>
      <c r="L1385">
        <v>2400</v>
      </c>
      <c r="M1385">
        <v>2400</v>
      </c>
      <c r="N1385">
        <v>0</v>
      </c>
    </row>
    <row r="1386" spans="1:14" x14ac:dyDescent="0.25">
      <c r="A1386">
        <v>701</v>
      </c>
      <c r="B1386" s="1">
        <f>DATE(2012,4,1) + TIME(0,0,0)</f>
        <v>41000</v>
      </c>
      <c r="C1386">
        <v>1325.7908935999999</v>
      </c>
      <c r="D1386">
        <v>1323.3830565999999</v>
      </c>
      <c r="E1386">
        <v>1337.9604492000001</v>
      </c>
      <c r="F1386">
        <v>1335.7347411999999</v>
      </c>
      <c r="G1386">
        <v>80</v>
      </c>
      <c r="H1386">
        <v>66.025825499999996</v>
      </c>
      <c r="I1386">
        <v>50</v>
      </c>
      <c r="J1386">
        <v>49.973220824999999</v>
      </c>
      <c r="K1386">
        <v>0</v>
      </c>
      <c r="L1386">
        <v>2400</v>
      </c>
      <c r="M1386">
        <v>2400</v>
      </c>
      <c r="N1386">
        <v>0</v>
      </c>
    </row>
    <row r="1387" spans="1:14" x14ac:dyDescent="0.25">
      <c r="A1387">
        <v>704.86993500000005</v>
      </c>
      <c r="B1387" s="1">
        <f>DATE(2012,4,4) + TIME(20,52,42)</f>
        <v>41003.869930555556</v>
      </c>
      <c r="C1387">
        <v>1325.7589111</v>
      </c>
      <c r="D1387">
        <v>1323.3376464999999</v>
      </c>
      <c r="E1387">
        <v>1337.9560547000001</v>
      </c>
      <c r="F1387">
        <v>1335.7325439000001</v>
      </c>
      <c r="G1387">
        <v>80</v>
      </c>
      <c r="H1387">
        <v>65.738166809000006</v>
      </c>
      <c r="I1387">
        <v>50</v>
      </c>
      <c r="J1387">
        <v>49.973266602000002</v>
      </c>
      <c r="K1387">
        <v>0</v>
      </c>
      <c r="L1387">
        <v>2400</v>
      </c>
      <c r="M1387">
        <v>2400</v>
      </c>
      <c r="N1387">
        <v>0</v>
      </c>
    </row>
    <row r="1388" spans="1:14" x14ac:dyDescent="0.25">
      <c r="A1388">
        <v>709.01418999999999</v>
      </c>
      <c r="B1388" s="1">
        <f>DATE(2012,4,9) + TIME(0,20,26)</f>
        <v>41008.014189814814</v>
      </c>
      <c r="C1388">
        <v>1325.7208252</v>
      </c>
      <c r="D1388">
        <v>1323.2888184000001</v>
      </c>
      <c r="E1388">
        <v>1337.9495850000001</v>
      </c>
      <c r="F1388">
        <v>1335.7294922000001</v>
      </c>
      <c r="G1388">
        <v>80</v>
      </c>
      <c r="H1388">
        <v>65.362220764</v>
      </c>
      <c r="I1388">
        <v>50</v>
      </c>
      <c r="J1388">
        <v>49.973312378000003</v>
      </c>
      <c r="K1388">
        <v>0</v>
      </c>
      <c r="L1388">
        <v>2400</v>
      </c>
      <c r="M1388">
        <v>2400</v>
      </c>
      <c r="N1388">
        <v>0</v>
      </c>
    </row>
    <row r="1389" spans="1:14" x14ac:dyDescent="0.25">
      <c r="A1389">
        <v>713.230907</v>
      </c>
      <c r="B1389" s="1">
        <f>DATE(2012,4,13) + TIME(5,32,30)</f>
        <v>41012.230902777781</v>
      </c>
      <c r="C1389">
        <v>1325.6791992000001</v>
      </c>
      <c r="D1389">
        <v>1323.2340088000001</v>
      </c>
      <c r="E1389">
        <v>1337.942749</v>
      </c>
      <c r="F1389">
        <v>1335.7260742000001</v>
      </c>
      <c r="G1389">
        <v>80</v>
      </c>
      <c r="H1389">
        <v>64.957885742000002</v>
      </c>
      <c r="I1389">
        <v>50</v>
      </c>
      <c r="J1389">
        <v>49.97335434</v>
      </c>
      <c r="K1389">
        <v>0</v>
      </c>
      <c r="L1389">
        <v>2400</v>
      </c>
      <c r="M1389">
        <v>2400</v>
      </c>
      <c r="N1389">
        <v>0</v>
      </c>
    </row>
    <row r="1390" spans="1:14" x14ac:dyDescent="0.25">
      <c r="A1390">
        <v>717.51339800000005</v>
      </c>
      <c r="B1390" s="1">
        <f>DATE(2012,4,17) + TIME(12,19,17)</f>
        <v>41016.513391203705</v>
      </c>
      <c r="C1390">
        <v>1325.6373291</v>
      </c>
      <c r="D1390">
        <v>1323.1782227000001</v>
      </c>
      <c r="E1390">
        <v>1337.9357910000001</v>
      </c>
      <c r="F1390">
        <v>1335.7226562000001</v>
      </c>
      <c r="G1390">
        <v>80</v>
      </c>
      <c r="H1390">
        <v>64.537445067999997</v>
      </c>
      <c r="I1390">
        <v>50</v>
      </c>
      <c r="J1390">
        <v>49.973396301000001</v>
      </c>
      <c r="K1390">
        <v>0</v>
      </c>
      <c r="L1390">
        <v>2400</v>
      </c>
      <c r="M1390">
        <v>2400</v>
      </c>
      <c r="N1390">
        <v>0</v>
      </c>
    </row>
    <row r="1391" spans="1:14" x14ac:dyDescent="0.25">
      <c r="A1391">
        <v>721.81606699999998</v>
      </c>
      <c r="B1391" s="1">
        <f>DATE(2012,4,21) + TIME(19,35,8)</f>
        <v>41020.816064814811</v>
      </c>
      <c r="C1391">
        <v>1325.5960693</v>
      </c>
      <c r="D1391">
        <v>1323.1231689000001</v>
      </c>
      <c r="E1391">
        <v>1337.9289550999999</v>
      </c>
      <c r="F1391">
        <v>1335.7192382999999</v>
      </c>
      <c r="G1391">
        <v>80</v>
      </c>
      <c r="H1391">
        <v>64.121070861999996</v>
      </c>
      <c r="I1391">
        <v>50</v>
      </c>
      <c r="J1391">
        <v>49.973442077999998</v>
      </c>
      <c r="K1391">
        <v>0</v>
      </c>
      <c r="L1391">
        <v>2400</v>
      </c>
      <c r="M1391">
        <v>2400</v>
      </c>
      <c r="N1391">
        <v>0</v>
      </c>
    </row>
    <row r="1392" spans="1:14" x14ac:dyDescent="0.25">
      <c r="A1392">
        <v>726.18638499999997</v>
      </c>
      <c r="B1392" s="1">
        <f>DATE(2012,4,26) + TIME(4,28,23)</f>
        <v>41025.186377314814</v>
      </c>
      <c r="C1392">
        <v>1325.5559082</v>
      </c>
      <c r="D1392">
        <v>1323.0694579999999</v>
      </c>
      <c r="E1392">
        <v>1337.9221190999999</v>
      </c>
      <c r="F1392">
        <v>1335.7156981999999</v>
      </c>
      <c r="G1392">
        <v>80</v>
      </c>
      <c r="H1392">
        <v>63.679729461999997</v>
      </c>
      <c r="I1392">
        <v>50</v>
      </c>
      <c r="J1392">
        <v>49.973487853999998</v>
      </c>
      <c r="K1392">
        <v>0</v>
      </c>
      <c r="L1392">
        <v>2400</v>
      </c>
      <c r="M1392">
        <v>2400</v>
      </c>
      <c r="N1392">
        <v>0</v>
      </c>
    </row>
    <row r="1393" spans="1:14" x14ac:dyDescent="0.25">
      <c r="A1393">
        <v>730.67654300000004</v>
      </c>
      <c r="B1393" s="1">
        <f>DATE(2012,4,30) + TIME(16,14,13)</f>
        <v>41029.676539351851</v>
      </c>
      <c r="C1393">
        <v>1325.5167236</v>
      </c>
      <c r="D1393">
        <v>1323.0170897999999</v>
      </c>
      <c r="E1393">
        <v>1337.9152832</v>
      </c>
      <c r="F1393">
        <v>1335.7121582</v>
      </c>
      <c r="G1393">
        <v>80</v>
      </c>
      <c r="H1393">
        <v>63.273014068999998</v>
      </c>
      <c r="I1393">
        <v>50</v>
      </c>
      <c r="J1393">
        <v>49.973533629999999</v>
      </c>
      <c r="K1393">
        <v>0</v>
      </c>
      <c r="L1393">
        <v>2400</v>
      </c>
      <c r="M1393">
        <v>2400</v>
      </c>
      <c r="N1393">
        <v>0</v>
      </c>
    </row>
    <row r="1394" spans="1:14" x14ac:dyDescent="0.25">
      <c r="A1394">
        <v>731</v>
      </c>
      <c r="B1394" s="1">
        <f>DATE(2012,5,1) + TIME(0,0,0)</f>
        <v>41030</v>
      </c>
      <c r="C1394">
        <v>1325.4763184000001</v>
      </c>
      <c r="D1394">
        <v>1322.9715576000001</v>
      </c>
      <c r="E1394">
        <v>1337.9083252</v>
      </c>
      <c r="F1394">
        <v>1335.7084961</v>
      </c>
      <c r="G1394">
        <v>80</v>
      </c>
      <c r="H1394">
        <v>63.056823729999998</v>
      </c>
      <c r="I1394">
        <v>50</v>
      </c>
      <c r="J1394">
        <v>49.973526001000003</v>
      </c>
      <c r="K1394">
        <v>0</v>
      </c>
      <c r="L1394">
        <v>2400</v>
      </c>
      <c r="M1394">
        <v>2400</v>
      </c>
      <c r="N1394">
        <v>0</v>
      </c>
    </row>
    <row r="1395" spans="1:14" x14ac:dyDescent="0.25">
      <c r="A1395">
        <v>731.000001</v>
      </c>
      <c r="B1395" s="1">
        <f>DATE(2012,5,1) + TIME(0,0,0)</f>
        <v>41030</v>
      </c>
      <c r="C1395">
        <v>1328.8781738</v>
      </c>
      <c r="D1395">
        <v>1326.4547118999999</v>
      </c>
      <c r="E1395">
        <v>1335.0538329999999</v>
      </c>
      <c r="F1395">
        <v>1333.4185791</v>
      </c>
      <c r="G1395">
        <v>80</v>
      </c>
      <c r="H1395">
        <v>63.056983948000003</v>
      </c>
      <c r="I1395">
        <v>50</v>
      </c>
      <c r="J1395">
        <v>49.973445892000001</v>
      </c>
      <c r="K1395">
        <v>2400</v>
      </c>
      <c r="L1395">
        <v>0</v>
      </c>
      <c r="M1395">
        <v>0</v>
      </c>
      <c r="N1395">
        <v>2400</v>
      </c>
    </row>
    <row r="1396" spans="1:14" x14ac:dyDescent="0.25">
      <c r="A1396">
        <v>731.00000399999999</v>
      </c>
      <c r="B1396" s="1">
        <f>DATE(2012,5,1) + TIME(0,0,0)</f>
        <v>41030</v>
      </c>
      <c r="C1396">
        <v>1330.1123047000001</v>
      </c>
      <c r="D1396">
        <v>1327.8209228999999</v>
      </c>
      <c r="E1396">
        <v>1334.0311279</v>
      </c>
      <c r="F1396">
        <v>1332.3961182</v>
      </c>
      <c r="G1396">
        <v>80</v>
      </c>
      <c r="H1396">
        <v>63.057258605999998</v>
      </c>
      <c r="I1396">
        <v>50</v>
      </c>
      <c r="J1396">
        <v>49.973316193000002</v>
      </c>
      <c r="K1396">
        <v>2400</v>
      </c>
      <c r="L1396">
        <v>0</v>
      </c>
      <c r="M1396">
        <v>0</v>
      </c>
      <c r="N1396">
        <v>2400</v>
      </c>
    </row>
    <row r="1397" spans="1:14" x14ac:dyDescent="0.25">
      <c r="A1397">
        <v>731.00001299999997</v>
      </c>
      <c r="B1397" s="1">
        <f>DATE(2012,5,1) + TIME(0,0,1)</f>
        <v>41030.000011574077</v>
      </c>
      <c r="C1397">
        <v>1331.6157227000001</v>
      </c>
      <c r="D1397">
        <v>1329.2994385</v>
      </c>
      <c r="E1397">
        <v>1332.8717041</v>
      </c>
      <c r="F1397">
        <v>1331.2371826000001</v>
      </c>
      <c r="G1397">
        <v>80</v>
      </c>
      <c r="H1397">
        <v>63.057727814000003</v>
      </c>
      <c r="I1397">
        <v>50</v>
      </c>
      <c r="J1397">
        <v>49.973167418999999</v>
      </c>
      <c r="K1397">
        <v>2400</v>
      </c>
      <c r="L1397">
        <v>0</v>
      </c>
      <c r="M1397">
        <v>0</v>
      </c>
      <c r="N1397">
        <v>2400</v>
      </c>
    </row>
    <row r="1398" spans="1:14" x14ac:dyDescent="0.25">
      <c r="A1398">
        <v>731.00004000000001</v>
      </c>
      <c r="B1398" s="1">
        <f>DATE(2012,5,1) + TIME(0,0,3)</f>
        <v>41030.000034722223</v>
      </c>
      <c r="C1398">
        <v>1333.1464844</v>
      </c>
      <c r="D1398">
        <v>1330.7646483999999</v>
      </c>
      <c r="E1398">
        <v>1331.7359618999999</v>
      </c>
      <c r="F1398">
        <v>1330.1014404</v>
      </c>
      <c r="G1398">
        <v>80</v>
      </c>
      <c r="H1398">
        <v>63.058761597</v>
      </c>
      <c r="I1398">
        <v>50</v>
      </c>
      <c r="J1398">
        <v>49.973022460999999</v>
      </c>
      <c r="K1398">
        <v>2400</v>
      </c>
      <c r="L1398">
        <v>0</v>
      </c>
      <c r="M1398">
        <v>0</v>
      </c>
      <c r="N1398">
        <v>2400</v>
      </c>
    </row>
    <row r="1399" spans="1:14" x14ac:dyDescent="0.25">
      <c r="A1399">
        <v>731.00012100000004</v>
      </c>
      <c r="B1399" s="1">
        <f>DATE(2012,5,1) + TIME(0,0,10)</f>
        <v>41030.000115740739</v>
      </c>
      <c r="C1399">
        <v>1334.6473389</v>
      </c>
      <c r="D1399">
        <v>1332.2028809000001</v>
      </c>
      <c r="E1399">
        <v>1330.6162108999999</v>
      </c>
      <c r="F1399">
        <v>1328.9743652</v>
      </c>
      <c r="G1399">
        <v>80</v>
      </c>
      <c r="H1399">
        <v>63.061534881999997</v>
      </c>
      <c r="I1399">
        <v>50</v>
      </c>
      <c r="J1399">
        <v>49.972873688</v>
      </c>
      <c r="K1399">
        <v>2400</v>
      </c>
      <c r="L1399">
        <v>0</v>
      </c>
      <c r="M1399">
        <v>0</v>
      </c>
      <c r="N1399">
        <v>2400</v>
      </c>
    </row>
    <row r="1400" spans="1:14" x14ac:dyDescent="0.25">
      <c r="A1400">
        <v>731.00036399999999</v>
      </c>
      <c r="B1400" s="1">
        <f>DATE(2012,5,1) + TIME(0,0,31)</f>
        <v>41030.000358796293</v>
      </c>
      <c r="C1400">
        <v>1336.1201172000001</v>
      </c>
      <c r="D1400">
        <v>1333.6119385</v>
      </c>
      <c r="E1400">
        <v>1329.4705810999999</v>
      </c>
      <c r="F1400">
        <v>1327.8026123</v>
      </c>
      <c r="G1400">
        <v>80</v>
      </c>
      <c r="H1400">
        <v>63.069667815999999</v>
      </c>
      <c r="I1400">
        <v>50</v>
      </c>
      <c r="J1400">
        <v>49.972702026</v>
      </c>
      <c r="K1400">
        <v>2400</v>
      </c>
      <c r="L1400">
        <v>0</v>
      </c>
      <c r="M1400">
        <v>0</v>
      </c>
      <c r="N1400">
        <v>2400</v>
      </c>
    </row>
    <row r="1401" spans="1:14" x14ac:dyDescent="0.25">
      <c r="A1401">
        <v>731.00109299999997</v>
      </c>
      <c r="B1401" s="1">
        <f>DATE(2012,5,1) + TIME(0,1,34)</f>
        <v>41030.001087962963</v>
      </c>
      <c r="C1401">
        <v>1337.4553223</v>
      </c>
      <c r="D1401">
        <v>1334.8873291</v>
      </c>
      <c r="E1401">
        <v>1328.3371582</v>
      </c>
      <c r="F1401">
        <v>1326.6315918</v>
      </c>
      <c r="G1401">
        <v>80</v>
      </c>
      <c r="H1401">
        <v>63.094215392999999</v>
      </c>
      <c r="I1401">
        <v>50</v>
      </c>
      <c r="J1401">
        <v>49.972469330000003</v>
      </c>
      <c r="K1401">
        <v>2400</v>
      </c>
      <c r="L1401">
        <v>0</v>
      </c>
      <c r="M1401">
        <v>0</v>
      </c>
      <c r="N1401">
        <v>2400</v>
      </c>
    </row>
    <row r="1402" spans="1:14" x14ac:dyDescent="0.25">
      <c r="A1402">
        <v>731.00328000000002</v>
      </c>
      <c r="B1402" s="1">
        <f>DATE(2012,5,1) + TIME(0,4,43)</f>
        <v>41030.003275462965</v>
      </c>
      <c r="C1402">
        <v>1338.4019774999999</v>
      </c>
      <c r="D1402">
        <v>1335.7969971</v>
      </c>
      <c r="E1402">
        <v>1327.4573975000001</v>
      </c>
      <c r="F1402">
        <v>1325.7271728999999</v>
      </c>
      <c r="G1402">
        <v>80</v>
      </c>
      <c r="H1402">
        <v>63.168270110999998</v>
      </c>
      <c r="I1402">
        <v>50</v>
      </c>
      <c r="J1402">
        <v>49.972099303999997</v>
      </c>
      <c r="K1402">
        <v>2400</v>
      </c>
      <c r="L1402">
        <v>0</v>
      </c>
      <c r="M1402">
        <v>0</v>
      </c>
      <c r="N1402">
        <v>2400</v>
      </c>
    </row>
    <row r="1403" spans="1:14" x14ac:dyDescent="0.25">
      <c r="A1403">
        <v>731.00984100000005</v>
      </c>
      <c r="B1403" s="1">
        <f>DATE(2012,5,1) + TIME(0,14,10)</f>
        <v>41030.009837962964</v>
      </c>
      <c r="C1403">
        <v>1338.8126221</v>
      </c>
      <c r="D1403">
        <v>1336.2028809000001</v>
      </c>
      <c r="E1403">
        <v>1327.0693358999999</v>
      </c>
      <c r="F1403">
        <v>1325.3305664</v>
      </c>
      <c r="G1403">
        <v>80</v>
      </c>
      <c r="H1403">
        <v>63.388298034999998</v>
      </c>
      <c r="I1403">
        <v>50</v>
      </c>
      <c r="J1403">
        <v>49.971263884999999</v>
      </c>
      <c r="K1403">
        <v>2400</v>
      </c>
      <c r="L1403">
        <v>0</v>
      </c>
      <c r="M1403">
        <v>0</v>
      </c>
      <c r="N1403">
        <v>2400</v>
      </c>
    </row>
    <row r="1404" spans="1:14" x14ac:dyDescent="0.25">
      <c r="A1404">
        <v>731.02857700000004</v>
      </c>
      <c r="B1404" s="1">
        <f>DATE(2012,5,1) + TIME(0,41,9)</f>
        <v>41030.02857638889</v>
      </c>
      <c r="C1404">
        <v>1338.8620605000001</v>
      </c>
      <c r="D1404">
        <v>1336.2773437999999</v>
      </c>
      <c r="E1404">
        <v>1327.0012207</v>
      </c>
      <c r="F1404">
        <v>1325.2611084</v>
      </c>
      <c r="G1404">
        <v>80</v>
      </c>
      <c r="H1404">
        <v>63.992897034000002</v>
      </c>
      <c r="I1404">
        <v>50</v>
      </c>
      <c r="J1404">
        <v>49.969047545999999</v>
      </c>
      <c r="K1404">
        <v>2400</v>
      </c>
      <c r="L1404">
        <v>0</v>
      </c>
      <c r="M1404">
        <v>0</v>
      </c>
      <c r="N1404">
        <v>2400</v>
      </c>
    </row>
    <row r="1405" spans="1:14" x14ac:dyDescent="0.25">
      <c r="A1405">
        <v>731.04771600000004</v>
      </c>
      <c r="B1405" s="1">
        <f>DATE(2012,5,1) + TIME(1,8,42)</f>
        <v>41030.047708333332</v>
      </c>
      <c r="C1405">
        <v>1338.8635254000001</v>
      </c>
      <c r="D1405">
        <v>1336.2900391000001</v>
      </c>
      <c r="E1405">
        <v>1326.9978027</v>
      </c>
      <c r="F1405">
        <v>1325.2575684000001</v>
      </c>
      <c r="G1405">
        <v>80</v>
      </c>
      <c r="H1405">
        <v>64.589950561999999</v>
      </c>
      <c r="I1405">
        <v>50</v>
      </c>
      <c r="J1405">
        <v>49.966808319000002</v>
      </c>
      <c r="K1405">
        <v>2400</v>
      </c>
      <c r="L1405">
        <v>0</v>
      </c>
      <c r="M1405">
        <v>0</v>
      </c>
      <c r="N1405">
        <v>2400</v>
      </c>
    </row>
    <row r="1406" spans="1:14" x14ac:dyDescent="0.25">
      <c r="A1406">
        <v>731.06720900000005</v>
      </c>
      <c r="B1406" s="1">
        <f>DATE(2012,5,1) + TIME(1,36,46)</f>
        <v>41030.067199074074</v>
      </c>
      <c r="C1406">
        <v>1338.8599853999999</v>
      </c>
      <c r="D1406">
        <v>1336.2966309000001</v>
      </c>
      <c r="E1406">
        <v>1326.9979248</v>
      </c>
      <c r="F1406">
        <v>1325.2575684000001</v>
      </c>
      <c r="G1406">
        <v>80</v>
      </c>
      <c r="H1406">
        <v>65.177528381000002</v>
      </c>
      <c r="I1406">
        <v>50</v>
      </c>
      <c r="J1406">
        <v>49.964542389000002</v>
      </c>
      <c r="K1406">
        <v>2400</v>
      </c>
      <c r="L1406">
        <v>0</v>
      </c>
      <c r="M1406">
        <v>0</v>
      </c>
      <c r="N1406">
        <v>2400</v>
      </c>
    </row>
    <row r="1407" spans="1:14" x14ac:dyDescent="0.25">
      <c r="A1407">
        <v>731.08707200000003</v>
      </c>
      <c r="B1407" s="1">
        <f>DATE(2012,5,1) + TIME(2,5,23)</f>
        <v>41030.087071759262</v>
      </c>
      <c r="C1407">
        <v>1338.8582764</v>
      </c>
      <c r="D1407">
        <v>1336.3037108999999</v>
      </c>
      <c r="E1407">
        <v>1326.9979248</v>
      </c>
      <c r="F1407">
        <v>1325.2576904</v>
      </c>
      <c r="G1407">
        <v>80</v>
      </c>
      <c r="H1407">
        <v>65.755706786999994</v>
      </c>
      <c r="I1407">
        <v>50</v>
      </c>
      <c r="J1407">
        <v>49.962249755999999</v>
      </c>
      <c r="K1407">
        <v>2400</v>
      </c>
      <c r="L1407">
        <v>0</v>
      </c>
      <c r="M1407">
        <v>0</v>
      </c>
      <c r="N1407">
        <v>2400</v>
      </c>
    </row>
    <row r="1408" spans="1:14" x14ac:dyDescent="0.25">
      <c r="A1408">
        <v>731.10732199999995</v>
      </c>
      <c r="B1408" s="1">
        <f>DATE(2012,5,1) + TIME(2,34,32)</f>
        <v>41030.107314814813</v>
      </c>
      <c r="C1408">
        <v>1338.8588867000001</v>
      </c>
      <c r="D1408">
        <v>1336.3121338000001</v>
      </c>
      <c r="E1408">
        <v>1326.9980469</v>
      </c>
      <c r="F1408">
        <v>1325.2575684000001</v>
      </c>
      <c r="G1408">
        <v>80</v>
      </c>
      <c r="H1408">
        <v>66.324409485000004</v>
      </c>
      <c r="I1408">
        <v>50</v>
      </c>
      <c r="J1408">
        <v>49.959926605</v>
      </c>
      <c r="K1408">
        <v>2400</v>
      </c>
      <c r="L1408">
        <v>0</v>
      </c>
      <c r="M1408">
        <v>0</v>
      </c>
      <c r="N1408">
        <v>2400</v>
      </c>
    </row>
    <row r="1409" spans="1:14" x14ac:dyDescent="0.25">
      <c r="A1409">
        <v>731.12797499999999</v>
      </c>
      <c r="B1409" s="1">
        <f>DATE(2012,5,1) + TIME(3,4,17)</f>
        <v>41030.127974537034</v>
      </c>
      <c r="C1409">
        <v>1338.8618164</v>
      </c>
      <c r="D1409">
        <v>1336.3217772999999</v>
      </c>
      <c r="E1409">
        <v>1326.9980469</v>
      </c>
      <c r="F1409">
        <v>1325.2575684000001</v>
      </c>
      <c r="G1409">
        <v>80</v>
      </c>
      <c r="H1409">
        <v>66.883621215999995</v>
      </c>
      <c r="I1409">
        <v>50</v>
      </c>
      <c r="J1409">
        <v>49.957576752000001</v>
      </c>
      <c r="K1409">
        <v>2400</v>
      </c>
      <c r="L1409">
        <v>0</v>
      </c>
      <c r="M1409">
        <v>0</v>
      </c>
      <c r="N1409">
        <v>2400</v>
      </c>
    </row>
    <row r="1410" spans="1:14" x14ac:dyDescent="0.25">
      <c r="A1410">
        <v>731.14905099999999</v>
      </c>
      <c r="B1410" s="1">
        <f>DATE(2012,5,1) + TIME(3,34,38)</f>
        <v>41030.149050925924</v>
      </c>
      <c r="C1410">
        <v>1338.8670654</v>
      </c>
      <c r="D1410">
        <v>1336.3326416</v>
      </c>
      <c r="E1410">
        <v>1326.9980469</v>
      </c>
      <c r="F1410">
        <v>1325.2575684000001</v>
      </c>
      <c r="G1410">
        <v>80</v>
      </c>
      <c r="H1410">
        <v>67.433311462000006</v>
      </c>
      <c r="I1410">
        <v>50</v>
      </c>
      <c r="J1410">
        <v>49.955192566000001</v>
      </c>
      <c r="K1410">
        <v>2400</v>
      </c>
      <c r="L1410">
        <v>0</v>
      </c>
      <c r="M1410">
        <v>0</v>
      </c>
      <c r="N1410">
        <v>2400</v>
      </c>
    </row>
    <row r="1411" spans="1:14" x14ac:dyDescent="0.25">
      <c r="A1411">
        <v>731.170568</v>
      </c>
      <c r="B1411" s="1">
        <f>DATE(2012,5,1) + TIME(4,5,37)</f>
        <v>41030.170567129629</v>
      </c>
      <c r="C1411">
        <v>1338.8745117000001</v>
      </c>
      <c r="D1411">
        <v>1336.3446045000001</v>
      </c>
      <c r="E1411">
        <v>1326.9980469</v>
      </c>
      <c r="F1411">
        <v>1325.2574463000001</v>
      </c>
      <c r="G1411">
        <v>80</v>
      </c>
      <c r="H1411">
        <v>67.973426818999997</v>
      </c>
      <c r="I1411">
        <v>50</v>
      </c>
      <c r="J1411">
        <v>49.952774048000002</v>
      </c>
      <c r="K1411">
        <v>2400</v>
      </c>
      <c r="L1411">
        <v>0</v>
      </c>
      <c r="M1411">
        <v>0</v>
      </c>
      <c r="N1411">
        <v>2400</v>
      </c>
    </row>
    <row r="1412" spans="1:14" x14ac:dyDescent="0.25">
      <c r="A1412">
        <v>731.19254799999999</v>
      </c>
      <c r="B1412" s="1">
        <f>DATE(2012,5,1) + TIME(4,37,16)</f>
        <v>41030.192546296297</v>
      </c>
      <c r="C1412">
        <v>1338.8840332</v>
      </c>
      <c r="D1412">
        <v>1336.3577881000001</v>
      </c>
      <c r="E1412">
        <v>1326.9980469</v>
      </c>
      <c r="F1412">
        <v>1325.2574463000001</v>
      </c>
      <c r="G1412">
        <v>80</v>
      </c>
      <c r="H1412">
        <v>68.503868103000002</v>
      </c>
      <c r="I1412">
        <v>50</v>
      </c>
      <c r="J1412">
        <v>49.950325012</v>
      </c>
      <c r="K1412">
        <v>2400</v>
      </c>
      <c r="L1412">
        <v>0</v>
      </c>
      <c r="M1412">
        <v>0</v>
      </c>
      <c r="N1412">
        <v>2400</v>
      </c>
    </row>
    <row r="1413" spans="1:14" x14ac:dyDescent="0.25">
      <c r="A1413">
        <v>731.215011</v>
      </c>
      <c r="B1413" s="1">
        <f>DATE(2012,5,1) + TIME(5,9,36)</f>
        <v>41030.214999999997</v>
      </c>
      <c r="C1413">
        <v>1338.8956298999999</v>
      </c>
      <c r="D1413">
        <v>1336.3719481999999</v>
      </c>
      <c r="E1413">
        <v>1326.9980469</v>
      </c>
      <c r="F1413">
        <v>1325.2573242000001</v>
      </c>
      <c r="G1413">
        <v>80</v>
      </c>
      <c r="H1413">
        <v>69.024551392000006</v>
      </c>
      <c r="I1413">
        <v>50</v>
      </c>
      <c r="J1413">
        <v>49.947837829999997</v>
      </c>
      <c r="K1413">
        <v>2400</v>
      </c>
      <c r="L1413">
        <v>0</v>
      </c>
      <c r="M1413">
        <v>0</v>
      </c>
      <c r="N1413">
        <v>2400</v>
      </c>
    </row>
    <row r="1414" spans="1:14" x14ac:dyDescent="0.25">
      <c r="A1414">
        <v>731.23798199999999</v>
      </c>
      <c r="B1414" s="1">
        <f>DATE(2012,5,1) + TIME(5,42,41)</f>
        <v>41030.237974537034</v>
      </c>
      <c r="C1414">
        <v>1338.9090576000001</v>
      </c>
      <c r="D1414">
        <v>1336.3873291</v>
      </c>
      <c r="E1414">
        <v>1326.9980469</v>
      </c>
      <c r="F1414">
        <v>1325.2572021000001</v>
      </c>
      <c r="G1414">
        <v>80</v>
      </c>
      <c r="H1414">
        <v>69.535354613999999</v>
      </c>
      <c r="I1414">
        <v>50</v>
      </c>
      <c r="J1414">
        <v>49.9453125</v>
      </c>
      <c r="K1414">
        <v>2400</v>
      </c>
      <c r="L1414">
        <v>0</v>
      </c>
      <c r="M1414">
        <v>0</v>
      </c>
      <c r="N1414">
        <v>2400</v>
      </c>
    </row>
    <row r="1415" spans="1:14" x14ac:dyDescent="0.25">
      <c r="A1415">
        <v>731.26148599999999</v>
      </c>
      <c r="B1415" s="1">
        <f>DATE(2012,5,1) + TIME(6,16,32)</f>
        <v>41030.261481481481</v>
      </c>
      <c r="C1415">
        <v>1338.9244385</v>
      </c>
      <c r="D1415">
        <v>1336.4035644999999</v>
      </c>
      <c r="E1415">
        <v>1326.9980469</v>
      </c>
      <c r="F1415">
        <v>1325.2572021000001</v>
      </c>
      <c r="G1415">
        <v>80</v>
      </c>
      <c r="H1415">
        <v>70.036094665999997</v>
      </c>
      <c r="I1415">
        <v>50</v>
      </c>
      <c r="J1415">
        <v>49.942749022999998</v>
      </c>
      <c r="K1415">
        <v>2400</v>
      </c>
      <c r="L1415">
        <v>0</v>
      </c>
      <c r="M1415">
        <v>0</v>
      </c>
      <c r="N1415">
        <v>2400</v>
      </c>
    </row>
    <row r="1416" spans="1:14" x14ac:dyDescent="0.25">
      <c r="A1416">
        <v>731.28554299999996</v>
      </c>
      <c r="B1416" s="1">
        <f>DATE(2012,5,1) + TIME(6,51,10)</f>
        <v>41030.285532407404</v>
      </c>
      <c r="C1416">
        <v>1338.9415283000001</v>
      </c>
      <c r="D1416">
        <v>1336.4207764</v>
      </c>
      <c r="E1416">
        <v>1326.9980469</v>
      </c>
      <c r="F1416">
        <v>1325.2570800999999</v>
      </c>
      <c r="G1416">
        <v>80</v>
      </c>
      <c r="H1416">
        <v>70.526206970000004</v>
      </c>
      <c r="I1416">
        <v>50</v>
      </c>
      <c r="J1416">
        <v>49.940143585000001</v>
      </c>
      <c r="K1416">
        <v>2400</v>
      </c>
      <c r="L1416">
        <v>0</v>
      </c>
      <c r="M1416">
        <v>0</v>
      </c>
      <c r="N1416">
        <v>2400</v>
      </c>
    </row>
    <row r="1417" spans="1:14" x14ac:dyDescent="0.25">
      <c r="A1417">
        <v>731.31018500000005</v>
      </c>
      <c r="B1417" s="1">
        <f>DATE(2012,5,1) + TIME(7,26,40)</f>
        <v>41030.310185185182</v>
      </c>
      <c r="C1417">
        <v>1338.9603271000001</v>
      </c>
      <c r="D1417">
        <v>1336.4389647999999</v>
      </c>
      <c r="E1417">
        <v>1326.9980469</v>
      </c>
      <c r="F1417">
        <v>1325.2569579999999</v>
      </c>
      <c r="G1417">
        <v>80</v>
      </c>
      <c r="H1417">
        <v>71.005928040000001</v>
      </c>
      <c r="I1417">
        <v>50</v>
      </c>
      <c r="J1417">
        <v>49.937492370999998</v>
      </c>
      <c r="K1417">
        <v>2400</v>
      </c>
      <c r="L1417">
        <v>0</v>
      </c>
      <c r="M1417">
        <v>0</v>
      </c>
      <c r="N1417">
        <v>2400</v>
      </c>
    </row>
    <row r="1418" spans="1:14" x14ac:dyDescent="0.25">
      <c r="A1418">
        <v>731.33544500000005</v>
      </c>
      <c r="B1418" s="1">
        <f>DATE(2012,5,1) + TIME(8,3,2)</f>
        <v>41030.335439814815</v>
      </c>
      <c r="C1418">
        <v>1338.9805908000001</v>
      </c>
      <c r="D1418">
        <v>1336.4580077999999</v>
      </c>
      <c r="E1418">
        <v>1326.9979248</v>
      </c>
      <c r="F1418">
        <v>1325.2568358999999</v>
      </c>
      <c r="G1418">
        <v>80</v>
      </c>
      <c r="H1418">
        <v>71.475067139000004</v>
      </c>
      <c r="I1418">
        <v>50</v>
      </c>
      <c r="J1418">
        <v>49.934795379999997</v>
      </c>
      <c r="K1418">
        <v>2400</v>
      </c>
      <c r="L1418">
        <v>0</v>
      </c>
      <c r="M1418">
        <v>0</v>
      </c>
      <c r="N1418">
        <v>2400</v>
      </c>
    </row>
    <row r="1419" spans="1:14" x14ac:dyDescent="0.25">
      <c r="A1419">
        <v>731.36135300000001</v>
      </c>
      <c r="B1419" s="1">
        <f>DATE(2012,5,1) + TIME(8,40,20)</f>
        <v>41030.361342592594</v>
      </c>
      <c r="C1419">
        <v>1339.0025635</v>
      </c>
      <c r="D1419">
        <v>1336.4777832</v>
      </c>
      <c r="E1419">
        <v>1326.9979248</v>
      </c>
      <c r="F1419">
        <v>1325.2565918</v>
      </c>
      <c r="G1419">
        <v>80</v>
      </c>
      <c r="H1419">
        <v>71.933425903</v>
      </c>
      <c r="I1419">
        <v>50</v>
      </c>
      <c r="J1419">
        <v>49.932052612</v>
      </c>
      <c r="K1419">
        <v>2400</v>
      </c>
      <c r="L1419">
        <v>0</v>
      </c>
      <c r="M1419">
        <v>0</v>
      </c>
      <c r="N1419">
        <v>2400</v>
      </c>
    </row>
    <row r="1420" spans="1:14" x14ac:dyDescent="0.25">
      <c r="A1420">
        <v>731.38794499999995</v>
      </c>
      <c r="B1420" s="1">
        <f>DATE(2012,5,1) + TIME(9,18,38)</f>
        <v>41030.387939814813</v>
      </c>
      <c r="C1420">
        <v>1339.0258789</v>
      </c>
      <c r="D1420">
        <v>1336.4982910000001</v>
      </c>
      <c r="E1420">
        <v>1326.9978027</v>
      </c>
      <c r="F1420">
        <v>1325.2564697</v>
      </c>
      <c r="G1420">
        <v>80</v>
      </c>
      <c r="H1420">
        <v>72.380775451999995</v>
      </c>
      <c r="I1420">
        <v>50</v>
      </c>
      <c r="J1420">
        <v>49.929256439</v>
      </c>
      <c r="K1420">
        <v>2400</v>
      </c>
      <c r="L1420">
        <v>0</v>
      </c>
      <c r="M1420">
        <v>0</v>
      </c>
      <c r="N1420">
        <v>2400</v>
      </c>
    </row>
    <row r="1421" spans="1:14" x14ac:dyDescent="0.25">
      <c r="A1421">
        <v>731.41525799999999</v>
      </c>
      <c r="B1421" s="1">
        <f>DATE(2012,5,1) + TIME(9,57,58)</f>
        <v>41030.415254629632</v>
      </c>
      <c r="C1421">
        <v>1339.0505370999999</v>
      </c>
      <c r="D1421">
        <v>1336.5196533000001</v>
      </c>
      <c r="E1421">
        <v>1326.9978027</v>
      </c>
      <c r="F1421">
        <v>1325.2563477000001</v>
      </c>
      <c r="G1421">
        <v>80</v>
      </c>
      <c r="H1421">
        <v>72.816902161000002</v>
      </c>
      <c r="I1421">
        <v>50</v>
      </c>
      <c r="J1421">
        <v>49.92640686</v>
      </c>
      <c r="K1421">
        <v>2400</v>
      </c>
      <c r="L1421">
        <v>0</v>
      </c>
      <c r="M1421">
        <v>0</v>
      </c>
      <c r="N1421">
        <v>2400</v>
      </c>
    </row>
    <row r="1422" spans="1:14" x14ac:dyDescent="0.25">
      <c r="A1422">
        <v>731.44333400000005</v>
      </c>
      <c r="B1422" s="1">
        <f>DATE(2012,5,1) + TIME(10,38,24)</f>
        <v>41030.443333333336</v>
      </c>
      <c r="C1422">
        <v>1339.0764160000001</v>
      </c>
      <c r="D1422">
        <v>1336.541626</v>
      </c>
      <c r="E1422">
        <v>1326.9976807</v>
      </c>
      <c r="F1422">
        <v>1325.2561035000001</v>
      </c>
      <c r="G1422">
        <v>80</v>
      </c>
      <c r="H1422">
        <v>73.24156189</v>
      </c>
      <c r="I1422">
        <v>50</v>
      </c>
      <c r="J1422">
        <v>49.923503875999998</v>
      </c>
      <c r="K1422">
        <v>2400</v>
      </c>
      <c r="L1422">
        <v>0</v>
      </c>
      <c r="M1422">
        <v>0</v>
      </c>
      <c r="N1422">
        <v>2400</v>
      </c>
    </row>
    <row r="1423" spans="1:14" x14ac:dyDescent="0.25">
      <c r="A1423">
        <v>731.47221400000001</v>
      </c>
      <c r="B1423" s="1">
        <f>DATE(2012,5,1) + TIME(11,19,59)</f>
        <v>41030.472210648149</v>
      </c>
      <c r="C1423">
        <v>1339.1036377</v>
      </c>
      <c r="D1423">
        <v>1336.5642089999999</v>
      </c>
      <c r="E1423">
        <v>1326.9975586</v>
      </c>
      <c r="F1423">
        <v>1325.2559814000001</v>
      </c>
      <c r="G1423">
        <v>80</v>
      </c>
      <c r="H1423">
        <v>73.654525757000002</v>
      </c>
      <c r="I1423">
        <v>50</v>
      </c>
      <c r="J1423">
        <v>49.920536040999998</v>
      </c>
      <c r="K1423">
        <v>2400</v>
      </c>
      <c r="L1423">
        <v>0</v>
      </c>
      <c r="M1423">
        <v>0</v>
      </c>
      <c r="N1423">
        <v>2400</v>
      </c>
    </row>
    <row r="1424" spans="1:14" x14ac:dyDescent="0.25">
      <c r="A1424">
        <v>731.50194899999997</v>
      </c>
      <c r="B1424" s="1">
        <f>DATE(2012,5,1) + TIME(12,2,48)</f>
        <v>41030.501944444448</v>
      </c>
      <c r="C1424">
        <v>1339.1319579999999</v>
      </c>
      <c r="D1424">
        <v>1336.5874022999999</v>
      </c>
      <c r="E1424">
        <v>1326.9975586</v>
      </c>
      <c r="F1424">
        <v>1325.2557373</v>
      </c>
      <c r="G1424">
        <v>80</v>
      </c>
      <c r="H1424">
        <v>74.055541992000002</v>
      </c>
      <c r="I1424">
        <v>50</v>
      </c>
      <c r="J1424">
        <v>49.917507172000001</v>
      </c>
      <c r="K1424">
        <v>2400</v>
      </c>
      <c r="L1424">
        <v>0</v>
      </c>
      <c r="M1424">
        <v>0</v>
      </c>
      <c r="N1424">
        <v>2400</v>
      </c>
    </row>
    <row r="1425" spans="1:14" x14ac:dyDescent="0.25">
      <c r="A1425">
        <v>731.53258800000003</v>
      </c>
      <c r="B1425" s="1">
        <f>DATE(2012,5,1) + TIME(12,46,55)</f>
        <v>41030.532581018517</v>
      </c>
      <c r="C1425">
        <v>1339.1612548999999</v>
      </c>
      <c r="D1425">
        <v>1336.6110839999999</v>
      </c>
      <c r="E1425">
        <v>1326.9974365</v>
      </c>
      <c r="F1425">
        <v>1325.2554932</v>
      </c>
      <c r="G1425">
        <v>80</v>
      </c>
      <c r="H1425">
        <v>74.444366454999994</v>
      </c>
      <c r="I1425">
        <v>50</v>
      </c>
      <c r="J1425">
        <v>49.914413451999998</v>
      </c>
      <c r="K1425">
        <v>2400</v>
      </c>
      <c r="L1425">
        <v>0</v>
      </c>
      <c r="M1425">
        <v>0</v>
      </c>
      <c r="N1425">
        <v>2400</v>
      </c>
    </row>
    <row r="1426" spans="1:14" x14ac:dyDescent="0.25">
      <c r="A1426">
        <v>731.56420000000003</v>
      </c>
      <c r="B1426" s="1">
        <f>DATE(2012,5,1) + TIME(13,32,26)</f>
        <v>41030.564189814817</v>
      </c>
      <c r="C1426">
        <v>1339.1915283000001</v>
      </c>
      <c r="D1426">
        <v>1336.6352539</v>
      </c>
      <c r="E1426">
        <v>1326.9973144999999</v>
      </c>
      <c r="F1426">
        <v>1325.2553711</v>
      </c>
      <c r="G1426">
        <v>80</v>
      </c>
      <c r="H1426">
        <v>74.820869446000003</v>
      </c>
      <c r="I1426">
        <v>50</v>
      </c>
      <c r="J1426">
        <v>49.911243439000003</v>
      </c>
      <c r="K1426">
        <v>2400</v>
      </c>
      <c r="L1426">
        <v>0</v>
      </c>
      <c r="M1426">
        <v>0</v>
      </c>
      <c r="N1426">
        <v>2400</v>
      </c>
    </row>
    <row r="1427" spans="1:14" x14ac:dyDescent="0.25">
      <c r="A1427">
        <v>731.59684200000004</v>
      </c>
      <c r="B1427" s="1">
        <f>DATE(2012,5,1) + TIME(14,19,27)</f>
        <v>41030.59684027778</v>
      </c>
      <c r="C1427">
        <v>1339.2227783000001</v>
      </c>
      <c r="D1427">
        <v>1336.6599120999999</v>
      </c>
      <c r="E1427">
        <v>1326.9971923999999</v>
      </c>
      <c r="F1427">
        <v>1325.2551269999999</v>
      </c>
      <c r="G1427">
        <v>80</v>
      </c>
      <c r="H1427">
        <v>75.184616089000002</v>
      </c>
      <c r="I1427">
        <v>50</v>
      </c>
      <c r="J1427">
        <v>49.908000946000001</v>
      </c>
      <c r="K1427">
        <v>2400</v>
      </c>
      <c r="L1427">
        <v>0</v>
      </c>
      <c r="M1427">
        <v>0</v>
      </c>
      <c r="N1427">
        <v>2400</v>
      </c>
    </row>
    <row r="1428" spans="1:14" x14ac:dyDescent="0.25">
      <c r="A1428">
        <v>731.63056200000005</v>
      </c>
      <c r="B1428" s="1">
        <f>DATE(2012,5,1) + TIME(15,8,0)</f>
        <v>41030.630555555559</v>
      </c>
      <c r="C1428">
        <v>1339.2548827999999</v>
      </c>
      <c r="D1428">
        <v>1336.6849365</v>
      </c>
      <c r="E1428">
        <v>1326.9970702999999</v>
      </c>
      <c r="F1428">
        <v>1325.2548827999999</v>
      </c>
      <c r="G1428">
        <v>80</v>
      </c>
      <c r="H1428">
        <v>75.535179138000004</v>
      </c>
      <c r="I1428">
        <v>50</v>
      </c>
      <c r="J1428">
        <v>49.904674530000001</v>
      </c>
      <c r="K1428">
        <v>2400</v>
      </c>
      <c r="L1428">
        <v>0</v>
      </c>
      <c r="M1428">
        <v>0</v>
      </c>
      <c r="N1428">
        <v>2400</v>
      </c>
    </row>
    <row r="1429" spans="1:14" x14ac:dyDescent="0.25">
      <c r="A1429">
        <v>731.66536299999996</v>
      </c>
      <c r="B1429" s="1">
        <f>DATE(2012,5,1) + TIME(15,58,7)</f>
        <v>41030.665358796294</v>
      </c>
      <c r="C1429">
        <v>1339.2877197</v>
      </c>
      <c r="D1429">
        <v>1336.7103271000001</v>
      </c>
      <c r="E1429">
        <v>1326.9969481999999</v>
      </c>
      <c r="F1429">
        <v>1325.2546387</v>
      </c>
      <c r="G1429">
        <v>80</v>
      </c>
      <c r="H1429">
        <v>75.871849060000002</v>
      </c>
      <c r="I1429">
        <v>50</v>
      </c>
      <c r="J1429">
        <v>49.901275634999998</v>
      </c>
      <c r="K1429">
        <v>2400</v>
      </c>
      <c r="L1429">
        <v>0</v>
      </c>
      <c r="M1429">
        <v>0</v>
      </c>
      <c r="N1429">
        <v>2400</v>
      </c>
    </row>
    <row r="1430" spans="1:14" x14ac:dyDescent="0.25">
      <c r="A1430">
        <v>731.70131300000003</v>
      </c>
      <c r="B1430" s="1">
        <f>DATE(2012,5,1) + TIME(16,49,53)</f>
        <v>41030.701307870368</v>
      </c>
      <c r="C1430">
        <v>1339.3211670000001</v>
      </c>
      <c r="D1430">
        <v>1336.7358397999999</v>
      </c>
      <c r="E1430">
        <v>1326.9967041</v>
      </c>
      <c r="F1430">
        <v>1325.2543945</v>
      </c>
      <c r="G1430">
        <v>80</v>
      </c>
      <c r="H1430">
        <v>76.194458007999998</v>
      </c>
      <c r="I1430">
        <v>50</v>
      </c>
      <c r="J1430">
        <v>49.897792815999999</v>
      </c>
      <c r="K1430">
        <v>2400</v>
      </c>
      <c r="L1430">
        <v>0</v>
      </c>
      <c r="M1430">
        <v>0</v>
      </c>
      <c r="N1430">
        <v>2400</v>
      </c>
    </row>
    <row r="1431" spans="1:14" x14ac:dyDescent="0.25">
      <c r="A1431">
        <v>731.73848299999997</v>
      </c>
      <c r="B1431" s="1">
        <f>DATE(2012,5,1) + TIME(17,43,24)</f>
        <v>41030.73847222222</v>
      </c>
      <c r="C1431">
        <v>1339.3551024999999</v>
      </c>
      <c r="D1431">
        <v>1336.7617187999999</v>
      </c>
      <c r="E1431">
        <v>1326.996582</v>
      </c>
      <c r="F1431">
        <v>1325.2540283000001</v>
      </c>
      <c r="G1431">
        <v>80</v>
      </c>
      <c r="H1431">
        <v>76.502853393999999</v>
      </c>
      <c r="I1431">
        <v>50</v>
      </c>
      <c r="J1431">
        <v>49.894222259999999</v>
      </c>
      <c r="K1431">
        <v>2400</v>
      </c>
      <c r="L1431">
        <v>0</v>
      </c>
      <c r="M1431">
        <v>0</v>
      </c>
      <c r="N1431">
        <v>2400</v>
      </c>
    </row>
    <row r="1432" spans="1:14" x14ac:dyDescent="0.25">
      <c r="A1432">
        <v>731.77694899999995</v>
      </c>
      <c r="B1432" s="1">
        <f>DATE(2012,5,1) + TIME(18,38,48)</f>
        <v>41030.776944444442</v>
      </c>
      <c r="C1432">
        <v>1339.3895264</v>
      </c>
      <c r="D1432">
        <v>1336.7875977000001</v>
      </c>
      <c r="E1432">
        <v>1326.9964600000001</v>
      </c>
      <c r="F1432">
        <v>1325.2537841999999</v>
      </c>
      <c r="G1432">
        <v>80</v>
      </c>
      <c r="H1432">
        <v>76.796890258999994</v>
      </c>
      <c r="I1432">
        <v>50</v>
      </c>
      <c r="J1432">
        <v>49.890556334999999</v>
      </c>
      <c r="K1432">
        <v>2400</v>
      </c>
      <c r="L1432">
        <v>0</v>
      </c>
      <c r="M1432">
        <v>0</v>
      </c>
      <c r="N1432">
        <v>2400</v>
      </c>
    </row>
    <row r="1433" spans="1:14" x14ac:dyDescent="0.25">
      <c r="A1433">
        <v>731.81681000000003</v>
      </c>
      <c r="B1433" s="1">
        <f>DATE(2012,5,1) + TIME(19,36,12)</f>
        <v>41030.816805555558</v>
      </c>
      <c r="C1433">
        <v>1339.4241943</v>
      </c>
      <c r="D1433">
        <v>1336.8135986</v>
      </c>
      <c r="E1433">
        <v>1326.9962158000001</v>
      </c>
      <c r="F1433">
        <v>1325.2535399999999</v>
      </c>
      <c r="G1433">
        <v>80</v>
      </c>
      <c r="H1433">
        <v>77.076560974000003</v>
      </c>
      <c r="I1433">
        <v>50</v>
      </c>
      <c r="J1433">
        <v>49.886795044000003</v>
      </c>
      <c r="K1433">
        <v>2400</v>
      </c>
      <c r="L1433">
        <v>0</v>
      </c>
      <c r="M1433">
        <v>0</v>
      </c>
      <c r="N1433">
        <v>2400</v>
      </c>
    </row>
    <row r="1434" spans="1:14" x14ac:dyDescent="0.25">
      <c r="A1434">
        <v>731.85815400000001</v>
      </c>
      <c r="B1434" s="1">
        <f>DATE(2012,5,1) + TIME(20,35,44)</f>
        <v>41030.858148148145</v>
      </c>
      <c r="C1434">
        <v>1339.4592285000001</v>
      </c>
      <c r="D1434">
        <v>1336.8395995999999</v>
      </c>
      <c r="E1434">
        <v>1326.9960937999999</v>
      </c>
      <c r="F1434">
        <v>1325.2531738</v>
      </c>
      <c r="G1434">
        <v>80</v>
      </c>
      <c r="H1434">
        <v>77.341743468999994</v>
      </c>
      <c r="I1434">
        <v>50</v>
      </c>
      <c r="J1434">
        <v>49.882926941000001</v>
      </c>
      <c r="K1434">
        <v>2400</v>
      </c>
      <c r="L1434">
        <v>0</v>
      </c>
      <c r="M1434">
        <v>0</v>
      </c>
      <c r="N1434">
        <v>2400</v>
      </c>
    </row>
    <row r="1435" spans="1:14" x14ac:dyDescent="0.25">
      <c r="A1435">
        <v>731.90107799999998</v>
      </c>
      <c r="B1435" s="1">
        <f>DATE(2012,5,1) + TIME(21,37,33)</f>
        <v>41030.901076388887</v>
      </c>
      <c r="C1435">
        <v>1339.4943848</v>
      </c>
      <c r="D1435">
        <v>1336.8656006000001</v>
      </c>
      <c r="E1435">
        <v>1326.9958495999999</v>
      </c>
      <c r="F1435">
        <v>1325.2529297000001</v>
      </c>
      <c r="G1435">
        <v>80</v>
      </c>
      <c r="H1435">
        <v>77.592369079999997</v>
      </c>
      <c r="I1435">
        <v>50</v>
      </c>
      <c r="J1435">
        <v>49.878948211999997</v>
      </c>
      <c r="K1435">
        <v>2400</v>
      </c>
      <c r="L1435">
        <v>0</v>
      </c>
      <c r="M1435">
        <v>0</v>
      </c>
      <c r="N1435">
        <v>2400</v>
      </c>
    </row>
    <row r="1436" spans="1:14" x14ac:dyDescent="0.25">
      <c r="A1436">
        <v>731.94569200000001</v>
      </c>
      <c r="B1436" s="1">
        <f>DATE(2012,5,1) + TIME(22,41,47)</f>
        <v>41030.94568287037</v>
      </c>
      <c r="C1436">
        <v>1339.5295410000001</v>
      </c>
      <c r="D1436">
        <v>1336.8914795000001</v>
      </c>
      <c r="E1436">
        <v>1326.9957274999999</v>
      </c>
      <c r="F1436">
        <v>1325.2525635</v>
      </c>
      <c r="G1436">
        <v>80</v>
      </c>
      <c r="H1436">
        <v>77.828445435000006</v>
      </c>
      <c r="I1436">
        <v>50</v>
      </c>
      <c r="J1436">
        <v>49.874851227000001</v>
      </c>
      <c r="K1436">
        <v>2400</v>
      </c>
      <c r="L1436">
        <v>0</v>
      </c>
      <c r="M1436">
        <v>0</v>
      </c>
      <c r="N1436">
        <v>2400</v>
      </c>
    </row>
    <row r="1437" spans="1:14" x14ac:dyDescent="0.25">
      <c r="A1437">
        <v>731.99212</v>
      </c>
      <c r="B1437" s="1">
        <f>DATE(2012,5,1) + TIME(23,48,39)</f>
        <v>41030.992118055554</v>
      </c>
      <c r="C1437">
        <v>1339.5648193</v>
      </c>
      <c r="D1437">
        <v>1336.9172363</v>
      </c>
      <c r="E1437">
        <v>1326.9954834</v>
      </c>
      <c r="F1437">
        <v>1325.2521973</v>
      </c>
      <c r="G1437">
        <v>80</v>
      </c>
      <c r="H1437">
        <v>78.050010681000003</v>
      </c>
      <c r="I1437">
        <v>50</v>
      </c>
      <c r="J1437">
        <v>49.870624542000002</v>
      </c>
      <c r="K1437">
        <v>2400</v>
      </c>
      <c r="L1437">
        <v>0</v>
      </c>
      <c r="M1437">
        <v>0</v>
      </c>
      <c r="N1437">
        <v>2400</v>
      </c>
    </row>
    <row r="1438" spans="1:14" x14ac:dyDescent="0.25">
      <c r="A1438">
        <v>732.04049999999995</v>
      </c>
      <c r="B1438" s="1">
        <f>DATE(2012,5,2) + TIME(0,58,19)</f>
        <v>41031.040497685186</v>
      </c>
      <c r="C1438">
        <v>1339.5998535000001</v>
      </c>
      <c r="D1438">
        <v>1336.942749</v>
      </c>
      <c r="E1438">
        <v>1326.9952393000001</v>
      </c>
      <c r="F1438">
        <v>1325.2518310999999</v>
      </c>
      <c r="G1438">
        <v>80</v>
      </c>
      <c r="H1438">
        <v>78.257171631000006</v>
      </c>
      <c r="I1438">
        <v>50</v>
      </c>
      <c r="J1438">
        <v>49.866264342999997</v>
      </c>
      <c r="K1438">
        <v>2400</v>
      </c>
      <c r="L1438">
        <v>0</v>
      </c>
      <c r="M1438">
        <v>0</v>
      </c>
      <c r="N1438">
        <v>2400</v>
      </c>
    </row>
    <row r="1439" spans="1:14" x14ac:dyDescent="0.25">
      <c r="A1439">
        <v>732.09098300000005</v>
      </c>
      <c r="B1439" s="1">
        <f>DATE(2012,5,2) + TIME(2,11,0)</f>
        <v>41031.09097222222</v>
      </c>
      <c r="C1439">
        <v>1339.6348877</v>
      </c>
      <c r="D1439">
        <v>1336.9680175999999</v>
      </c>
      <c r="E1439">
        <v>1326.9949951000001</v>
      </c>
      <c r="F1439">
        <v>1325.2514647999999</v>
      </c>
      <c r="G1439">
        <v>80</v>
      </c>
      <c r="H1439">
        <v>78.450065613000007</v>
      </c>
      <c r="I1439">
        <v>50</v>
      </c>
      <c r="J1439">
        <v>49.861755371000001</v>
      </c>
      <c r="K1439">
        <v>2400</v>
      </c>
      <c r="L1439">
        <v>0</v>
      </c>
      <c r="M1439">
        <v>0</v>
      </c>
      <c r="N1439">
        <v>2400</v>
      </c>
    </row>
    <row r="1440" spans="1:14" x14ac:dyDescent="0.25">
      <c r="A1440">
        <v>732.14373899999998</v>
      </c>
      <c r="B1440" s="1">
        <f>DATE(2012,5,2) + TIME(3,26,59)</f>
        <v>41031.143738425926</v>
      </c>
      <c r="C1440">
        <v>1339.6695557</v>
      </c>
      <c r="D1440">
        <v>1336.9930420000001</v>
      </c>
      <c r="E1440">
        <v>1326.994751</v>
      </c>
      <c r="F1440">
        <v>1325.2510986</v>
      </c>
      <c r="G1440">
        <v>80</v>
      </c>
      <c r="H1440">
        <v>78.628883361999996</v>
      </c>
      <c r="I1440">
        <v>50</v>
      </c>
      <c r="J1440">
        <v>49.857089995999999</v>
      </c>
      <c r="K1440">
        <v>2400</v>
      </c>
      <c r="L1440">
        <v>0</v>
      </c>
      <c r="M1440">
        <v>0</v>
      </c>
      <c r="N1440">
        <v>2400</v>
      </c>
    </row>
    <row r="1441" spans="1:14" x14ac:dyDescent="0.25">
      <c r="A1441">
        <v>732.19895899999995</v>
      </c>
      <c r="B1441" s="1">
        <f>DATE(2012,5,2) + TIME(4,46,30)</f>
        <v>41031.198958333334</v>
      </c>
      <c r="C1441">
        <v>1339.7038574000001</v>
      </c>
      <c r="D1441">
        <v>1337.0177002</v>
      </c>
      <c r="E1441">
        <v>1326.9945068</v>
      </c>
      <c r="F1441">
        <v>1325.2507324000001</v>
      </c>
      <c r="G1441">
        <v>80</v>
      </c>
      <c r="H1441">
        <v>78.793884277000004</v>
      </c>
      <c r="I1441">
        <v>50</v>
      </c>
      <c r="J1441">
        <v>49.852256775000001</v>
      </c>
      <c r="K1441">
        <v>2400</v>
      </c>
      <c r="L1441">
        <v>0</v>
      </c>
      <c r="M1441">
        <v>0</v>
      </c>
      <c r="N1441">
        <v>2400</v>
      </c>
    </row>
    <row r="1442" spans="1:14" x14ac:dyDescent="0.25">
      <c r="A1442">
        <v>732.25685699999997</v>
      </c>
      <c r="B1442" s="1">
        <f>DATE(2012,5,2) + TIME(6,9,52)</f>
        <v>41031.256851851853</v>
      </c>
      <c r="C1442">
        <v>1339.7376709</v>
      </c>
      <c r="D1442">
        <v>1337.0419922000001</v>
      </c>
      <c r="E1442">
        <v>1326.9942627</v>
      </c>
      <c r="F1442">
        <v>1325.2502440999999</v>
      </c>
      <c r="G1442">
        <v>80</v>
      </c>
      <c r="H1442">
        <v>78.945350646999998</v>
      </c>
      <c r="I1442">
        <v>50</v>
      </c>
      <c r="J1442">
        <v>49.847240448000001</v>
      </c>
      <c r="K1442">
        <v>2400</v>
      </c>
      <c r="L1442">
        <v>0</v>
      </c>
      <c r="M1442">
        <v>0</v>
      </c>
      <c r="N1442">
        <v>2400</v>
      </c>
    </row>
    <row r="1443" spans="1:14" x14ac:dyDescent="0.25">
      <c r="A1443">
        <v>732.31768499999998</v>
      </c>
      <c r="B1443" s="1">
        <f>DATE(2012,5,2) + TIME(7,37,28)</f>
        <v>41031.317685185182</v>
      </c>
      <c r="C1443">
        <v>1339.7709961</v>
      </c>
      <c r="D1443">
        <v>1337.065918</v>
      </c>
      <c r="E1443">
        <v>1326.9940185999999</v>
      </c>
      <c r="F1443">
        <v>1325.2498779</v>
      </c>
      <c r="G1443">
        <v>80</v>
      </c>
      <c r="H1443">
        <v>79.083663939999994</v>
      </c>
      <c r="I1443">
        <v>50</v>
      </c>
      <c r="J1443">
        <v>49.842021942000002</v>
      </c>
      <c r="K1443">
        <v>2400</v>
      </c>
      <c r="L1443">
        <v>0</v>
      </c>
      <c r="M1443">
        <v>0</v>
      </c>
      <c r="N1443">
        <v>2400</v>
      </c>
    </row>
    <row r="1444" spans="1:14" x14ac:dyDescent="0.25">
      <c r="A1444">
        <v>732.381754</v>
      </c>
      <c r="B1444" s="1">
        <f>DATE(2012,5,2) + TIME(9,9,43)</f>
        <v>41031.381747685184</v>
      </c>
      <c r="C1444">
        <v>1339.8037108999999</v>
      </c>
      <c r="D1444">
        <v>1337.0892334</v>
      </c>
      <c r="E1444">
        <v>1326.9936522999999</v>
      </c>
      <c r="F1444">
        <v>1325.2493896000001</v>
      </c>
      <c r="G1444">
        <v>80</v>
      </c>
      <c r="H1444">
        <v>79.209266662999994</v>
      </c>
      <c r="I1444">
        <v>50</v>
      </c>
      <c r="J1444">
        <v>49.836582184000001</v>
      </c>
      <c r="K1444">
        <v>2400</v>
      </c>
      <c r="L1444">
        <v>0</v>
      </c>
      <c r="M1444">
        <v>0</v>
      </c>
      <c r="N1444">
        <v>2400</v>
      </c>
    </row>
    <row r="1445" spans="1:14" x14ac:dyDescent="0.25">
      <c r="A1445">
        <v>732.44934899999998</v>
      </c>
      <c r="B1445" s="1">
        <f>DATE(2012,5,2) + TIME(10,47,3)</f>
        <v>41031.449340277781</v>
      </c>
      <c r="C1445">
        <v>1339.8358154</v>
      </c>
      <c r="D1445">
        <v>1337.1120605000001</v>
      </c>
      <c r="E1445">
        <v>1326.9934082</v>
      </c>
      <c r="F1445">
        <v>1325.2489014</v>
      </c>
      <c r="G1445">
        <v>80</v>
      </c>
      <c r="H1445">
        <v>79.322547912999994</v>
      </c>
      <c r="I1445">
        <v>50</v>
      </c>
      <c r="J1445">
        <v>49.830905913999999</v>
      </c>
      <c r="K1445">
        <v>2400</v>
      </c>
      <c r="L1445">
        <v>0</v>
      </c>
      <c r="M1445">
        <v>0</v>
      </c>
      <c r="N1445">
        <v>2400</v>
      </c>
    </row>
    <row r="1446" spans="1:14" x14ac:dyDescent="0.25">
      <c r="A1446">
        <v>732.52084300000001</v>
      </c>
      <c r="B1446" s="1">
        <f>DATE(2012,5,2) + TIME(12,30,0)</f>
        <v>41031.520833333336</v>
      </c>
      <c r="C1446">
        <v>1339.8670654</v>
      </c>
      <c r="D1446">
        <v>1337.1342772999999</v>
      </c>
      <c r="E1446">
        <v>1326.9930420000001</v>
      </c>
      <c r="F1446">
        <v>1325.2484131000001</v>
      </c>
      <c r="G1446">
        <v>80</v>
      </c>
      <c r="H1446">
        <v>79.424011230000005</v>
      </c>
      <c r="I1446">
        <v>50</v>
      </c>
      <c r="J1446">
        <v>49.824966431</v>
      </c>
      <c r="K1446">
        <v>2400</v>
      </c>
      <c r="L1446">
        <v>0</v>
      </c>
      <c r="M1446">
        <v>0</v>
      </c>
      <c r="N1446">
        <v>2400</v>
      </c>
    </row>
    <row r="1447" spans="1:14" x14ac:dyDescent="0.25">
      <c r="A1447">
        <v>732.59540900000002</v>
      </c>
      <c r="B1447" s="1">
        <f>DATE(2012,5,2) + TIME(14,17,23)</f>
        <v>41031.595405092594</v>
      </c>
      <c r="C1447">
        <v>1339.8977050999999</v>
      </c>
      <c r="D1447">
        <v>1337.1560059000001</v>
      </c>
      <c r="E1447">
        <v>1326.9926757999999</v>
      </c>
      <c r="F1447">
        <v>1325.2479248</v>
      </c>
      <c r="G1447">
        <v>80</v>
      </c>
      <c r="H1447">
        <v>79.512962341000005</v>
      </c>
      <c r="I1447">
        <v>50</v>
      </c>
      <c r="J1447">
        <v>49.818832397000001</v>
      </c>
      <c r="K1447">
        <v>2400</v>
      </c>
      <c r="L1447">
        <v>0</v>
      </c>
      <c r="M1447">
        <v>0</v>
      </c>
      <c r="N1447">
        <v>2400</v>
      </c>
    </row>
    <row r="1448" spans="1:14" x14ac:dyDescent="0.25">
      <c r="A1448">
        <v>732.67071099999998</v>
      </c>
      <c r="B1448" s="1">
        <f>DATE(2012,5,2) + TIME(16,5,49)</f>
        <v>41031.670706018522</v>
      </c>
      <c r="C1448">
        <v>1339.9272461</v>
      </c>
      <c r="D1448">
        <v>1337.1770019999999</v>
      </c>
      <c r="E1448">
        <v>1326.9923096</v>
      </c>
      <c r="F1448">
        <v>1325.2473144999999</v>
      </c>
      <c r="G1448">
        <v>80</v>
      </c>
      <c r="H1448">
        <v>79.588287354000002</v>
      </c>
      <c r="I1448">
        <v>50</v>
      </c>
      <c r="J1448">
        <v>49.812683104999998</v>
      </c>
      <c r="K1448">
        <v>2400</v>
      </c>
      <c r="L1448">
        <v>0</v>
      </c>
      <c r="M1448">
        <v>0</v>
      </c>
      <c r="N1448">
        <v>2400</v>
      </c>
    </row>
    <row r="1449" spans="1:14" x14ac:dyDescent="0.25">
      <c r="A1449">
        <v>732.74709499999994</v>
      </c>
      <c r="B1449" s="1">
        <f>DATE(2012,5,2) + TIME(17,55,49)</f>
        <v>41031.747094907405</v>
      </c>
      <c r="C1449">
        <v>1339.9544678</v>
      </c>
      <c r="D1449">
        <v>1337.1961670000001</v>
      </c>
      <c r="E1449">
        <v>1326.9919434000001</v>
      </c>
      <c r="F1449">
        <v>1325.2468262</v>
      </c>
      <c r="G1449">
        <v>80</v>
      </c>
      <c r="H1449">
        <v>79.652160644999995</v>
      </c>
      <c r="I1449">
        <v>50</v>
      </c>
      <c r="J1449">
        <v>49.806495667</v>
      </c>
      <c r="K1449">
        <v>2400</v>
      </c>
      <c r="L1449">
        <v>0</v>
      </c>
      <c r="M1449">
        <v>0</v>
      </c>
      <c r="N1449">
        <v>2400</v>
      </c>
    </row>
    <row r="1450" spans="1:14" x14ac:dyDescent="0.25">
      <c r="A1450">
        <v>732.82483999999999</v>
      </c>
      <c r="B1450" s="1">
        <f>DATE(2012,5,2) + TIME(19,47,46)</f>
        <v>41031.824837962966</v>
      </c>
      <c r="C1450">
        <v>1339.9794922000001</v>
      </c>
      <c r="D1450">
        <v>1337.2139893000001</v>
      </c>
      <c r="E1450">
        <v>1326.9914550999999</v>
      </c>
      <c r="F1450">
        <v>1325.2462158000001</v>
      </c>
      <c r="G1450">
        <v>80</v>
      </c>
      <c r="H1450">
        <v>79.706298828000001</v>
      </c>
      <c r="I1450">
        <v>50</v>
      </c>
      <c r="J1450">
        <v>49.800243377999998</v>
      </c>
      <c r="K1450">
        <v>2400</v>
      </c>
      <c r="L1450">
        <v>0</v>
      </c>
      <c r="M1450">
        <v>0</v>
      </c>
      <c r="N1450">
        <v>2400</v>
      </c>
    </row>
    <row r="1451" spans="1:14" x14ac:dyDescent="0.25">
      <c r="A1451">
        <v>732.90419299999996</v>
      </c>
      <c r="B1451" s="1">
        <f>DATE(2012,5,2) + TIME(21,42,2)</f>
        <v>41031.904189814813</v>
      </c>
      <c r="C1451">
        <v>1340.0026855000001</v>
      </c>
      <c r="D1451">
        <v>1337.2305908000001</v>
      </c>
      <c r="E1451">
        <v>1326.9910889</v>
      </c>
      <c r="F1451">
        <v>1325.2457274999999</v>
      </c>
      <c r="G1451">
        <v>80</v>
      </c>
      <c r="H1451">
        <v>79.752128600999995</v>
      </c>
      <c r="I1451">
        <v>50</v>
      </c>
      <c r="J1451">
        <v>49.793907165999997</v>
      </c>
      <c r="K1451">
        <v>2400</v>
      </c>
      <c r="L1451">
        <v>0</v>
      </c>
      <c r="M1451">
        <v>0</v>
      </c>
      <c r="N1451">
        <v>2400</v>
      </c>
    </row>
    <row r="1452" spans="1:14" x14ac:dyDescent="0.25">
      <c r="A1452">
        <v>732.98515099999997</v>
      </c>
      <c r="B1452" s="1">
        <f>DATE(2012,5,2) + TIME(23,38,37)</f>
        <v>41031.985150462962</v>
      </c>
      <c r="C1452">
        <v>1340.0239257999999</v>
      </c>
      <c r="D1452">
        <v>1337.2458495999999</v>
      </c>
      <c r="E1452">
        <v>1326.9906006000001</v>
      </c>
      <c r="F1452">
        <v>1325.2451172000001</v>
      </c>
      <c r="G1452">
        <v>80</v>
      </c>
      <c r="H1452">
        <v>79.790756225999999</v>
      </c>
      <c r="I1452">
        <v>50</v>
      </c>
      <c r="J1452">
        <v>49.787494658999996</v>
      </c>
      <c r="K1452">
        <v>2400</v>
      </c>
      <c r="L1452">
        <v>0</v>
      </c>
      <c r="M1452">
        <v>0</v>
      </c>
      <c r="N1452">
        <v>2400</v>
      </c>
    </row>
    <row r="1453" spans="1:14" x14ac:dyDescent="0.25">
      <c r="A1453">
        <v>733.06671500000004</v>
      </c>
      <c r="B1453" s="1">
        <f>DATE(2012,5,3) + TIME(1,36,4)</f>
        <v>41032.066712962966</v>
      </c>
      <c r="C1453">
        <v>1340.0437012</v>
      </c>
      <c r="D1453">
        <v>1337.2600098</v>
      </c>
      <c r="E1453">
        <v>1326.9902344</v>
      </c>
      <c r="F1453">
        <v>1325.2445068</v>
      </c>
      <c r="G1453">
        <v>80</v>
      </c>
      <c r="H1453">
        <v>79.822845459000007</v>
      </c>
      <c r="I1453">
        <v>50</v>
      </c>
      <c r="J1453">
        <v>49.781070708999998</v>
      </c>
      <c r="K1453">
        <v>2400</v>
      </c>
      <c r="L1453">
        <v>0</v>
      </c>
      <c r="M1453">
        <v>0</v>
      </c>
      <c r="N1453">
        <v>2400</v>
      </c>
    </row>
    <row r="1454" spans="1:14" x14ac:dyDescent="0.25">
      <c r="A1454">
        <v>733.14908600000001</v>
      </c>
      <c r="B1454" s="1">
        <f>DATE(2012,5,3) + TIME(3,34,40)</f>
        <v>41032.149074074077</v>
      </c>
      <c r="C1454">
        <v>1340.0614014</v>
      </c>
      <c r="D1454">
        <v>1337.2728271000001</v>
      </c>
      <c r="E1454">
        <v>1326.9897461</v>
      </c>
      <c r="F1454">
        <v>1325.2440185999999</v>
      </c>
      <c r="G1454">
        <v>80</v>
      </c>
      <c r="H1454">
        <v>79.849517821999996</v>
      </c>
      <c r="I1454">
        <v>50</v>
      </c>
      <c r="J1454">
        <v>49.774627686000002</v>
      </c>
      <c r="K1454">
        <v>2400</v>
      </c>
      <c r="L1454">
        <v>0</v>
      </c>
      <c r="M1454">
        <v>0</v>
      </c>
      <c r="N1454">
        <v>2400</v>
      </c>
    </row>
    <row r="1455" spans="1:14" x14ac:dyDescent="0.25">
      <c r="A1455">
        <v>733.23242700000003</v>
      </c>
      <c r="B1455" s="1">
        <f>DATE(2012,5,3) + TIME(5,34,41)</f>
        <v>41032.232418981483</v>
      </c>
      <c r="C1455">
        <v>1340.0772704999999</v>
      </c>
      <c r="D1455">
        <v>1337.2845459</v>
      </c>
      <c r="E1455">
        <v>1326.9893798999999</v>
      </c>
      <c r="F1455">
        <v>1325.2434082</v>
      </c>
      <c r="G1455">
        <v>80</v>
      </c>
      <c r="H1455">
        <v>79.871681213000002</v>
      </c>
      <c r="I1455">
        <v>50</v>
      </c>
      <c r="J1455">
        <v>49.768146514999998</v>
      </c>
      <c r="K1455">
        <v>2400</v>
      </c>
      <c r="L1455">
        <v>0</v>
      </c>
      <c r="M1455">
        <v>0</v>
      </c>
      <c r="N1455">
        <v>2400</v>
      </c>
    </row>
    <row r="1456" spans="1:14" x14ac:dyDescent="0.25">
      <c r="A1456">
        <v>733.31691000000001</v>
      </c>
      <c r="B1456" s="1">
        <f>DATE(2012,5,3) + TIME(7,36,21)</f>
        <v>41032.31690972222</v>
      </c>
      <c r="C1456">
        <v>1340.0916748</v>
      </c>
      <c r="D1456">
        <v>1337.2951660000001</v>
      </c>
      <c r="E1456">
        <v>1326.9888916</v>
      </c>
      <c r="F1456">
        <v>1325.2427978999999</v>
      </c>
      <c r="G1456">
        <v>80</v>
      </c>
      <c r="H1456">
        <v>79.890068053999997</v>
      </c>
      <c r="I1456">
        <v>50</v>
      </c>
      <c r="J1456">
        <v>49.761615753000001</v>
      </c>
      <c r="K1456">
        <v>2400</v>
      </c>
      <c r="L1456">
        <v>0</v>
      </c>
      <c r="M1456">
        <v>0</v>
      </c>
      <c r="N1456">
        <v>2400</v>
      </c>
    </row>
    <row r="1457" spans="1:14" x14ac:dyDescent="0.25">
      <c r="A1457">
        <v>733.40273500000001</v>
      </c>
      <c r="B1457" s="1">
        <f>DATE(2012,5,3) + TIME(9,39,56)</f>
        <v>41032.402731481481</v>
      </c>
      <c r="C1457">
        <v>1340.1046143000001</v>
      </c>
      <c r="D1457">
        <v>1337.3049315999999</v>
      </c>
      <c r="E1457">
        <v>1326.9884033000001</v>
      </c>
      <c r="F1457">
        <v>1325.2421875</v>
      </c>
      <c r="G1457">
        <v>80</v>
      </c>
      <c r="H1457">
        <v>79.905326842999997</v>
      </c>
      <c r="I1457">
        <v>50</v>
      </c>
      <c r="J1457">
        <v>49.755023956000002</v>
      </c>
      <c r="K1457">
        <v>2400</v>
      </c>
      <c r="L1457">
        <v>0</v>
      </c>
      <c r="M1457">
        <v>0</v>
      </c>
      <c r="N1457">
        <v>2400</v>
      </c>
    </row>
    <row r="1458" spans="1:14" x14ac:dyDescent="0.25">
      <c r="A1458">
        <v>733.49005199999999</v>
      </c>
      <c r="B1458" s="1">
        <f>DATE(2012,5,3) + TIME(11,45,40)</f>
        <v>41032.490046296298</v>
      </c>
      <c r="C1458">
        <v>1340.1163329999999</v>
      </c>
      <c r="D1458">
        <v>1337.3137207</v>
      </c>
      <c r="E1458">
        <v>1326.9879149999999</v>
      </c>
      <c r="F1458">
        <v>1325.2414550999999</v>
      </c>
      <c r="G1458">
        <v>80</v>
      </c>
      <c r="H1458">
        <v>79.91796875</v>
      </c>
      <c r="I1458">
        <v>50</v>
      </c>
      <c r="J1458">
        <v>49.74835968</v>
      </c>
      <c r="K1458">
        <v>2400</v>
      </c>
      <c r="L1458">
        <v>0</v>
      </c>
      <c r="M1458">
        <v>0</v>
      </c>
      <c r="N1458">
        <v>2400</v>
      </c>
    </row>
    <row r="1459" spans="1:14" x14ac:dyDescent="0.25">
      <c r="A1459">
        <v>733.57905300000004</v>
      </c>
      <c r="B1459" s="1">
        <f>DATE(2012,5,3) + TIME(13,53,50)</f>
        <v>41032.579050925924</v>
      </c>
      <c r="C1459">
        <v>1340.1265868999999</v>
      </c>
      <c r="D1459">
        <v>1337.3216553</v>
      </c>
      <c r="E1459">
        <v>1326.9874268000001</v>
      </c>
      <c r="F1459">
        <v>1325.2408447</v>
      </c>
      <c r="G1459">
        <v>80</v>
      </c>
      <c r="H1459">
        <v>79.928413391000007</v>
      </c>
      <c r="I1459">
        <v>50</v>
      </c>
      <c r="J1459">
        <v>49.741607666</v>
      </c>
      <c r="K1459">
        <v>2400</v>
      </c>
      <c r="L1459">
        <v>0</v>
      </c>
      <c r="M1459">
        <v>0</v>
      </c>
      <c r="N1459">
        <v>2400</v>
      </c>
    </row>
    <row r="1460" spans="1:14" x14ac:dyDescent="0.25">
      <c r="A1460">
        <v>733.66994599999998</v>
      </c>
      <c r="B1460" s="1">
        <f>DATE(2012,5,3) + TIME(16,4,43)</f>
        <v>41032.669942129629</v>
      </c>
      <c r="C1460">
        <v>1340.1356201000001</v>
      </c>
      <c r="D1460">
        <v>1337.3288574000001</v>
      </c>
      <c r="E1460">
        <v>1326.9869385</v>
      </c>
      <c r="F1460">
        <v>1325.2402344</v>
      </c>
      <c r="G1460">
        <v>80</v>
      </c>
      <c r="H1460">
        <v>79.937042235999996</v>
      </c>
      <c r="I1460">
        <v>50</v>
      </c>
      <c r="J1460">
        <v>49.734756470000001</v>
      </c>
      <c r="K1460">
        <v>2400</v>
      </c>
      <c r="L1460">
        <v>0</v>
      </c>
      <c r="M1460">
        <v>0</v>
      </c>
      <c r="N1460">
        <v>2400</v>
      </c>
    </row>
    <row r="1461" spans="1:14" x14ac:dyDescent="0.25">
      <c r="A1461">
        <v>733.76295100000004</v>
      </c>
      <c r="B1461" s="1">
        <f>DATE(2012,5,3) + TIME(18,18,38)</f>
        <v>41032.762939814813</v>
      </c>
      <c r="C1461">
        <v>1340.1414795000001</v>
      </c>
      <c r="D1461">
        <v>1337.3339844</v>
      </c>
      <c r="E1461">
        <v>1326.9864502</v>
      </c>
      <c r="F1461">
        <v>1325.2395019999999</v>
      </c>
      <c r="G1461">
        <v>80</v>
      </c>
      <c r="H1461">
        <v>79.944145203000005</v>
      </c>
      <c r="I1461">
        <v>50</v>
      </c>
      <c r="J1461">
        <v>49.727790833</v>
      </c>
      <c r="K1461">
        <v>2400</v>
      </c>
      <c r="L1461">
        <v>0</v>
      </c>
      <c r="M1461">
        <v>0</v>
      </c>
      <c r="N1461">
        <v>2400</v>
      </c>
    </row>
    <row r="1462" spans="1:14" x14ac:dyDescent="0.25">
      <c r="A1462">
        <v>733.85835399999996</v>
      </c>
      <c r="B1462" s="1">
        <f>DATE(2012,5,3) + TIME(20,36,1)</f>
        <v>41032.858344907407</v>
      </c>
      <c r="C1462">
        <v>1340.1466064000001</v>
      </c>
      <c r="D1462">
        <v>1337.338501</v>
      </c>
      <c r="E1462">
        <v>1326.9858397999999</v>
      </c>
      <c r="F1462">
        <v>1325.2388916</v>
      </c>
      <c r="G1462">
        <v>80</v>
      </c>
      <c r="H1462">
        <v>79.949981688999998</v>
      </c>
      <c r="I1462">
        <v>50</v>
      </c>
      <c r="J1462">
        <v>49.720691680999998</v>
      </c>
      <c r="K1462">
        <v>2400</v>
      </c>
      <c r="L1462">
        <v>0</v>
      </c>
      <c r="M1462">
        <v>0</v>
      </c>
      <c r="N1462">
        <v>2400</v>
      </c>
    </row>
    <row r="1463" spans="1:14" x14ac:dyDescent="0.25">
      <c r="A1463">
        <v>733.95643900000005</v>
      </c>
      <c r="B1463" s="1">
        <f>DATE(2012,5,3) + TIME(22,57,16)</f>
        <v>41032.956435185188</v>
      </c>
      <c r="C1463">
        <v>1340.1508789</v>
      </c>
      <c r="D1463">
        <v>1337.3425293</v>
      </c>
      <c r="E1463">
        <v>1326.9853516000001</v>
      </c>
      <c r="F1463">
        <v>1325.2381591999999</v>
      </c>
      <c r="G1463">
        <v>80</v>
      </c>
      <c r="H1463">
        <v>79.954772949000002</v>
      </c>
      <c r="I1463">
        <v>50</v>
      </c>
      <c r="J1463">
        <v>49.713443755999997</v>
      </c>
      <c r="K1463">
        <v>2400</v>
      </c>
      <c r="L1463">
        <v>0</v>
      </c>
      <c r="M1463">
        <v>0</v>
      </c>
      <c r="N1463">
        <v>2400</v>
      </c>
    </row>
    <row r="1464" spans="1:14" x14ac:dyDescent="0.25">
      <c r="A1464">
        <v>734.05764199999999</v>
      </c>
      <c r="B1464" s="1">
        <f>DATE(2012,5,4) + TIME(1,23,0)</f>
        <v>41033.057638888888</v>
      </c>
      <c r="C1464">
        <v>1340.1542969</v>
      </c>
      <c r="D1464">
        <v>1337.3461914</v>
      </c>
      <c r="E1464">
        <v>1326.9847411999999</v>
      </c>
      <c r="F1464">
        <v>1325.2374268000001</v>
      </c>
      <c r="G1464">
        <v>80</v>
      </c>
      <c r="H1464">
        <v>79.958694457999997</v>
      </c>
      <c r="I1464">
        <v>50</v>
      </c>
      <c r="J1464">
        <v>49.706012725999997</v>
      </c>
      <c r="K1464">
        <v>2400</v>
      </c>
      <c r="L1464">
        <v>0</v>
      </c>
      <c r="M1464">
        <v>0</v>
      </c>
      <c r="N1464">
        <v>2400</v>
      </c>
    </row>
    <row r="1465" spans="1:14" x14ac:dyDescent="0.25">
      <c r="A1465">
        <v>734.16231400000004</v>
      </c>
      <c r="B1465" s="1">
        <f>DATE(2012,5,4) + TIME(3,53,43)</f>
        <v>41033.162303240744</v>
      </c>
      <c r="C1465">
        <v>1340.1571045000001</v>
      </c>
      <c r="D1465">
        <v>1337.3492432</v>
      </c>
      <c r="E1465">
        <v>1326.9841309000001</v>
      </c>
      <c r="F1465">
        <v>1325.2366943</v>
      </c>
      <c r="G1465">
        <v>80</v>
      </c>
      <c r="H1465">
        <v>79.961891174000002</v>
      </c>
      <c r="I1465">
        <v>50</v>
      </c>
      <c r="J1465">
        <v>49.698379516999999</v>
      </c>
      <c r="K1465">
        <v>2400</v>
      </c>
      <c r="L1465">
        <v>0</v>
      </c>
      <c r="M1465">
        <v>0</v>
      </c>
      <c r="N1465">
        <v>2400</v>
      </c>
    </row>
    <row r="1466" spans="1:14" x14ac:dyDescent="0.25">
      <c r="A1466">
        <v>734.27085699999998</v>
      </c>
      <c r="B1466" s="1">
        <f>DATE(2012,5,4) + TIME(6,30,2)</f>
        <v>41033.270856481482</v>
      </c>
      <c r="C1466">
        <v>1340.1590576000001</v>
      </c>
      <c r="D1466">
        <v>1337.3520507999999</v>
      </c>
      <c r="E1466">
        <v>1326.9835204999999</v>
      </c>
      <c r="F1466">
        <v>1325.2359618999999</v>
      </c>
      <c r="G1466">
        <v>80</v>
      </c>
      <c r="H1466">
        <v>79.964485167999996</v>
      </c>
      <c r="I1466">
        <v>50</v>
      </c>
      <c r="J1466">
        <v>49.690521240000002</v>
      </c>
      <c r="K1466">
        <v>2400</v>
      </c>
      <c r="L1466">
        <v>0</v>
      </c>
      <c r="M1466">
        <v>0</v>
      </c>
      <c r="N1466">
        <v>2400</v>
      </c>
    </row>
    <row r="1467" spans="1:14" x14ac:dyDescent="0.25">
      <c r="A1467">
        <v>734.38295700000003</v>
      </c>
      <c r="B1467" s="1">
        <f>DATE(2012,5,4) + TIME(9,11,27)</f>
        <v>41033.382951388892</v>
      </c>
      <c r="C1467">
        <v>1340.1602783000001</v>
      </c>
      <c r="D1467">
        <v>1337.3542480000001</v>
      </c>
      <c r="E1467">
        <v>1326.9829102000001</v>
      </c>
      <c r="F1467">
        <v>1325.2351074000001</v>
      </c>
      <c r="G1467">
        <v>80</v>
      </c>
      <c r="H1467">
        <v>79.966583252000007</v>
      </c>
      <c r="I1467">
        <v>50</v>
      </c>
      <c r="J1467">
        <v>49.682456969999997</v>
      </c>
      <c r="K1467">
        <v>2400</v>
      </c>
      <c r="L1467">
        <v>0</v>
      </c>
      <c r="M1467">
        <v>0</v>
      </c>
      <c r="N1467">
        <v>2400</v>
      </c>
    </row>
    <row r="1468" spans="1:14" x14ac:dyDescent="0.25">
      <c r="A1468">
        <v>734.49826499999995</v>
      </c>
      <c r="B1468" s="1">
        <f>DATE(2012,5,4) + TIME(11,57,30)</f>
        <v>41033.498263888891</v>
      </c>
      <c r="C1468">
        <v>1340.1608887</v>
      </c>
      <c r="D1468">
        <v>1337.3562012</v>
      </c>
      <c r="E1468">
        <v>1326.9821777</v>
      </c>
      <c r="F1468">
        <v>1325.2342529</v>
      </c>
      <c r="G1468">
        <v>80</v>
      </c>
      <c r="H1468">
        <v>79.968254088999998</v>
      </c>
      <c r="I1468">
        <v>50</v>
      </c>
      <c r="J1468">
        <v>49.674213408999996</v>
      </c>
      <c r="K1468">
        <v>2400</v>
      </c>
      <c r="L1468">
        <v>0</v>
      </c>
      <c r="M1468">
        <v>0</v>
      </c>
      <c r="N1468">
        <v>2400</v>
      </c>
    </row>
    <row r="1469" spans="1:14" x14ac:dyDescent="0.25">
      <c r="A1469">
        <v>734.61620400000004</v>
      </c>
      <c r="B1469" s="1">
        <f>DATE(2012,5,4) + TIME(14,47,20)</f>
        <v>41033.616203703707</v>
      </c>
      <c r="C1469">
        <v>1340.1608887</v>
      </c>
      <c r="D1469">
        <v>1337.3576660000001</v>
      </c>
      <c r="E1469">
        <v>1326.9815673999999</v>
      </c>
      <c r="F1469">
        <v>1325.2333983999999</v>
      </c>
      <c r="G1469">
        <v>80</v>
      </c>
      <c r="H1469">
        <v>79.969573975000003</v>
      </c>
      <c r="I1469">
        <v>50</v>
      </c>
      <c r="J1469">
        <v>49.665828705000003</v>
      </c>
      <c r="K1469">
        <v>2400</v>
      </c>
      <c r="L1469">
        <v>0</v>
      </c>
      <c r="M1469">
        <v>0</v>
      </c>
      <c r="N1469">
        <v>2400</v>
      </c>
    </row>
    <row r="1470" spans="1:14" x14ac:dyDescent="0.25">
      <c r="A1470">
        <v>734.73674700000004</v>
      </c>
      <c r="B1470" s="1">
        <f>DATE(2012,5,4) + TIME(17,40,54)</f>
        <v>41033.73673611111</v>
      </c>
      <c r="C1470">
        <v>1340.1601562000001</v>
      </c>
      <c r="D1470">
        <v>1337.3587646000001</v>
      </c>
      <c r="E1470">
        <v>1326.9808350000001</v>
      </c>
      <c r="F1470">
        <v>1325.2325439000001</v>
      </c>
      <c r="G1470">
        <v>80</v>
      </c>
      <c r="H1470">
        <v>79.970619201999995</v>
      </c>
      <c r="I1470">
        <v>50</v>
      </c>
      <c r="J1470">
        <v>49.657299041999998</v>
      </c>
      <c r="K1470">
        <v>2400</v>
      </c>
      <c r="L1470">
        <v>0</v>
      </c>
      <c r="M1470">
        <v>0</v>
      </c>
      <c r="N1470">
        <v>2400</v>
      </c>
    </row>
    <row r="1471" spans="1:14" x14ac:dyDescent="0.25">
      <c r="A1471">
        <v>734.860139</v>
      </c>
      <c r="B1471" s="1">
        <f>DATE(2012,5,4) + TIME(20,38,36)</f>
        <v>41033.860138888886</v>
      </c>
      <c r="C1471">
        <v>1340.1590576000001</v>
      </c>
      <c r="D1471">
        <v>1337.3596190999999</v>
      </c>
      <c r="E1471">
        <v>1326.9801024999999</v>
      </c>
      <c r="F1471">
        <v>1325.2315673999999</v>
      </c>
      <c r="G1471">
        <v>80</v>
      </c>
      <c r="H1471">
        <v>79.971443175999994</v>
      </c>
      <c r="I1471">
        <v>50</v>
      </c>
      <c r="J1471">
        <v>49.648616791000002</v>
      </c>
      <c r="K1471">
        <v>2400</v>
      </c>
      <c r="L1471">
        <v>0</v>
      </c>
      <c r="M1471">
        <v>0</v>
      </c>
      <c r="N1471">
        <v>2400</v>
      </c>
    </row>
    <row r="1472" spans="1:14" x14ac:dyDescent="0.25">
      <c r="A1472">
        <v>734.98663999999997</v>
      </c>
      <c r="B1472" s="1">
        <f>DATE(2012,5,4) + TIME(23,40,45)</f>
        <v>41033.986631944441</v>
      </c>
      <c r="C1472">
        <v>1340.1572266000001</v>
      </c>
      <c r="D1472">
        <v>1337.3601074000001</v>
      </c>
      <c r="E1472">
        <v>1326.9793701000001</v>
      </c>
      <c r="F1472">
        <v>1325.2307129000001</v>
      </c>
      <c r="G1472">
        <v>80</v>
      </c>
      <c r="H1472">
        <v>79.972091675000001</v>
      </c>
      <c r="I1472">
        <v>50</v>
      </c>
      <c r="J1472">
        <v>49.639762877999999</v>
      </c>
      <c r="K1472">
        <v>2400</v>
      </c>
      <c r="L1472">
        <v>0</v>
      </c>
      <c r="M1472">
        <v>0</v>
      </c>
      <c r="N1472">
        <v>2400</v>
      </c>
    </row>
    <row r="1473" spans="1:14" x14ac:dyDescent="0.25">
      <c r="A1473">
        <v>735.116536</v>
      </c>
      <c r="B1473" s="1">
        <f>DATE(2012,5,5) + TIME(2,47,48)</f>
        <v>41034.116527777776</v>
      </c>
      <c r="C1473">
        <v>1340.1550293</v>
      </c>
      <c r="D1473">
        <v>1337.3602295000001</v>
      </c>
      <c r="E1473">
        <v>1326.9785156</v>
      </c>
      <c r="F1473">
        <v>1325.2297363</v>
      </c>
      <c r="G1473">
        <v>80</v>
      </c>
      <c r="H1473">
        <v>79.972602843999994</v>
      </c>
      <c r="I1473">
        <v>50</v>
      </c>
      <c r="J1473">
        <v>49.630722046000002</v>
      </c>
      <c r="K1473">
        <v>2400</v>
      </c>
      <c r="L1473">
        <v>0</v>
      </c>
      <c r="M1473">
        <v>0</v>
      </c>
      <c r="N1473">
        <v>2400</v>
      </c>
    </row>
    <row r="1474" spans="1:14" x14ac:dyDescent="0.25">
      <c r="A1474">
        <v>735.25014899999996</v>
      </c>
      <c r="B1474" s="1">
        <f>DATE(2012,5,5) + TIME(6,0,12)</f>
        <v>41034.250138888892</v>
      </c>
      <c r="C1474">
        <v>1340.1514893000001</v>
      </c>
      <c r="D1474">
        <v>1337.3597411999999</v>
      </c>
      <c r="E1474">
        <v>1326.9777832</v>
      </c>
      <c r="F1474">
        <v>1325.2286377</v>
      </c>
      <c r="G1474">
        <v>80</v>
      </c>
      <c r="H1474">
        <v>79.972999572999996</v>
      </c>
      <c r="I1474">
        <v>50</v>
      </c>
      <c r="J1474">
        <v>49.621479033999996</v>
      </c>
      <c r="K1474">
        <v>2400</v>
      </c>
      <c r="L1474">
        <v>0</v>
      </c>
      <c r="M1474">
        <v>0</v>
      </c>
      <c r="N1474">
        <v>2400</v>
      </c>
    </row>
    <row r="1475" spans="1:14" x14ac:dyDescent="0.25">
      <c r="A1475">
        <v>735.38787300000001</v>
      </c>
      <c r="B1475" s="1">
        <f>DATE(2012,5,5) + TIME(9,18,32)</f>
        <v>41034.387870370374</v>
      </c>
      <c r="C1475">
        <v>1340.1466064000001</v>
      </c>
      <c r="D1475">
        <v>1337.3582764</v>
      </c>
      <c r="E1475">
        <v>1326.9769286999999</v>
      </c>
      <c r="F1475">
        <v>1325.2276611</v>
      </c>
      <c r="G1475">
        <v>80</v>
      </c>
      <c r="H1475">
        <v>79.973312378000003</v>
      </c>
      <c r="I1475">
        <v>50</v>
      </c>
      <c r="J1475">
        <v>49.612007140999999</v>
      </c>
      <c r="K1475">
        <v>2400</v>
      </c>
      <c r="L1475">
        <v>0</v>
      </c>
      <c r="M1475">
        <v>0</v>
      </c>
      <c r="N1475">
        <v>2400</v>
      </c>
    </row>
    <row r="1476" spans="1:14" x14ac:dyDescent="0.25">
      <c r="A1476">
        <v>735.53015400000004</v>
      </c>
      <c r="B1476" s="1">
        <f>DATE(2012,5,5) + TIME(12,43,25)</f>
        <v>41034.530150462961</v>
      </c>
      <c r="C1476">
        <v>1340.1414795000001</v>
      </c>
      <c r="D1476">
        <v>1337.3566894999999</v>
      </c>
      <c r="E1476">
        <v>1326.9760742000001</v>
      </c>
      <c r="F1476">
        <v>1325.2265625</v>
      </c>
      <c r="G1476">
        <v>80</v>
      </c>
      <c r="H1476">
        <v>79.973556518999999</v>
      </c>
      <c r="I1476">
        <v>50</v>
      </c>
      <c r="J1476">
        <v>49.602283477999997</v>
      </c>
      <c r="K1476">
        <v>2400</v>
      </c>
      <c r="L1476">
        <v>0</v>
      </c>
      <c r="M1476">
        <v>0</v>
      </c>
      <c r="N1476">
        <v>2400</v>
      </c>
    </row>
    <row r="1477" spans="1:14" x14ac:dyDescent="0.25">
      <c r="A1477">
        <v>735.67742899999996</v>
      </c>
      <c r="B1477" s="1">
        <f>DATE(2012,5,5) + TIME(16,15,29)</f>
        <v>41034.677418981482</v>
      </c>
      <c r="C1477">
        <v>1340.1359863</v>
      </c>
      <c r="D1477">
        <v>1337.3548584</v>
      </c>
      <c r="E1477">
        <v>1326.9750977000001</v>
      </c>
      <c r="F1477">
        <v>1325.2254639</v>
      </c>
      <c r="G1477">
        <v>80</v>
      </c>
      <c r="H1477">
        <v>79.973739624000004</v>
      </c>
      <c r="I1477">
        <v>50</v>
      </c>
      <c r="J1477">
        <v>49.592285156000003</v>
      </c>
      <c r="K1477">
        <v>2400</v>
      </c>
      <c r="L1477">
        <v>0</v>
      </c>
      <c r="M1477">
        <v>0</v>
      </c>
      <c r="N1477">
        <v>2400</v>
      </c>
    </row>
    <row r="1478" spans="1:14" x14ac:dyDescent="0.25">
      <c r="A1478">
        <v>735.83054100000004</v>
      </c>
      <c r="B1478" s="1">
        <f>DATE(2012,5,5) + TIME(19,55,58)</f>
        <v>41034.83053240741</v>
      </c>
      <c r="C1478">
        <v>1340.1301269999999</v>
      </c>
      <c r="D1478">
        <v>1337.3529053</v>
      </c>
      <c r="E1478">
        <v>1326.9741211</v>
      </c>
      <c r="F1478">
        <v>1325.2242432</v>
      </c>
      <c r="G1478">
        <v>80</v>
      </c>
      <c r="H1478">
        <v>79.973884583</v>
      </c>
      <c r="I1478">
        <v>50</v>
      </c>
      <c r="J1478">
        <v>49.581958770999996</v>
      </c>
      <c r="K1478">
        <v>2400</v>
      </c>
      <c r="L1478">
        <v>0</v>
      </c>
      <c r="M1478">
        <v>0</v>
      </c>
      <c r="N1478">
        <v>2400</v>
      </c>
    </row>
    <row r="1479" spans="1:14" x14ac:dyDescent="0.25">
      <c r="A1479">
        <v>735.98715400000003</v>
      </c>
      <c r="B1479" s="1">
        <f>DATE(2012,5,5) + TIME(23,41,30)</f>
        <v>41034.98715277778</v>
      </c>
      <c r="C1479">
        <v>1340.1240233999999</v>
      </c>
      <c r="D1479">
        <v>1337.3509521000001</v>
      </c>
      <c r="E1479">
        <v>1326.9731445</v>
      </c>
      <c r="F1479">
        <v>1325.2230225000001</v>
      </c>
      <c r="G1479">
        <v>80</v>
      </c>
      <c r="H1479">
        <v>79.973991393999995</v>
      </c>
      <c r="I1479">
        <v>50</v>
      </c>
      <c r="J1479">
        <v>49.571449280000003</v>
      </c>
      <c r="K1479">
        <v>2400</v>
      </c>
      <c r="L1479">
        <v>0</v>
      </c>
      <c r="M1479">
        <v>0</v>
      </c>
      <c r="N1479">
        <v>2400</v>
      </c>
    </row>
    <row r="1480" spans="1:14" x14ac:dyDescent="0.25">
      <c r="A1480">
        <v>736.14491299999997</v>
      </c>
      <c r="B1480" s="1">
        <f>DATE(2012,5,6) + TIME(3,28,40)</f>
        <v>41035.144907407404</v>
      </c>
      <c r="C1480">
        <v>1340.1176757999999</v>
      </c>
      <c r="D1480">
        <v>1337.3487548999999</v>
      </c>
      <c r="E1480">
        <v>1326.972168</v>
      </c>
      <c r="F1480">
        <v>1325.2218018000001</v>
      </c>
      <c r="G1480">
        <v>80</v>
      </c>
      <c r="H1480">
        <v>79.974067688000005</v>
      </c>
      <c r="I1480">
        <v>50</v>
      </c>
      <c r="J1480">
        <v>49.560886383000003</v>
      </c>
      <c r="K1480">
        <v>2400</v>
      </c>
      <c r="L1480">
        <v>0</v>
      </c>
      <c r="M1480">
        <v>0</v>
      </c>
      <c r="N1480">
        <v>2400</v>
      </c>
    </row>
    <row r="1481" spans="1:14" x14ac:dyDescent="0.25">
      <c r="A1481">
        <v>736.304261</v>
      </c>
      <c r="B1481" s="1">
        <f>DATE(2012,5,6) + TIME(7,18,8)</f>
        <v>41035.304259259261</v>
      </c>
      <c r="C1481">
        <v>1340.1113281</v>
      </c>
      <c r="D1481">
        <v>1337.3465576000001</v>
      </c>
      <c r="E1481">
        <v>1326.9711914</v>
      </c>
      <c r="F1481">
        <v>1325.2204589999999</v>
      </c>
      <c r="G1481">
        <v>80</v>
      </c>
      <c r="H1481">
        <v>79.974121093999997</v>
      </c>
      <c r="I1481">
        <v>50</v>
      </c>
      <c r="J1481">
        <v>49.550247192</v>
      </c>
      <c r="K1481">
        <v>2400</v>
      </c>
      <c r="L1481">
        <v>0</v>
      </c>
      <c r="M1481">
        <v>0</v>
      </c>
      <c r="N1481">
        <v>2400</v>
      </c>
    </row>
    <row r="1482" spans="1:14" x14ac:dyDescent="0.25">
      <c r="A1482">
        <v>736.46552499999996</v>
      </c>
      <c r="B1482" s="1">
        <f>DATE(2012,5,6) + TIME(11,10,21)</f>
        <v>41035.465520833335</v>
      </c>
      <c r="C1482">
        <v>1340.1048584</v>
      </c>
      <c r="D1482">
        <v>1337.3442382999999</v>
      </c>
      <c r="E1482">
        <v>1326.9700928</v>
      </c>
      <c r="F1482">
        <v>1325.2191161999999</v>
      </c>
      <c r="G1482">
        <v>80</v>
      </c>
      <c r="H1482">
        <v>79.974151610999996</v>
      </c>
      <c r="I1482">
        <v>50</v>
      </c>
      <c r="J1482">
        <v>49.539524077999999</v>
      </c>
      <c r="K1482">
        <v>2400</v>
      </c>
      <c r="L1482">
        <v>0</v>
      </c>
      <c r="M1482">
        <v>0</v>
      </c>
      <c r="N1482">
        <v>2400</v>
      </c>
    </row>
    <row r="1483" spans="1:14" x14ac:dyDescent="0.25">
      <c r="A1483">
        <v>736.62909300000001</v>
      </c>
      <c r="B1483" s="1">
        <f>DATE(2012,5,6) + TIME(15,5,53)</f>
        <v>41035.62908564815</v>
      </c>
      <c r="C1483">
        <v>1340.0982666</v>
      </c>
      <c r="D1483">
        <v>1337.3420410000001</v>
      </c>
      <c r="E1483">
        <v>1326.9689940999999</v>
      </c>
      <c r="F1483">
        <v>1325.2177733999999</v>
      </c>
      <c r="G1483">
        <v>80</v>
      </c>
      <c r="H1483">
        <v>79.974174500000004</v>
      </c>
      <c r="I1483">
        <v>50</v>
      </c>
      <c r="J1483">
        <v>49.528694153000004</v>
      </c>
      <c r="K1483">
        <v>2400</v>
      </c>
      <c r="L1483">
        <v>0</v>
      </c>
      <c r="M1483">
        <v>0</v>
      </c>
      <c r="N1483">
        <v>2400</v>
      </c>
    </row>
    <row r="1484" spans="1:14" x14ac:dyDescent="0.25">
      <c r="A1484">
        <v>736.79536399999995</v>
      </c>
      <c r="B1484" s="1">
        <f>DATE(2012,5,6) + TIME(19,5,19)</f>
        <v>41035.795358796298</v>
      </c>
      <c r="C1484">
        <v>1340.0915527</v>
      </c>
      <c r="D1484">
        <v>1337.3395995999999</v>
      </c>
      <c r="E1484">
        <v>1326.9678954999999</v>
      </c>
      <c r="F1484">
        <v>1325.2164307</v>
      </c>
      <c r="G1484">
        <v>80</v>
      </c>
      <c r="H1484">
        <v>79.974182128999999</v>
      </c>
      <c r="I1484">
        <v>50</v>
      </c>
      <c r="J1484">
        <v>49.517734527999998</v>
      </c>
      <c r="K1484">
        <v>2400</v>
      </c>
      <c r="L1484">
        <v>0</v>
      </c>
      <c r="M1484">
        <v>0</v>
      </c>
      <c r="N1484">
        <v>2400</v>
      </c>
    </row>
    <row r="1485" spans="1:14" x14ac:dyDescent="0.25">
      <c r="A1485">
        <v>736.96475599999997</v>
      </c>
      <c r="B1485" s="1">
        <f>DATE(2012,5,6) + TIME(23,9,14)</f>
        <v>41035.964745370373</v>
      </c>
      <c r="C1485">
        <v>1340.0848389</v>
      </c>
      <c r="D1485">
        <v>1337.3372803</v>
      </c>
      <c r="E1485">
        <v>1326.9667969</v>
      </c>
      <c r="F1485">
        <v>1325.2149658000001</v>
      </c>
      <c r="G1485">
        <v>80</v>
      </c>
      <c r="H1485">
        <v>79.974189757999994</v>
      </c>
      <c r="I1485">
        <v>50</v>
      </c>
      <c r="J1485">
        <v>49.506626128999997</v>
      </c>
      <c r="K1485">
        <v>2400</v>
      </c>
      <c r="L1485">
        <v>0</v>
      </c>
      <c r="M1485">
        <v>0</v>
      </c>
      <c r="N1485">
        <v>2400</v>
      </c>
    </row>
    <row r="1486" spans="1:14" x14ac:dyDescent="0.25">
      <c r="A1486">
        <v>737.13771099999997</v>
      </c>
      <c r="B1486" s="1">
        <f>DATE(2012,5,7) + TIME(3,18,18)</f>
        <v>41036.137708333335</v>
      </c>
      <c r="C1486">
        <v>1340.0780029</v>
      </c>
      <c r="D1486">
        <v>1337.3348389</v>
      </c>
      <c r="E1486">
        <v>1326.9655762</v>
      </c>
      <c r="F1486">
        <v>1325.213501</v>
      </c>
      <c r="G1486">
        <v>80</v>
      </c>
      <c r="H1486">
        <v>79.974182128999999</v>
      </c>
      <c r="I1486">
        <v>50</v>
      </c>
      <c r="J1486">
        <v>49.495346069</v>
      </c>
      <c r="K1486">
        <v>2400</v>
      </c>
      <c r="L1486">
        <v>0</v>
      </c>
      <c r="M1486">
        <v>0</v>
      </c>
      <c r="N1486">
        <v>2400</v>
      </c>
    </row>
    <row r="1487" spans="1:14" x14ac:dyDescent="0.25">
      <c r="A1487">
        <v>737.314708</v>
      </c>
      <c r="B1487" s="1">
        <f>DATE(2012,5,7) + TIME(7,33,10)</f>
        <v>41036.314699074072</v>
      </c>
      <c r="C1487">
        <v>1340.0710449000001</v>
      </c>
      <c r="D1487">
        <v>1337.3323975000001</v>
      </c>
      <c r="E1487">
        <v>1326.9643555</v>
      </c>
      <c r="F1487">
        <v>1325.2120361</v>
      </c>
      <c r="G1487">
        <v>80</v>
      </c>
      <c r="H1487">
        <v>79.974174500000004</v>
      </c>
      <c r="I1487">
        <v>50</v>
      </c>
      <c r="J1487">
        <v>49.483867644999997</v>
      </c>
      <c r="K1487">
        <v>2400</v>
      </c>
      <c r="L1487">
        <v>0</v>
      </c>
      <c r="M1487">
        <v>0</v>
      </c>
      <c r="N1487">
        <v>2400</v>
      </c>
    </row>
    <row r="1488" spans="1:14" x14ac:dyDescent="0.25">
      <c r="A1488">
        <v>737.49480600000004</v>
      </c>
      <c r="B1488" s="1">
        <f>DATE(2012,5,7) + TIME(11,52,31)</f>
        <v>41036.494803240741</v>
      </c>
      <c r="C1488">
        <v>1340.0639647999999</v>
      </c>
      <c r="D1488">
        <v>1337.3299560999999</v>
      </c>
      <c r="E1488">
        <v>1326.9631348</v>
      </c>
      <c r="F1488">
        <v>1325.2104492000001</v>
      </c>
      <c r="G1488">
        <v>80</v>
      </c>
      <c r="H1488">
        <v>79.974151610999996</v>
      </c>
      <c r="I1488">
        <v>50</v>
      </c>
      <c r="J1488">
        <v>49.472244263</v>
      </c>
      <c r="K1488">
        <v>2400</v>
      </c>
      <c r="L1488">
        <v>0</v>
      </c>
      <c r="M1488">
        <v>0</v>
      </c>
      <c r="N1488">
        <v>2400</v>
      </c>
    </row>
    <row r="1489" spans="1:14" x14ac:dyDescent="0.25">
      <c r="A1489">
        <v>737.67825900000003</v>
      </c>
      <c r="B1489" s="1">
        <f>DATE(2012,5,7) + TIME(16,16,41)</f>
        <v>41036.678252314814</v>
      </c>
      <c r="C1489">
        <v>1340.0568848</v>
      </c>
      <c r="D1489">
        <v>1337.3273925999999</v>
      </c>
      <c r="E1489">
        <v>1326.9619141000001</v>
      </c>
      <c r="F1489">
        <v>1325.2088623</v>
      </c>
      <c r="G1489">
        <v>80</v>
      </c>
      <c r="H1489">
        <v>79.974136353000006</v>
      </c>
      <c r="I1489">
        <v>50</v>
      </c>
      <c r="J1489">
        <v>49.460464477999999</v>
      </c>
      <c r="K1489">
        <v>2400</v>
      </c>
      <c r="L1489">
        <v>0</v>
      </c>
      <c r="M1489">
        <v>0</v>
      </c>
      <c r="N1489">
        <v>2400</v>
      </c>
    </row>
    <row r="1490" spans="1:14" x14ac:dyDescent="0.25">
      <c r="A1490">
        <v>737.86550799999998</v>
      </c>
      <c r="B1490" s="1">
        <f>DATE(2012,5,7) + TIME(20,46,19)</f>
        <v>41036.865497685183</v>
      </c>
      <c r="C1490">
        <v>1340.0498047000001</v>
      </c>
      <c r="D1490">
        <v>1337.3248291</v>
      </c>
      <c r="E1490">
        <v>1326.9605713000001</v>
      </c>
      <c r="F1490">
        <v>1325.2071533000001</v>
      </c>
      <c r="G1490">
        <v>80</v>
      </c>
      <c r="H1490">
        <v>79.974113463999998</v>
      </c>
      <c r="I1490">
        <v>50</v>
      </c>
      <c r="J1490">
        <v>49.448509215999998</v>
      </c>
      <c r="K1490">
        <v>2400</v>
      </c>
      <c r="L1490">
        <v>0</v>
      </c>
      <c r="M1490">
        <v>0</v>
      </c>
      <c r="N1490">
        <v>2400</v>
      </c>
    </row>
    <row r="1491" spans="1:14" x14ac:dyDescent="0.25">
      <c r="A1491">
        <v>738.05702799999995</v>
      </c>
      <c r="B1491" s="1">
        <f>DATE(2012,5,8) + TIME(1,22,7)</f>
        <v>41037.057025462964</v>
      </c>
      <c r="C1491">
        <v>1340.0426024999999</v>
      </c>
      <c r="D1491">
        <v>1337.3223877</v>
      </c>
      <c r="E1491">
        <v>1326.9592285000001</v>
      </c>
      <c r="F1491">
        <v>1325.2054443</v>
      </c>
      <c r="G1491">
        <v>80</v>
      </c>
      <c r="H1491">
        <v>79.974082946999999</v>
      </c>
      <c r="I1491">
        <v>50</v>
      </c>
      <c r="J1491">
        <v>49.436347961000003</v>
      </c>
      <c r="K1491">
        <v>2400</v>
      </c>
      <c r="L1491">
        <v>0</v>
      </c>
      <c r="M1491">
        <v>0</v>
      </c>
      <c r="N1491">
        <v>2400</v>
      </c>
    </row>
    <row r="1492" spans="1:14" x14ac:dyDescent="0.25">
      <c r="A1492">
        <v>738.25333000000001</v>
      </c>
      <c r="B1492" s="1">
        <f>DATE(2012,5,8) + TIME(6,4,47)</f>
        <v>41037.253321759257</v>
      </c>
      <c r="C1492">
        <v>1340.0354004000001</v>
      </c>
      <c r="D1492">
        <v>1337.3198242000001</v>
      </c>
      <c r="E1492">
        <v>1326.9577637</v>
      </c>
      <c r="F1492">
        <v>1325.2037353999999</v>
      </c>
      <c r="G1492">
        <v>80</v>
      </c>
      <c r="H1492">
        <v>79.974052428999997</v>
      </c>
      <c r="I1492">
        <v>50</v>
      </c>
      <c r="J1492">
        <v>49.423961638999998</v>
      </c>
      <c r="K1492">
        <v>2400</v>
      </c>
      <c r="L1492">
        <v>0</v>
      </c>
      <c r="M1492">
        <v>0</v>
      </c>
      <c r="N1492">
        <v>2400</v>
      </c>
    </row>
    <row r="1493" spans="1:14" x14ac:dyDescent="0.25">
      <c r="A1493">
        <v>738.45505900000001</v>
      </c>
      <c r="B1493" s="1">
        <f>DATE(2012,5,8) + TIME(10,55,17)</f>
        <v>41037.455057870371</v>
      </c>
      <c r="C1493">
        <v>1340.0280762</v>
      </c>
      <c r="D1493">
        <v>1337.3172606999999</v>
      </c>
      <c r="E1493">
        <v>1326.9564209</v>
      </c>
      <c r="F1493">
        <v>1325.2017822</v>
      </c>
      <c r="G1493">
        <v>80</v>
      </c>
      <c r="H1493">
        <v>79.974021911999998</v>
      </c>
      <c r="I1493">
        <v>50</v>
      </c>
      <c r="J1493">
        <v>49.411312103</v>
      </c>
      <c r="K1493">
        <v>2400</v>
      </c>
      <c r="L1493">
        <v>0</v>
      </c>
      <c r="M1493">
        <v>0</v>
      </c>
      <c r="N1493">
        <v>2400</v>
      </c>
    </row>
    <row r="1494" spans="1:14" x14ac:dyDescent="0.25">
      <c r="A1494">
        <v>738.662285</v>
      </c>
      <c r="B1494" s="1">
        <f>DATE(2012,5,8) + TIME(15,53,41)</f>
        <v>41037.662280092591</v>
      </c>
      <c r="C1494">
        <v>1340.0206298999999</v>
      </c>
      <c r="D1494">
        <v>1337.3146973</v>
      </c>
      <c r="E1494">
        <v>1326.9548339999999</v>
      </c>
      <c r="F1494">
        <v>1325.1999512</v>
      </c>
      <c r="G1494">
        <v>80</v>
      </c>
      <c r="H1494">
        <v>79.973983765</v>
      </c>
      <c r="I1494">
        <v>50</v>
      </c>
      <c r="J1494">
        <v>49.398403168000002</v>
      </c>
      <c r="K1494">
        <v>2400</v>
      </c>
      <c r="L1494">
        <v>0</v>
      </c>
      <c r="M1494">
        <v>0</v>
      </c>
      <c r="N1494">
        <v>2400</v>
      </c>
    </row>
    <row r="1495" spans="1:14" x14ac:dyDescent="0.25">
      <c r="A1495">
        <v>738.87197800000001</v>
      </c>
      <c r="B1495" s="1">
        <f>DATE(2012,5,8) + TIME(20,55,38)</f>
        <v>41037.871967592589</v>
      </c>
      <c r="C1495">
        <v>1340.0130615</v>
      </c>
      <c r="D1495">
        <v>1337.3120117000001</v>
      </c>
      <c r="E1495">
        <v>1326.9532471</v>
      </c>
      <c r="F1495">
        <v>1325.197876</v>
      </c>
      <c r="G1495">
        <v>80</v>
      </c>
      <c r="H1495">
        <v>79.973945618000002</v>
      </c>
      <c r="I1495">
        <v>50</v>
      </c>
      <c r="J1495">
        <v>49.385387420999997</v>
      </c>
      <c r="K1495">
        <v>2400</v>
      </c>
      <c r="L1495">
        <v>0</v>
      </c>
      <c r="M1495">
        <v>0</v>
      </c>
      <c r="N1495">
        <v>2400</v>
      </c>
    </row>
    <row r="1496" spans="1:14" x14ac:dyDescent="0.25">
      <c r="A1496">
        <v>739.08468100000005</v>
      </c>
      <c r="B1496" s="1">
        <f>DATE(2012,5,9) + TIME(2,1,56)</f>
        <v>41038.084675925929</v>
      </c>
      <c r="C1496">
        <v>1340.0056152</v>
      </c>
      <c r="D1496">
        <v>1337.3094481999999</v>
      </c>
      <c r="E1496">
        <v>1326.9516602000001</v>
      </c>
      <c r="F1496">
        <v>1325.1959228999999</v>
      </c>
      <c r="G1496">
        <v>80</v>
      </c>
      <c r="H1496">
        <v>79.973907471000004</v>
      </c>
      <c r="I1496">
        <v>50</v>
      </c>
      <c r="J1496">
        <v>49.372238158999998</v>
      </c>
      <c r="K1496">
        <v>2400</v>
      </c>
      <c r="L1496">
        <v>0</v>
      </c>
      <c r="M1496">
        <v>0</v>
      </c>
      <c r="N1496">
        <v>2400</v>
      </c>
    </row>
    <row r="1497" spans="1:14" x14ac:dyDescent="0.25">
      <c r="A1497">
        <v>739.30073600000003</v>
      </c>
      <c r="B1497" s="1">
        <f>DATE(2012,5,9) + TIME(7,13,3)</f>
        <v>41038.300729166665</v>
      </c>
      <c r="C1497">
        <v>1339.9981689000001</v>
      </c>
      <c r="D1497">
        <v>1337.3068848</v>
      </c>
      <c r="E1497">
        <v>1326.9500731999999</v>
      </c>
      <c r="F1497">
        <v>1325.1937256000001</v>
      </c>
      <c r="G1497">
        <v>80</v>
      </c>
      <c r="H1497">
        <v>79.973869324000006</v>
      </c>
      <c r="I1497">
        <v>50</v>
      </c>
      <c r="J1497">
        <v>49.358943939</v>
      </c>
      <c r="K1497">
        <v>2400</v>
      </c>
      <c r="L1497">
        <v>0</v>
      </c>
      <c r="M1497">
        <v>0</v>
      </c>
      <c r="N1497">
        <v>2400</v>
      </c>
    </row>
    <row r="1498" spans="1:14" x14ac:dyDescent="0.25">
      <c r="A1498">
        <v>739.52060300000005</v>
      </c>
      <c r="B1498" s="1">
        <f>DATE(2012,5,9) + TIME(12,29,40)</f>
        <v>41038.520601851851</v>
      </c>
      <c r="C1498">
        <v>1339.9907227000001</v>
      </c>
      <c r="D1498">
        <v>1337.3043213000001</v>
      </c>
      <c r="E1498">
        <v>1326.9483643000001</v>
      </c>
      <c r="F1498">
        <v>1325.1916504000001</v>
      </c>
      <c r="G1498">
        <v>80</v>
      </c>
      <c r="H1498">
        <v>79.973831176999994</v>
      </c>
      <c r="I1498">
        <v>50</v>
      </c>
      <c r="J1498">
        <v>49.345485687</v>
      </c>
      <c r="K1498">
        <v>2400</v>
      </c>
      <c r="L1498">
        <v>0</v>
      </c>
      <c r="M1498">
        <v>0</v>
      </c>
      <c r="N1498">
        <v>2400</v>
      </c>
    </row>
    <row r="1499" spans="1:14" x14ac:dyDescent="0.25">
      <c r="A1499">
        <v>739.74477100000001</v>
      </c>
      <c r="B1499" s="1">
        <f>DATE(2012,5,9) + TIME(17,52,28)</f>
        <v>41038.744768518518</v>
      </c>
      <c r="C1499">
        <v>1339.9832764</v>
      </c>
      <c r="D1499">
        <v>1337.3017577999999</v>
      </c>
      <c r="E1499">
        <v>1326.9466553</v>
      </c>
      <c r="F1499">
        <v>1325.1893310999999</v>
      </c>
      <c r="G1499">
        <v>80</v>
      </c>
      <c r="H1499">
        <v>79.973785399999997</v>
      </c>
      <c r="I1499">
        <v>50</v>
      </c>
      <c r="J1499">
        <v>49.331844330000003</v>
      </c>
      <c r="K1499">
        <v>2400</v>
      </c>
      <c r="L1499">
        <v>0</v>
      </c>
      <c r="M1499">
        <v>0</v>
      </c>
      <c r="N1499">
        <v>2400</v>
      </c>
    </row>
    <row r="1500" spans="1:14" x14ac:dyDescent="0.25">
      <c r="A1500">
        <v>739.97376999999994</v>
      </c>
      <c r="B1500" s="1">
        <f>DATE(2012,5,9) + TIME(23,22,13)</f>
        <v>41038.973761574074</v>
      </c>
      <c r="C1500">
        <v>1339.9758300999999</v>
      </c>
      <c r="D1500">
        <v>1337.2993164</v>
      </c>
      <c r="E1500">
        <v>1326.9448242000001</v>
      </c>
      <c r="F1500">
        <v>1325.1870117000001</v>
      </c>
      <c r="G1500">
        <v>80</v>
      </c>
      <c r="H1500">
        <v>79.973747252999999</v>
      </c>
      <c r="I1500">
        <v>50</v>
      </c>
      <c r="J1500">
        <v>49.317989349000001</v>
      </c>
      <c r="K1500">
        <v>2400</v>
      </c>
      <c r="L1500">
        <v>0</v>
      </c>
      <c r="M1500">
        <v>0</v>
      </c>
      <c r="N1500">
        <v>2400</v>
      </c>
    </row>
    <row r="1501" spans="1:14" x14ac:dyDescent="0.25">
      <c r="A1501">
        <v>740.20817199999999</v>
      </c>
      <c r="B1501" s="1">
        <f>DATE(2012,5,10) + TIME(4,59,46)</f>
        <v>41039.208171296297</v>
      </c>
      <c r="C1501">
        <v>1339.9683838000001</v>
      </c>
      <c r="D1501">
        <v>1337.2967529</v>
      </c>
      <c r="E1501">
        <v>1326.9429932</v>
      </c>
      <c r="F1501">
        <v>1325.1846923999999</v>
      </c>
      <c r="G1501">
        <v>80</v>
      </c>
      <c r="H1501">
        <v>79.973701477000006</v>
      </c>
      <c r="I1501">
        <v>50</v>
      </c>
      <c r="J1501">
        <v>49.303901672000002</v>
      </c>
      <c r="K1501">
        <v>2400</v>
      </c>
      <c r="L1501">
        <v>0</v>
      </c>
      <c r="M1501">
        <v>0</v>
      </c>
      <c r="N1501">
        <v>2400</v>
      </c>
    </row>
    <row r="1502" spans="1:14" x14ac:dyDescent="0.25">
      <c r="A1502">
        <v>740.44860400000005</v>
      </c>
      <c r="B1502" s="1">
        <f>DATE(2012,5,10) + TIME(10,45,59)</f>
        <v>41039.448599537034</v>
      </c>
      <c r="C1502">
        <v>1339.9609375</v>
      </c>
      <c r="D1502">
        <v>1337.2941894999999</v>
      </c>
      <c r="E1502">
        <v>1326.9411620999999</v>
      </c>
      <c r="F1502">
        <v>1325.182251</v>
      </c>
      <c r="G1502">
        <v>80</v>
      </c>
      <c r="H1502">
        <v>79.973655700999998</v>
      </c>
      <c r="I1502">
        <v>50</v>
      </c>
      <c r="J1502">
        <v>49.289546967</v>
      </c>
      <c r="K1502">
        <v>2400</v>
      </c>
      <c r="L1502">
        <v>0</v>
      </c>
      <c r="M1502">
        <v>0</v>
      </c>
      <c r="N1502">
        <v>2400</v>
      </c>
    </row>
    <row r="1503" spans="1:14" x14ac:dyDescent="0.25">
      <c r="A1503">
        <v>740.69576099999995</v>
      </c>
      <c r="B1503" s="1">
        <f>DATE(2012,5,10) + TIME(16,41,53)</f>
        <v>41039.695752314816</v>
      </c>
      <c r="C1503">
        <v>1339.9533690999999</v>
      </c>
      <c r="D1503">
        <v>1337.2917480000001</v>
      </c>
      <c r="E1503">
        <v>1326.9392089999999</v>
      </c>
      <c r="F1503">
        <v>1325.1795654</v>
      </c>
      <c r="G1503">
        <v>80</v>
      </c>
      <c r="H1503">
        <v>79.973617554</v>
      </c>
      <c r="I1503">
        <v>50</v>
      </c>
      <c r="J1503">
        <v>49.274898528999998</v>
      </c>
      <c r="K1503">
        <v>2400</v>
      </c>
      <c r="L1503">
        <v>0</v>
      </c>
      <c r="M1503">
        <v>0</v>
      </c>
      <c r="N1503">
        <v>2400</v>
      </c>
    </row>
    <row r="1504" spans="1:14" x14ac:dyDescent="0.25">
      <c r="A1504">
        <v>740.95080099999996</v>
      </c>
      <c r="B1504" s="1">
        <f>DATE(2012,5,10) + TIME(22,49,9)</f>
        <v>41039.950798611113</v>
      </c>
      <c r="C1504">
        <v>1339.9458007999999</v>
      </c>
      <c r="D1504">
        <v>1337.2891846</v>
      </c>
      <c r="E1504">
        <v>1326.9371338000001</v>
      </c>
      <c r="F1504">
        <v>1325.1768798999999</v>
      </c>
      <c r="G1504">
        <v>80</v>
      </c>
      <c r="H1504">
        <v>79.973571777000004</v>
      </c>
      <c r="I1504">
        <v>50</v>
      </c>
      <c r="J1504">
        <v>49.259895325000002</v>
      </c>
      <c r="K1504">
        <v>2400</v>
      </c>
      <c r="L1504">
        <v>0</v>
      </c>
      <c r="M1504">
        <v>0</v>
      </c>
      <c r="N1504">
        <v>2400</v>
      </c>
    </row>
    <row r="1505" spans="1:14" x14ac:dyDescent="0.25">
      <c r="A1505">
        <v>741.21034899999995</v>
      </c>
      <c r="B1505" s="1">
        <f>DATE(2012,5,11) + TIME(5,2,54)</f>
        <v>41040.210347222222</v>
      </c>
      <c r="C1505">
        <v>1339.9379882999999</v>
      </c>
      <c r="D1505">
        <v>1337.2866211</v>
      </c>
      <c r="E1505">
        <v>1326.9349365</v>
      </c>
      <c r="F1505">
        <v>1325.1740723</v>
      </c>
      <c r="G1505">
        <v>80</v>
      </c>
      <c r="H1505">
        <v>79.973526000999996</v>
      </c>
      <c r="I1505">
        <v>50</v>
      </c>
      <c r="J1505">
        <v>49.244693755999997</v>
      </c>
      <c r="K1505">
        <v>2400</v>
      </c>
      <c r="L1505">
        <v>0</v>
      </c>
      <c r="M1505">
        <v>0</v>
      </c>
      <c r="N1505">
        <v>2400</v>
      </c>
    </row>
    <row r="1506" spans="1:14" x14ac:dyDescent="0.25">
      <c r="A1506">
        <v>741.47504700000002</v>
      </c>
      <c r="B1506" s="1">
        <f>DATE(2012,5,11) + TIME(11,24,4)</f>
        <v>41040.475046296298</v>
      </c>
      <c r="C1506">
        <v>1339.9304199000001</v>
      </c>
      <c r="D1506">
        <v>1337.2840576000001</v>
      </c>
      <c r="E1506">
        <v>1326.9327393000001</v>
      </c>
      <c r="F1506">
        <v>1325.1712646000001</v>
      </c>
      <c r="G1506">
        <v>80</v>
      </c>
      <c r="H1506">
        <v>79.973472595000004</v>
      </c>
      <c r="I1506">
        <v>50</v>
      </c>
      <c r="J1506">
        <v>49.229270935000002</v>
      </c>
      <c r="K1506">
        <v>2400</v>
      </c>
      <c r="L1506">
        <v>0</v>
      </c>
      <c r="M1506">
        <v>0</v>
      </c>
      <c r="N1506">
        <v>2400</v>
      </c>
    </row>
    <row r="1507" spans="1:14" x14ac:dyDescent="0.25">
      <c r="A1507">
        <v>741.745496</v>
      </c>
      <c r="B1507" s="1">
        <f>DATE(2012,5,11) + TIME(17,53,30)</f>
        <v>41040.745486111111</v>
      </c>
      <c r="C1507">
        <v>1339.9227295000001</v>
      </c>
      <c r="D1507">
        <v>1337.2816161999999</v>
      </c>
      <c r="E1507">
        <v>1326.9304199000001</v>
      </c>
      <c r="F1507">
        <v>1325.1682129000001</v>
      </c>
      <c r="G1507">
        <v>80</v>
      </c>
      <c r="H1507">
        <v>79.973426818999997</v>
      </c>
      <c r="I1507">
        <v>50</v>
      </c>
      <c r="J1507">
        <v>49.213607787999997</v>
      </c>
      <c r="K1507">
        <v>2400</v>
      </c>
      <c r="L1507">
        <v>0</v>
      </c>
      <c r="M1507">
        <v>0</v>
      </c>
      <c r="N1507">
        <v>2400</v>
      </c>
    </row>
    <row r="1508" spans="1:14" x14ac:dyDescent="0.25">
      <c r="A1508">
        <v>742.02233999999999</v>
      </c>
      <c r="B1508" s="1">
        <f>DATE(2012,5,12) + TIME(0,32,10)</f>
        <v>41041.022337962961</v>
      </c>
      <c r="C1508">
        <v>1339.9150391000001</v>
      </c>
      <c r="D1508">
        <v>1337.2791748</v>
      </c>
      <c r="E1508">
        <v>1326.9281006000001</v>
      </c>
      <c r="F1508">
        <v>1325.1651611</v>
      </c>
      <c r="G1508">
        <v>80</v>
      </c>
      <c r="H1508">
        <v>79.973381042</v>
      </c>
      <c r="I1508">
        <v>50</v>
      </c>
      <c r="J1508">
        <v>49.197673797999997</v>
      </c>
      <c r="K1508">
        <v>2400</v>
      </c>
      <c r="L1508">
        <v>0</v>
      </c>
      <c r="M1508">
        <v>0</v>
      </c>
      <c r="N1508">
        <v>2400</v>
      </c>
    </row>
    <row r="1509" spans="1:14" x14ac:dyDescent="0.25">
      <c r="A1509">
        <v>742.30620399999998</v>
      </c>
      <c r="B1509" s="1">
        <f>DATE(2012,5,12) + TIME(7,20,56)</f>
        <v>41041.306203703702</v>
      </c>
      <c r="C1509">
        <v>1339.9073486</v>
      </c>
      <c r="D1509">
        <v>1337.2766113</v>
      </c>
      <c r="E1509">
        <v>1326.9256591999999</v>
      </c>
      <c r="F1509">
        <v>1325.1618652</v>
      </c>
      <c r="G1509">
        <v>80</v>
      </c>
      <c r="H1509">
        <v>79.973335266000007</v>
      </c>
      <c r="I1509">
        <v>50</v>
      </c>
      <c r="J1509">
        <v>49.181442261000001</v>
      </c>
      <c r="K1509">
        <v>2400</v>
      </c>
      <c r="L1509">
        <v>0</v>
      </c>
      <c r="M1509">
        <v>0</v>
      </c>
      <c r="N1509">
        <v>2400</v>
      </c>
    </row>
    <row r="1510" spans="1:14" x14ac:dyDescent="0.25">
      <c r="A1510">
        <v>742.59322599999996</v>
      </c>
      <c r="B1510" s="1">
        <f>DATE(2012,5,12) + TIME(14,14,14)</f>
        <v>41041.593217592592</v>
      </c>
      <c r="C1510">
        <v>1339.8996582</v>
      </c>
      <c r="D1510">
        <v>1337.2741699000001</v>
      </c>
      <c r="E1510">
        <v>1326.9230957</v>
      </c>
      <c r="F1510">
        <v>1325.1585693</v>
      </c>
      <c r="G1510">
        <v>80</v>
      </c>
      <c r="H1510">
        <v>79.97328186</v>
      </c>
      <c r="I1510">
        <v>50</v>
      </c>
      <c r="J1510">
        <v>49.165088654000002</v>
      </c>
      <c r="K1510">
        <v>2400</v>
      </c>
      <c r="L1510">
        <v>0</v>
      </c>
      <c r="M1510">
        <v>0</v>
      </c>
      <c r="N1510">
        <v>2400</v>
      </c>
    </row>
    <row r="1511" spans="1:14" x14ac:dyDescent="0.25">
      <c r="A1511">
        <v>742.88407900000004</v>
      </c>
      <c r="B1511" s="1">
        <f>DATE(2012,5,12) + TIME(21,13,4)</f>
        <v>41041.884074074071</v>
      </c>
      <c r="C1511">
        <v>1339.8919678</v>
      </c>
      <c r="D1511">
        <v>1337.2717285000001</v>
      </c>
      <c r="E1511">
        <v>1326.9205322</v>
      </c>
      <c r="F1511">
        <v>1325.1551514</v>
      </c>
      <c r="G1511">
        <v>80</v>
      </c>
      <c r="H1511">
        <v>79.973236084000007</v>
      </c>
      <c r="I1511">
        <v>50</v>
      </c>
      <c r="J1511">
        <v>49.148590087999999</v>
      </c>
      <c r="K1511">
        <v>2400</v>
      </c>
      <c r="L1511">
        <v>0</v>
      </c>
      <c r="M1511">
        <v>0</v>
      </c>
      <c r="N1511">
        <v>2400</v>
      </c>
    </row>
    <row r="1512" spans="1:14" x14ac:dyDescent="0.25">
      <c r="A1512">
        <v>743.17947800000002</v>
      </c>
      <c r="B1512" s="1">
        <f>DATE(2012,5,13) + TIME(4,18,26)</f>
        <v>41042.179467592592</v>
      </c>
      <c r="C1512">
        <v>1339.8843993999999</v>
      </c>
      <c r="D1512">
        <v>1337.2694091999999</v>
      </c>
      <c r="E1512">
        <v>1326.9178466999999</v>
      </c>
      <c r="F1512">
        <v>1325.1516113</v>
      </c>
      <c r="G1512">
        <v>80</v>
      </c>
      <c r="H1512">
        <v>79.973190308</v>
      </c>
      <c r="I1512">
        <v>50</v>
      </c>
      <c r="J1512">
        <v>49.131923676</v>
      </c>
      <c r="K1512">
        <v>2400</v>
      </c>
      <c r="L1512">
        <v>0</v>
      </c>
      <c r="M1512">
        <v>0</v>
      </c>
      <c r="N1512">
        <v>2400</v>
      </c>
    </row>
    <row r="1513" spans="1:14" x14ac:dyDescent="0.25">
      <c r="A1513">
        <v>743.48017900000002</v>
      </c>
      <c r="B1513" s="1">
        <f>DATE(2012,5,13) + TIME(11,31,27)</f>
        <v>41042.480173611111</v>
      </c>
      <c r="C1513">
        <v>1339.8768310999999</v>
      </c>
      <c r="D1513">
        <v>1337.2669678</v>
      </c>
      <c r="E1513">
        <v>1326.9151611</v>
      </c>
      <c r="F1513">
        <v>1325.1479492000001</v>
      </c>
      <c r="G1513">
        <v>80</v>
      </c>
      <c r="H1513">
        <v>79.973136901999993</v>
      </c>
      <c r="I1513">
        <v>50</v>
      </c>
      <c r="J1513">
        <v>49.115066528</v>
      </c>
      <c r="K1513">
        <v>2400</v>
      </c>
      <c r="L1513">
        <v>0</v>
      </c>
      <c r="M1513">
        <v>0</v>
      </c>
      <c r="N1513">
        <v>2400</v>
      </c>
    </row>
    <row r="1514" spans="1:14" x14ac:dyDescent="0.25">
      <c r="A1514">
        <v>743.78697799999998</v>
      </c>
      <c r="B1514" s="1">
        <f>DATE(2012,5,13) + TIME(18,53,14)</f>
        <v>41042.78696759259</v>
      </c>
      <c r="C1514">
        <v>1339.8693848</v>
      </c>
      <c r="D1514">
        <v>1337.2646483999999</v>
      </c>
      <c r="E1514">
        <v>1326.9123535000001</v>
      </c>
      <c r="F1514">
        <v>1325.1441649999999</v>
      </c>
      <c r="G1514">
        <v>80</v>
      </c>
      <c r="H1514">
        <v>79.973091124999996</v>
      </c>
      <c r="I1514">
        <v>50</v>
      </c>
      <c r="J1514">
        <v>49.097984314000001</v>
      </c>
      <c r="K1514">
        <v>2400</v>
      </c>
      <c r="L1514">
        <v>0</v>
      </c>
      <c r="M1514">
        <v>0</v>
      </c>
      <c r="N1514">
        <v>2400</v>
      </c>
    </row>
    <row r="1515" spans="1:14" x14ac:dyDescent="0.25">
      <c r="A1515">
        <v>744.10076700000002</v>
      </c>
      <c r="B1515" s="1">
        <f>DATE(2012,5,14) + TIME(2,25,6)</f>
        <v>41043.100763888891</v>
      </c>
      <c r="C1515">
        <v>1339.8619385</v>
      </c>
      <c r="D1515">
        <v>1337.2623291</v>
      </c>
      <c r="E1515">
        <v>1326.9094238</v>
      </c>
      <c r="F1515">
        <v>1325.1402588000001</v>
      </c>
      <c r="G1515">
        <v>80</v>
      </c>
      <c r="H1515">
        <v>79.973045349000003</v>
      </c>
      <c r="I1515">
        <v>50</v>
      </c>
      <c r="J1515">
        <v>49.080638884999999</v>
      </c>
      <c r="K1515">
        <v>2400</v>
      </c>
      <c r="L1515">
        <v>0</v>
      </c>
      <c r="M1515">
        <v>0</v>
      </c>
      <c r="N1515">
        <v>2400</v>
      </c>
    </row>
    <row r="1516" spans="1:14" x14ac:dyDescent="0.25">
      <c r="A1516">
        <v>744.42343600000004</v>
      </c>
      <c r="B1516" s="1">
        <f>DATE(2012,5,14) + TIME(10,9,44)</f>
        <v>41043.423425925925</v>
      </c>
      <c r="C1516">
        <v>1339.8543701000001</v>
      </c>
      <c r="D1516">
        <v>1337.2600098</v>
      </c>
      <c r="E1516">
        <v>1326.9063721</v>
      </c>
      <c r="F1516">
        <v>1325.1362305</v>
      </c>
      <c r="G1516">
        <v>80</v>
      </c>
      <c r="H1516">
        <v>79.972991942999997</v>
      </c>
      <c r="I1516">
        <v>50</v>
      </c>
      <c r="J1516">
        <v>49.062957763999997</v>
      </c>
      <c r="K1516">
        <v>2400</v>
      </c>
      <c r="L1516">
        <v>0</v>
      </c>
      <c r="M1516">
        <v>0</v>
      </c>
      <c r="N1516">
        <v>2400</v>
      </c>
    </row>
    <row r="1517" spans="1:14" x14ac:dyDescent="0.25">
      <c r="A1517">
        <v>744.74897199999998</v>
      </c>
      <c r="B1517" s="1">
        <f>DATE(2012,5,14) + TIME(17,58,31)</f>
        <v>41043.748969907407</v>
      </c>
      <c r="C1517">
        <v>1339.8469238</v>
      </c>
      <c r="D1517">
        <v>1337.2576904</v>
      </c>
      <c r="E1517">
        <v>1326.9033202999999</v>
      </c>
      <c r="F1517">
        <v>1325.1320800999999</v>
      </c>
      <c r="G1517">
        <v>80</v>
      </c>
      <c r="H1517">
        <v>79.972946167000003</v>
      </c>
      <c r="I1517">
        <v>50</v>
      </c>
      <c r="J1517">
        <v>49.045173644999998</v>
      </c>
      <c r="K1517">
        <v>2400</v>
      </c>
      <c r="L1517">
        <v>0</v>
      </c>
      <c r="M1517">
        <v>0</v>
      </c>
      <c r="N1517">
        <v>2400</v>
      </c>
    </row>
    <row r="1518" spans="1:14" x14ac:dyDescent="0.25">
      <c r="A1518">
        <v>745.07826</v>
      </c>
      <c r="B1518" s="1">
        <f>DATE(2012,5,15) + TIME(1,52,41)</f>
        <v>41044.078252314815</v>
      </c>
      <c r="C1518">
        <v>1339.8394774999999</v>
      </c>
      <c r="D1518">
        <v>1337.2553711</v>
      </c>
      <c r="E1518">
        <v>1326.9000243999999</v>
      </c>
      <c r="F1518">
        <v>1325.1276855000001</v>
      </c>
      <c r="G1518">
        <v>80</v>
      </c>
      <c r="H1518">
        <v>79.972892760999997</v>
      </c>
      <c r="I1518">
        <v>50</v>
      </c>
      <c r="J1518">
        <v>49.027271270999996</v>
      </c>
      <c r="K1518">
        <v>2400</v>
      </c>
      <c r="L1518">
        <v>0</v>
      </c>
      <c r="M1518">
        <v>0</v>
      </c>
      <c r="N1518">
        <v>2400</v>
      </c>
    </row>
    <row r="1519" spans="1:14" x14ac:dyDescent="0.25">
      <c r="A1519">
        <v>745.41211199999998</v>
      </c>
      <c r="B1519" s="1">
        <f>DATE(2012,5,15) + TIME(9,53,26)</f>
        <v>41044.412106481483</v>
      </c>
      <c r="C1519">
        <v>1339.8320312000001</v>
      </c>
      <c r="D1519">
        <v>1337.2531738</v>
      </c>
      <c r="E1519">
        <v>1326.8968506000001</v>
      </c>
      <c r="F1519">
        <v>1325.1232910000001</v>
      </c>
      <c r="G1519">
        <v>80</v>
      </c>
      <c r="H1519">
        <v>79.972846985000004</v>
      </c>
      <c r="I1519">
        <v>50</v>
      </c>
      <c r="J1519">
        <v>49.009223937999998</v>
      </c>
      <c r="K1519">
        <v>2400</v>
      </c>
      <c r="L1519">
        <v>0</v>
      </c>
      <c r="M1519">
        <v>0</v>
      </c>
      <c r="N1519">
        <v>2400</v>
      </c>
    </row>
    <row r="1520" spans="1:14" x14ac:dyDescent="0.25">
      <c r="A1520">
        <v>745.75127499999996</v>
      </c>
      <c r="B1520" s="1">
        <f>DATE(2012,5,15) + TIME(18,1,50)</f>
        <v>41044.751273148147</v>
      </c>
      <c r="C1520">
        <v>1339.8248291</v>
      </c>
      <c r="D1520">
        <v>1337.2509766000001</v>
      </c>
      <c r="E1520">
        <v>1326.8934326000001</v>
      </c>
      <c r="F1520">
        <v>1325.1187743999999</v>
      </c>
      <c r="G1520">
        <v>80</v>
      </c>
      <c r="H1520">
        <v>79.972801208000007</v>
      </c>
      <c r="I1520">
        <v>50</v>
      </c>
      <c r="J1520">
        <v>48.991008759000003</v>
      </c>
      <c r="K1520">
        <v>2400</v>
      </c>
      <c r="L1520">
        <v>0</v>
      </c>
      <c r="M1520">
        <v>0</v>
      </c>
      <c r="N1520">
        <v>2400</v>
      </c>
    </row>
    <row r="1521" spans="1:14" x14ac:dyDescent="0.25">
      <c r="A1521">
        <v>746.09661500000004</v>
      </c>
      <c r="B1521" s="1">
        <f>DATE(2012,5,16) + TIME(2,19,7)</f>
        <v>41045.096608796295</v>
      </c>
      <c r="C1521">
        <v>1339.8175048999999</v>
      </c>
      <c r="D1521">
        <v>1337.2487793</v>
      </c>
      <c r="E1521">
        <v>1326.8900146000001</v>
      </c>
      <c r="F1521">
        <v>1325.1141356999999</v>
      </c>
      <c r="G1521">
        <v>80</v>
      </c>
      <c r="H1521">
        <v>79.972755432</v>
      </c>
      <c r="I1521">
        <v>50</v>
      </c>
      <c r="J1521">
        <v>48.972595214999998</v>
      </c>
      <c r="K1521">
        <v>2400</v>
      </c>
      <c r="L1521">
        <v>0</v>
      </c>
      <c r="M1521">
        <v>0</v>
      </c>
      <c r="N1521">
        <v>2400</v>
      </c>
    </row>
    <row r="1522" spans="1:14" x14ac:dyDescent="0.25">
      <c r="A1522">
        <v>746.44906300000002</v>
      </c>
      <c r="B1522" s="1">
        <f>DATE(2012,5,16) + TIME(10,46,39)</f>
        <v>41045.449062500003</v>
      </c>
      <c r="C1522">
        <v>1339.8103027</v>
      </c>
      <c r="D1522">
        <v>1337.246582</v>
      </c>
      <c r="E1522">
        <v>1326.8864745999999</v>
      </c>
      <c r="F1522">
        <v>1325.1092529</v>
      </c>
      <c r="G1522">
        <v>80</v>
      </c>
      <c r="H1522">
        <v>79.972702025999993</v>
      </c>
      <c r="I1522">
        <v>50</v>
      </c>
      <c r="J1522">
        <v>48.953945160000004</v>
      </c>
      <c r="K1522">
        <v>2400</v>
      </c>
      <c r="L1522">
        <v>0</v>
      </c>
      <c r="M1522">
        <v>0</v>
      </c>
      <c r="N1522">
        <v>2400</v>
      </c>
    </row>
    <row r="1523" spans="1:14" x14ac:dyDescent="0.25">
      <c r="A1523">
        <v>746.80962399999999</v>
      </c>
      <c r="B1523" s="1">
        <f>DATE(2012,5,16) + TIME(19,25,51)</f>
        <v>41045.809618055559</v>
      </c>
      <c r="C1523">
        <v>1339.8031006000001</v>
      </c>
      <c r="D1523">
        <v>1337.2445068</v>
      </c>
      <c r="E1523">
        <v>1326.8828125</v>
      </c>
      <c r="F1523">
        <v>1325.1043701000001</v>
      </c>
      <c r="G1523">
        <v>80</v>
      </c>
      <c r="H1523">
        <v>79.97265625</v>
      </c>
      <c r="I1523">
        <v>50</v>
      </c>
      <c r="J1523">
        <v>48.935024261000002</v>
      </c>
      <c r="K1523">
        <v>2400</v>
      </c>
      <c r="L1523">
        <v>0</v>
      </c>
      <c r="M1523">
        <v>0</v>
      </c>
      <c r="N1523">
        <v>2400</v>
      </c>
    </row>
    <row r="1524" spans="1:14" x14ac:dyDescent="0.25">
      <c r="A1524">
        <v>747.18047799999999</v>
      </c>
      <c r="B1524" s="1">
        <f>DATE(2012,5,17) + TIME(4,19,53)</f>
        <v>41046.180474537039</v>
      </c>
      <c r="C1524">
        <v>1339.7958983999999</v>
      </c>
      <c r="D1524">
        <v>1337.2423096</v>
      </c>
      <c r="E1524">
        <v>1326.8790283000001</v>
      </c>
      <c r="F1524">
        <v>1325.0992432</v>
      </c>
      <c r="G1524">
        <v>80</v>
      </c>
      <c r="H1524">
        <v>79.972610474000007</v>
      </c>
      <c r="I1524">
        <v>50</v>
      </c>
      <c r="J1524">
        <v>48.915740966999998</v>
      </c>
      <c r="K1524">
        <v>2400</v>
      </c>
      <c r="L1524">
        <v>0</v>
      </c>
      <c r="M1524">
        <v>0</v>
      </c>
      <c r="N1524">
        <v>2400</v>
      </c>
    </row>
    <row r="1525" spans="1:14" x14ac:dyDescent="0.25">
      <c r="A1525">
        <v>747.56020000000001</v>
      </c>
      <c r="B1525" s="1">
        <f>DATE(2012,5,17) + TIME(13,26,41)</f>
        <v>41046.560196759259</v>
      </c>
      <c r="C1525">
        <v>1339.7885742000001</v>
      </c>
      <c r="D1525">
        <v>1337.2402344</v>
      </c>
      <c r="E1525">
        <v>1326.8751221</v>
      </c>
      <c r="F1525">
        <v>1325.0938721</v>
      </c>
      <c r="G1525">
        <v>80</v>
      </c>
      <c r="H1525">
        <v>79.972557068</v>
      </c>
      <c r="I1525">
        <v>50</v>
      </c>
      <c r="J1525">
        <v>48.896148682000003</v>
      </c>
      <c r="K1525">
        <v>2400</v>
      </c>
      <c r="L1525">
        <v>0</v>
      </c>
      <c r="M1525">
        <v>0</v>
      </c>
      <c r="N1525">
        <v>2400</v>
      </c>
    </row>
    <row r="1526" spans="1:14" x14ac:dyDescent="0.25">
      <c r="A1526">
        <v>747.95264299999997</v>
      </c>
      <c r="B1526" s="1">
        <f>DATE(2012,5,17) + TIME(22,51,48)</f>
        <v>41046.952638888892</v>
      </c>
      <c r="C1526">
        <v>1339.7813721</v>
      </c>
      <c r="D1526">
        <v>1337.2380370999999</v>
      </c>
      <c r="E1526">
        <v>1326.8709716999999</v>
      </c>
      <c r="F1526">
        <v>1325.0882568</v>
      </c>
      <c r="G1526">
        <v>80</v>
      </c>
      <c r="H1526">
        <v>79.972511291999993</v>
      </c>
      <c r="I1526">
        <v>50</v>
      </c>
      <c r="J1526">
        <v>48.876106262</v>
      </c>
      <c r="K1526">
        <v>2400</v>
      </c>
      <c r="L1526">
        <v>0</v>
      </c>
      <c r="M1526">
        <v>0</v>
      </c>
      <c r="N1526">
        <v>2400</v>
      </c>
    </row>
    <row r="1527" spans="1:14" x14ac:dyDescent="0.25">
      <c r="A1527">
        <v>748.35791600000005</v>
      </c>
      <c r="B1527" s="1">
        <f>DATE(2012,5,18) + TIME(8,35,23)</f>
        <v>41047.357905092591</v>
      </c>
      <c r="C1527">
        <v>1339.7739257999999</v>
      </c>
      <c r="D1527">
        <v>1337.2358397999999</v>
      </c>
      <c r="E1527">
        <v>1326.8668213000001</v>
      </c>
      <c r="F1527">
        <v>1325.0825195</v>
      </c>
      <c r="G1527">
        <v>80</v>
      </c>
      <c r="H1527">
        <v>79.972465514999996</v>
      </c>
      <c r="I1527">
        <v>50</v>
      </c>
      <c r="J1527">
        <v>48.855594635000003</v>
      </c>
      <c r="K1527">
        <v>2400</v>
      </c>
      <c r="L1527">
        <v>0</v>
      </c>
      <c r="M1527">
        <v>0</v>
      </c>
      <c r="N1527">
        <v>2400</v>
      </c>
    </row>
    <row r="1528" spans="1:14" x14ac:dyDescent="0.25">
      <c r="A1528">
        <v>748.76551500000005</v>
      </c>
      <c r="B1528" s="1">
        <f>DATE(2012,5,18) + TIME(18,22,20)</f>
        <v>41047.765509259261</v>
      </c>
      <c r="C1528">
        <v>1339.7664795000001</v>
      </c>
      <c r="D1528">
        <v>1337.2337646000001</v>
      </c>
      <c r="E1528">
        <v>1326.8624268000001</v>
      </c>
      <c r="F1528">
        <v>1325.0764160000001</v>
      </c>
      <c r="G1528">
        <v>80</v>
      </c>
      <c r="H1528">
        <v>79.972412109000004</v>
      </c>
      <c r="I1528">
        <v>50</v>
      </c>
      <c r="J1528">
        <v>48.834976196</v>
      </c>
      <c r="K1528">
        <v>2400</v>
      </c>
      <c r="L1528">
        <v>0</v>
      </c>
      <c r="M1528">
        <v>0</v>
      </c>
      <c r="N1528">
        <v>2400</v>
      </c>
    </row>
    <row r="1529" spans="1:14" x14ac:dyDescent="0.25">
      <c r="A1529">
        <v>749.17680199999995</v>
      </c>
      <c r="B1529" s="1">
        <f>DATE(2012,5,19) + TIME(4,14,35)</f>
        <v>41048.176793981482</v>
      </c>
      <c r="C1529">
        <v>1339.7592772999999</v>
      </c>
      <c r="D1529">
        <v>1337.2315673999999</v>
      </c>
      <c r="E1529">
        <v>1326.8579102000001</v>
      </c>
      <c r="F1529">
        <v>1325.0703125</v>
      </c>
      <c r="G1529">
        <v>80</v>
      </c>
      <c r="H1529">
        <v>79.972366332999997</v>
      </c>
      <c r="I1529">
        <v>50</v>
      </c>
      <c r="J1529">
        <v>48.814250946000001</v>
      </c>
      <c r="K1529">
        <v>2400</v>
      </c>
      <c r="L1529">
        <v>0</v>
      </c>
      <c r="M1529">
        <v>0</v>
      </c>
      <c r="N1529">
        <v>2400</v>
      </c>
    </row>
    <row r="1530" spans="1:14" x14ac:dyDescent="0.25">
      <c r="A1530">
        <v>749.59277099999997</v>
      </c>
      <c r="B1530" s="1">
        <f>DATE(2012,5,19) + TIME(14,13,35)</f>
        <v>41048.592766203707</v>
      </c>
      <c r="C1530">
        <v>1339.7520752</v>
      </c>
      <c r="D1530">
        <v>1337.2294922000001</v>
      </c>
      <c r="E1530">
        <v>1326.8532714999999</v>
      </c>
      <c r="F1530">
        <v>1325.0639647999999</v>
      </c>
      <c r="G1530">
        <v>80</v>
      </c>
      <c r="H1530">
        <v>79.972312927000004</v>
      </c>
      <c r="I1530">
        <v>50</v>
      </c>
      <c r="J1530">
        <v>48.793399811</v>
      </c>
      <c r="K1530">
        <v>2400</v>
      </c>
      <c r="L1530">
        <v>0</v>
      </c>
      <c r="M1530">
        <v>0</v>
      </c>
      <c r="N1530">
        <v>2400</v>
      </c>
    </row>
    <row r="1531" spans="1:14" x14ac:dyDescent="0.25">
      <c r="A1531">
        <v>750.01463100000001</v>
      </c>
      <c r="B1531" s="1">
        <f>DATE(2012,5,20) + TIME(0,21,4)</f>
        <v>41049.01462962963</v>
      </c>
      <c r="C1531">
        <v>1339.7448730000001</v>
      </c>
      <c r="D1531">
        <v>1337.2274170000001</v>
      </c>
      <c r="E1531">
        <v>1326.8486327999999</v>
      </c>
      <c r="F1531">
        <v>1325.0574951000001</v>
      </c>
      <c r="G1531">
        <v>80</v>
      </c>
      <c r="H1531">
        <v>79.972267150999997</v>
      </c>
      <c r="I1531">
        <v>50</v>
      </c>
      <c r="J1531">
        <v>48.772399901999997</v>
      </c>
      <c r="K1531">
        <v>2400</v>
      </c>
      <c r="L1531">
        <v>0</v>
      </c>
      <c r="M1531">
        <v>0</v>
      </c>
      <c r="N1531">
        <v>2400</v>
      </c>
    </row>
    <row r="1532" spans="1:14" x14ac:dyDescent="0.25">
      <c r="A1532">
        <v>750.44363399999997</v>
      </c>
      <c r="B1532" s="1">
        <f>DATE(2012,5,20) + TIME(10,38,49)</f>
        <v>41049.443622685183</v>
      </c>
      <c r="C1532">
        <v>1339.737793</v>
      </c>
      <c r="D1532">
        <v>1337.2254639</v>
      </c>
      <c r="E1532">
        <v>1326.84375</v>
      </c>
      <c r="F1532">
        <v>1325.0509033000001</v>
      </c>
      <c r="G1532">
        <v>80</v>
      </c>
      <c r="H1532">
        <v>79.972221375000004</v>
      </c>
      <c r="I1532">
        <v>50</v>
      </c>
      <c r="J1532">
        <v>48.751216888000002</v>
      </c>
      <c r="K1532">
        <v>2400</v>
      </c>
      <c r="L1532">
        <v>0</v>
      </c>
      <c r="M1532">
        <v>0</v>
      </c>
      <c r="N1532">
        <v>2400</v>
      </c>
    </row>
    <row r="1533" spans="1:14" x14ac:dyDescent="0.25">
      <c r="A1533">
        <v>750.88124100000005</v>
      </c>
      <c r="B1533" s="1">
        <f>DATE(2012,5,20) + TIME(21,8,59)</f>
        <v>41049.881238425929</v>
      </c>
      <c r="C1533">
        <v>1339.7308350000001</v>
      </c>
      <c r="D1533">
        <v>1337.2233887</v>
      </c>
      <c r="E1533">
        <v>1326.8388672000001</v>
      </c>
      <c r="F1533">
        <v>1325.0440673999999</v>
      </c>
      <c r="G1533">
        <v>80</v>
      </c>
      <c r="H1533">
        <v>79.972175598000007</v>
      </c>
      <c r="I1533">
        <v>50</v>
      </c>
      <c r="J1533">
        <v>48.729793549</v>
      </c>
      <c r="K1533">
        <v>2400</v>
      </c>
      <c r="L1533">
        <v>0</v>
      </c>
      <c r="M1533">
        <v>0</v>
      </c>
      <c r="N1533">
        <v>2400</v>
      </c>
    </row>
    <row r="1534" spans="1:14" x14ac:dyDescent="0.25">
      <c r="A1534">
        <v>751.32900700000005</v>
      </c>
      <c r="B1534" s="1">
        <f>DATE(2012,5,21) + TIME(7,53,46)</f>
        <v>41050.329004629632</v>
      </c>
      <c r="C1534">
        <v>1339.7237548999999</v>
      </c>
      <c r="D1534">
        <v>1337.2214355000001</v>
      </c>
      <c r="E1534">
        <v>1326.8337402</v>
      </c>
      <c r="F1534">
        <v>1325.0369873</v>
      </c>
      <c r="G1534">
        <v>80</v>
      </c>
      <c r="H1534">
        <v>79.972129821999999</v>
      </c>
      <c r="I1534">
        <v>50</v>
      </c>
      <c r="J1534">
        <v>48.708080291999998</v>
      </c>
      <c r="K1534">
        <v>2400</v>
      </c>
      <c r="L1534">
        <v>0</v>
      </c>
      <c r="M1534">
        <v>0</v>
      </c>
      <c r="N1534">
        <v>2400</v>
      </c>
    </row>
    <row r="1535" spans="1:14" x14ac:dyDescent="0.25">
      <c r="A1535">
        <v>751.79048999999998</v>
      </c>
      <c r="B1535" s="1">
        <f>DATE(2012,5,21) + TIME(18,58,18)</f>
        <v>41050.790486111109</v>
      </c>
      <c r="C1535">
        <v>1339.7167969</v>
      </c>
      <c r="D1535">
        <v>1337.2193603999999</v>
      </c>
      <c r="E1535">
        <v>1326.8286132999999</v>
      </c>
      <c r="F1535">
        <v>1325.0297852000001</v>
      </c>
      <c r="G1535">
        <v>80</v>
      </c>
      <c r="H1535">
        <v>79.972076415999993</v>
      </c>
      <c r="I1535">
        <v>50</v>
      </c>
      <c r="J1535">
        <v>48.685958862</v>
      </c>
      <c r="K1535">
        <v>2400</v>
      </c>
      <c r="L1535">
        <v>0</v>
      </c>
      <c r="M1535">
        <v>0</v>
      </c>
      <c r="N1535">
        <v>2400</v>
      </c>
    </row>
    <row r="1536" spans="1:14" x14ac:dyDescent="0.25">
      <c r="A1536">
        <v>752.25915099999997</v>
      </c>
      <c r="B1536" s="1">
        <f>DATE(2012,5,22) + TIME(6,13,10)</f>
        <v>41051.259143518517</v>
      </c>
      <c r="C1536">
        <v>1339.7097168</v>
      </c>
      <c r="D1536">
        <v>1337.2174072</v>
      </c>
      <c r="E1536">
        <v>1326.8231201000001</v>
      </c>
      <c r="F1536">
        <v>1325.0222168</v>
      </c>
      <c r="G1536">
        <v>80</v>
      </c>
      <c r="H1536">
        <v>79.97203064</v>
      </c>
      <c r="I1536">
        <v>50</v>
      </c>
      <c r="J1536">
        <v>48.663604736000003</v>
      </c>
      <c r="K1536">
        <v>2400</v>
      </c>
      <c r="L1536">
        <v>0</v>
      </c>
      <c r="M1536">
        <v>0</v>
      </c>
      <c r="N1536">
        <v>2400</v>
      </c>
    </row>
    <row r="1537" spans="1:14" x14ac:dyDescent="0.25">
      <c r="A1537">
        <v>752.73094500000002</v>
      </c>
      <c r="B1537" s="1">
        <f>DATE(2012,5,22) + TIME(17,32,33)</f>
        <v>41051.730937499997</v>
      </c>
      <c r="C1537">
        <v>1339.7026367000001</v>
      </c>
      <c r="D1537">
        <v>1337.215332</v>
      </c>
      <c r="E1537">
        <v>1326.8175048999999</v>
      </c>
      <c r="F1537">
        <v>1325.0145264</v>
      </c>
      <c r="G1537">
        <v>80</v>
      </c>
      <c r="H1537">
        <v>79.971984863000003</v>
      </c>
      <c r="I1537">
        <v>50</v>
      </c>
      <c r="J1537">
        <v>48.641178130999997</v>
      </c>
      <c r="K1537">
        <v>2400</v>
      </c>
      <c r="L1537">
        <v>0</v>
      </c>
      <c r="M1537">
        <v>0</v>
      </c>
      <c r="N1537">
        <v>2400</v>
      </c>
    </row>
    <row r="1538" spans="1:14" x14ac:dyDescent="0.25">
      <c r="A1538">
        <v>753.20723099999998</v>
      </c>
      <c r="B1538" s="1">
        <f>DATE(2012,5,23) + TIME(4,58,24)</f>
        <v>41052.20722222222</v>
      </c>
      <c r="C1538">
        <v>1339.6956786999999</v>
      </c>
      <c r="D1538">
        <v>1337.2133789</v>
      </c>
      <c r="E1538">
        <v>1326.8118896000001</v>
      </c>
      <c r="F1538">
        <v>1325.0065918</v>
      </c>
      <c r="G1538">
        <v>80</v>
      </c>
      <c r="H1538">
        <v>79.971939086999996</v>
      </c>
      <c r="I1538">
        <v>50</v>
      </c>
      <c r="J1538">
        <v>48.618659973</v>
      </c>
      <c r="K1538">
        <v>2400</v>
      </c>
      <c r="L1538">
        <v>0</v>
      </c>
      <c r="M1538">
        <v>0</v>
      </c>
      <c r="N1538">
        <v>2400</v>
      </c>
    </row>
    <row r="1539" spans="1:14" x14ac:dyDescent="0.25">
      <c r="A1539">
        <v>753.68946500000004</v>
      </c>
      <c r="B1539" s="1">
        <f>DATE(2012,5,23) + TIME(16,32,49)</f>
        <v>41052.689456018517</v>
      </c>
      <c r="C1539">
        <v>1339.6888428</v>
      </c>
      <c r="D1539">
        <v>1337.2114257999999</v>
      </c>
      <c r="E1539">
        <v>1326.8061522999999</v>
      </c>
      <c r="F1539">
        <v>1324.9985352000001</v>
      </c>
      <c r="G1539">
        <v>80</v>
      </c>
      <c r="H1539">
        <v>79.971893311000002</v>
      </c>
      <c r="I1539">
        <v>50</v>
      </c>
      <c r="J1539">
        <v>48.596031189000001</v>
      </c>
      <c r="K1539">
        <v>2400</v>
      </c>
      <c r="L1539">
        <v>0</v>
      </c>
      <c r="M1539">
        <v>0</v>
      </c>
      <c r="N1539">
        <v>2400</v>
      </c>
    </row>
    <row r="1540" spans="1:14" x14ac:dyDescent="0.25">
      <c r="A1540">
        <v>754.17925000000002</v>
      </c>
      <c r="B1540" s="1">
        <f>DATE(2012,5,24) + TIME(4,18,7)</f>
        <v>41053.179247685184</v>
      </c>
      <c r="C1540">
        <v>1339.6820068</v>
      </c>
      <c r="D1540">
        <v>1337.2094727000001</v>
      </c>
      <c r="E1540">
        <v>1326.8001709</v>
      </c>
      <c r="F1540">
        <v>1324.9903564000001</v>
      </c>
      <c r="G1540">
        <v>80</v>
      </c>
      <c r="H1540">
        <v>79.971847534000005</v>
      </c>
      <c r="I1540">
        <v>50</v>
      </c>
      <c r="J1540">
        <v>48.573246001999998</v>
      </c>
      <c r="K1540">
        <v>2400</v>
      </c>
      <c r="L1540">
        <v>0</v>
      </c>
      <c r="M1540">
        <v>0</v>
      </c>
      <c r="N1540">
        <v>2400</v>
      </c>
    </row>
    <row r="1541" spans="1:14" x14ac:dyDescent="0.25">
      <c r="A1541">
        <v>754.67811400000005</v>
      </c>
      <c r="B1541" s="1">
        <f>DATE(2012,5,24) + TIME(16,16,29)</f>
        <v>41053.678113425929</v>
      </c>
      <c r="C1541">
        <v>1339.675293</v>
      </c>
      <c r="D1541">
        <v>1337.2076416</v>
      </c>
      <c r="E1541">
        <v>1326.7941894999999</v>
      </c>
      <c r="F1541">
        <v>1324.9819336</v>
      </c>
      <c r="G1541">
        <v>80</v>
      </c>
      <c r="H1541">
        <v>79.971801757999998</v>
      </c>
      <c r="I1541">
        <v>50</v>
      </c>
      <c r="J1541">
        <v>48.550258636000002</v>
      </c>
      <c r="K1541">
        <v>2400</v>
      </c>
      <c r="L1541">
        <v>0</v>
      </c>
      <c r="M1541">
        <v>0</v>
      </c>
      <c r="N1541">
        <v>2400</v>
      </c>
    </row>
    <row r="1542" spans="1:14" x14ac:dyDescent="0.25">
      <c r="A1542">
        <v>755.18773899999997</v>
      </c>
      <c r="B1542" s="1">
        <f>DATE(2012,5,25) + TIME(4,30,20)</f>
        <v>41054.187731481485</v>
      </c>
      <c r="C1542">
        <v>1339.668457</v>
      </c>
      <c r="D1542">
        <v>1337.2056885</v>
      </c>
      <c r="E1542">
        <v>1326.7879639</v>
      </c>
      <c r="F1542">
        <v>1324.9732666</v>
      </c>
      <c r="G1542">
        <v>80</v>
      </c>
      <c r="H1542">
        <v>79.971755981000001</v>
      </c>
      <c r="I1542">
        <v>50</v>
      </c>
      <c r="J1542">
        <v>48.527008057000003</v>
      </c>
      <c r="K1542">
        <v>2400</v>
      </c>
      <c r="L1542">
        <v>0</v>
      </c>
      <c r="M1542">
        <v>0</v>
      </c>
      <c r="N1542">
        <v>2400</v>
      </c>
    </row>
    <row r="1543" spans="1:14" x14ac:dyDescent="0.25">
      <c r="A1543">
        <v>755.71207300000003</v>
      </c>
      <c r="B1543" s="1">
        <f>DATE(2012,5,25) + TIME(17,5,23)</f>
        <v>41054.712071759262</v>
      </c>
      <c r="C1543">
        <v>1339.6617432</v>
      </c>
      <c r="D1543">
        <v>1337.2037353999999</v>
      </c>
      <c r="E1543">
        <v>1326.7816161999999</v>
      </c>
      <c r="F1543">
        <v>1324.9643555</v>
      </c>
      <c r="G1543">
        <v>80</v>
      </c>
      <c r="H1543">
        <v>79.971710204999994</v>
      </c>
      <c r="I1543">
        <v>50</v>
      </c>
      <c r="J1543">
        <v>48.503368377999998</v>
      </c>
      <c r="K1543">
        <v>2400</v>
      </c>
      <c r="L1543">
        <v>0</v>
      </c>
      <c r="M1543">
        <v>0</v>
      </c>
      <c r="N1543">
        <v>2400</v>
      </c>
    </row>
    <row r="1544" spans="1:14" x14ac:dyDescent="0.25">
      <c r="A1544">
        <v>756.25706100000002</v>
      </c>
      <c r="B1544" s="1">
        <f>DATE(2012,5,26) + TIME(6,10,10)</f>
        <v>41055.257060185184</v>
      </c>
      <c r="C1544">
        <v>1339.6549072</v>
      </c>
      <c r="D1544">
        <v>1337.2016602000001</v>
      </c>
      <c r="E1544">
        <v>1326.7750243999999</v>
      </c>
      <c r="F1544">
        <v>1324.9550781</v>
      </c>
      <c r="G1544">
        <v>80</v>
      </c>
      <c r="H1544">
        <v>79.971672057999996</v>
      </c>
      <c r="I1544">
        <v>50</v>
      </c>
      <c r="J1544">
        <v>48.479156494000001</v>
      </c>
      <c r="K1544">
        <v>2400</v>
      </c>
      <c r="L1544">
        <v>0</v>
      </c>
      <c r="M1544">
        <v>0</v>
      </c>
      <c r="N1544">
        <v>2400</v>
      </c>
    </row>
    <row r="1545" spans="1:14" x14ac:dyDescent="0.25">
      <c r="A1545">
        <v>756.82599600000003</v>
      </c>
      <c r="B1545" s="1">
        <f>DATE(2012,5,26) + TIME(19,49,26)</f>
        <v>41055.825995370367</v>
      </c>
      <c r="C1545">
        <v>1339.6479492000001</v>
      </c>
      <c r="D1545">
        <v>1337.199707</v>
      </c>
      <c r="E1545">
        <v>1326.7680664</v>
      </c>
      <c r="F1545">
        <v>1324.9453125</v>
      </c>
      <c r="G1545">
        <v>80</v>
      </c>
      <c r="H1545">
        <v>79.971626282000003</v>
      </c>
      <c r="I1545">
        <v>50</v>
      </c>
      <c r="J1545">
        <v>48.454231262</v>
      </c>
      <c r="K1545">
        <v>2400</v>
      </c>
      <c r="L1545">
        <v>0</v>
      </c>
      <c r="M1545">
        <v>0</v>
      </c>
      <c r="N1545">
        <v>2400</v>
      </c>
    </row>
    <row r="1546" spans="1:14" x14ac:dyDescent="0.25">
      <c r="A1546">
        <v>757.40744099999995</v>
      </c>
      <c r="B1546" s="1">
        <f>DATE(2012,5,27) + TIME(9,46,42)</f>
        <v>41056.407430555555</v>
      </c>
      <c r="C1546">
        <v>1339.6408690999999</v>
      </c>
      <c r="D1546">
        <v>1337.1976318</v>
      </c>
      <c r="E1546">
        <v>1326.7608643000001</v>
      </c>
      <c r="F1546">
        <v>1324.9351807</v>
      </c>
      <c r="G1546">
        <v>80</v>
      </c>
      <c r="H1546">
        <v>79.971580505000006</v>
      </c>
      <c r="I1546">
        <v>50</v>
      </c>
      <c r="J1546">
        <v>48.428863524999997</v>
      </c>
      <c r="K1546">
        <v>2400</v>
      </c>
      <c r="L1546">
        <v>0</v>
      </c>
      <c r="M1546">
        <v>0</v>
      </c>
      <c r="N1546">
        <v>2400</v>
      </c>
    </row>
    <row r="1547" spans="1:14" x14ac:dyDescent="0.25">
      <c r="A1547">
        <v>757.991491</v>
      </c>
      <c r="B1547" s="1">
        <f>DATE(2012,5,27) + TIME(23,47,44)</f>
        <v>41056.991481481484</v>
      </c>
      <c r="C1547">
        <v>1339.6336670000001</v>
      </c>
      <c r="D1547">
        <v>1337.1955565999999</v>
      </c>
      <c r="E1547">
        <v>1326.753418</v>
      </c>
      <c r="F1547">
        <v>1324.9246826000001</v>
      </c>
      <c r="G1547">
        <v>80</v>
      </c>
      <c r="H1547">
        <v>79.971534728999998</v>
      </c>
      <c r="I1547">
        <v>50</v>
      </c>
      <c r="J1547">
        <v>48.403354645</v>
      </c>
      <c r="K1547">
        <v>2400</v>
      </c>
      <c r="L1547">
        <v>0</v>
      </c>
      <c r="M1547">
        <v>0</v>
      </c>
      <c r="N1547">
        <v>2400</v>
      </c>
    </row>
    <row r="1548" spans="1:14" x14ac:dyDescent="0.25">
      <c r="A1548">
        <v>758.58028200000001</v>
      </c>
      <c r="B1548" s="1">
        <f>DATE(2012,5,28) + TIME(13,55,36)</f>
        <v>41057.580277777779</v>
      </c>
      <c r="C1548">
        <v>1339.6267089999999</v>
      </c>
      <c r="D1548">
        <v>1337.1934814000001</v>
      </c>
      <c r="E1548">
        <v>1326.7458495999999</v>
      </c>
      <c r="F1548">
        <v>1324.9140625</v>
      </c>
      <c r="G1548">
        <v>80</v>
      </c>
      <c r="H1548">
        <v>79.971488953000005</v>
      </c>
      <c r="I1548">
        <v>50</v>
      </c>
      <c r="J1548">
        <v>48.377750397</v>
      </c>
      <c r="K1548">
        <v>2400</v>
      </c>
      <c r="L1548">
        <v>0</v>
      </c>
      <c r="M1548">
        <v>0</v>
      </c>
      <c r="N1548">
        <v>2400</v>
      </c>
    </row>
    <row r="1549" spans="1:14" x14ac:dyDescent="0.25">
      <c r="A1549">
        <v>759.17601200000001</v>
      </c>
      <c r="B1549" s="1">
        <f>DATE(2012,5,29) + TIME(4,13,27)</f>
        <v>41058.176006944443</v>
      </c>
      <c r="C1549">
        <v>1339.6198730000001</v>
      </c>
      <c r="D1549">
        <v>1337.1914062000001</v>
      </c>
      <c r="E1549">
        <v>1326.7381591999999</v>
      </c>
      <c r="F1549">
        <v>1324.9033202999999</v>
      </c>
      <c r="G1549">
        <v>80</v>
      </c>
      <c r="H1549">
        <v>79.971443175999994</v>
      </c>
      <c r="I1549">
        <v>50</v>
      </c>
      <c r="J1549">
        <v>48.352035522000001</v>
      </c>
      <c r="K1549">
        <v>2400</v>
      </c>
      <c r="L1549">
        <v>0</v>
      </c>
      <c r="M1549">
        <v>0</v>
      </c>
      <c r="N1549">
        <v>2400</v>
      </c>
    </row>
    <row r="1550" spans="1:14" x14ac:dyDescent="0.25">
      <c r="A1550">
        <v>759.78068599999995</v>
      </c>
      <c r="B1550" s="1">
        <f>DATE(2012,5,29) + TIME(18,44,11)</f>
        <v>41058.780682870369</v>
      </c>
      <c r="C1550">
        <v>1339.6130370999999</v>
      </c>
      <c r="D1550">
        <v>1337.1894531</v>
      </c>
      <c r="E1550">
        <v>1326.7303466999999</v>
      </c>
      <c r="F1550">
        <v>1324.8922118999999</v>
      </c>
      <c r="G1550">
        <v>80</v>
      </c>
      <c r="H1550">
        <v>79.971397400000001</v>
      </c>
      <c r="I1550">
        <v>50</v>
      </c>
      <c r="J1550">
        <v>48.326175689999999</v>
      </c>
      <c r="K1550">
        <v>2400</v>
      </c>
      <c r="L1550">
        <v>0</v>
      </c>
      <c r="M1550">
        <v>0</v>
      </c>
      <c r="N1550">
        <v>2400</v>
      </c>
    </row>
    <row r="1551" spans="1:14" x14ac:dyDescent="0.25">
      <c r="A1551">
        <v>760.39665600000001</v>
      </c>
      <c r="B1551" s="1">
        <f>DATE(2012,5,30) + TIME(9,31,11)</f>
        <v>41059.396655092591</v>
      </c>
      <c r="C1551">
        <v>1339.6062012</v>
      </c>
      <c r="D1551">
        <v>1337.1875</v>
      </c>
      <c r="E1551">
        <v>1326.7224120999999</v>
      </c>
      <c r="F1551">
        <v>1324.8809814000001</v>
      </c>
      <c r="G1551">
        <v>80</v>
      </c>
      <c r="H1551">
        <v>79.971351623999993</v>
      </c>
      <c r="I1551">
        <v>50</v>
      </c>
      <c r="J1551">
        <v>48.300106049</v>
      </c>
      <c r="K1551">
        <v>2400</v>
      </c>
      <c r="L1551">
        <v>0</v>
      </c>
      <c r="M1551">
        <v>0</v>
      </c>
      <c r="N1551">
        <v>2400</v>
      </c>
    </row>
    <row r="1552" spans="1:14" x14ac:dyDescent="0.25">
      <c r="A1552">
        <v>761.026163</v>
      </c>
      <c r="B1552" s="1">
        <f>DATE(2012,5,31) + TIME(0,37,40)</f>
        <v>41060.02615740741</v>
      </c>
      <c r="C1552">
        <v>1339.5994873</v>
      </c>
      <c r="D1552">
        <v>1337.1854248</v>
      </c>
      <c r="E1552">
        <v>1326.7142334</v>
      </c>
      <c r="F1552">
        <v>1324.8693848</v>
      </c>
      <c r="G1552">
        <v>80</v>
      </c>
      <c r="H1552">
        <v>79.971313476999995</v>
      </c>
      <c r="I1552">
        <v>50</v>
      </c>
      <c r="J1552">
        <v>48.273765564000001</v>
      </c>
      <c r="K1552">
        <v>2400</v>
      </c>
      <c r="L1552">
        <v>0</v>
      </c>
      <c r="M1552">
        <v>0</v>
      </c>
      <c r="N1552">
        <v>2400</v>
      </c>
    </row>
    <row r="1553" spans="1:14" x14ac:dyDescent="0.25">
      <c r="A1553">
        <v>761.67163400000004</v>
      </c>
      <c r="B1553" s="1">
        <f>DATE(2012,5,31) + TIME(16,7,9)</f>
        <v>41060.671631944446</v>
      </c>
      <c r="C1553">
        <v>1339.5926514</v>
      </c>
      <c r="D1553">
        <v>1337.1834716999999</v>
      </c>
      <c r="E1553">
        <v>1326.7058105000001</v>
      </c>
      <c r="F1553">
        <v>1324.8574219</v>
      </c>
      <c r="G1553">
        <v>80</v>
      </c>
      <c r="H1553">
        <v>79.971267699999999</v>
      </c>
      <c r="I1553">
        <v>50</v>
      </c>
      <c r="J1553">
        <v>48.247074126999998</v>
      </c>
      <c r="K1553">
        <v>2400</v>
      </c>
      <c r="L1553">
        <v>0</v>
      </c>
      <c r="M1553">
        <v>0</v>
      </c>
      <c r="N1553">
        <v>2400</v>
      </c>
    </row>
    <row r="1554" spans="1:14" x14ac:dyDescent="0.25">
      <c r="A1554">
        <v>762</v>
      </c>
      <c r="B1554" s="1">
        <f>DATE(2012,6,1) + TIME(0,0,0)</f>
        <v>41061</v>
      </c>
      <c r="C1554">
        <v>1339.5859375</v>
      </c>
      <c r="D1554">
        <v>1337.1813964999999</v>
      </c>
      <c r="E1554">
        <v>1326.6976318</v>
      </c>
      <c r="F1554">
        <v>1324.8463135</v>
      </c>
      <c r="G1554">
        <v>80</v>
      </c>
      <c r="H1554">
        <v>79.971237183</v>
      </c>
      <c r="I1554">
        <v>50</v>
      </c>
      <c r="J1554">
        <v>48.229972838999998</v>
      </c>
      <c r="K1554">
        <v>2400</v>
      </c>
      <c r="L1554">
        <v>0</v>
      </c>
      <c r="M1554">
        <v>0</v>
      </c>
      <c r="N1554">
        <v>2400</v>
      </c>
    </row>
    <row r="1555" spans="1:14" x14ac:dyDescent="0.25">
      <c r="A1555">
        <v>762.65812700000004</v>
      </c>
      <c r="B1555" s="1">
        <f>DATE(2012,6,1) + TIME(15,47,42)</f>
        <v>41061.658125000002</v>
      </c>
      <c r="C1555">
        <v>1339.5825195</v>
      </c>
      <c r="D1555">
        <v>1337.1802978999999</v>
      </c>
      <c r="E1555">
        <v>1326.6922606999999</v>
      </c>
      <c r="F1555">
        <v>1324.8381348</v>
      </c>
      <c r="G1555">
        <v>80</v>
      </c>
      <c r="H1555">
        <v>79.971199036000002</v>
      </c>
      <c r="I1555">
        <v>50</v>
      </c>
      <c r="J1555">
        <v>48.204528809000003</v>
      </c>
      <c r="K1555">
        <v>2400</v>
      </c>
      <c r="L1555">
        <v>0</v>
      </c>
      <c r="M1555">
        <v>0</v>
      </c>
      <c r="N1555">
        <v>2400</v>
      </c>
    </row>
    <row r="1556" spans="1:14" x14ac:dyDescent="0.25">
      <c r="A1556">
        <v>763.32786399999998</v>
      </c>
      <c r="B1556" s="1">
        <f>DATE(2012,6,2) + TIME(7,52,7)</f>
        <v>41062.3278587963</v>
      </c>
      <c r="C1556">
        <v>1339.5754394999999</v>
      </c>
      <c r="D1556">
        <v>1337.1781006000001</v>
      </c>
      <c r="E1556">
        <v>1326.6835937999999</v>
      </c>
      <c r="F1556">
        <v>1324.8258057</v>
      </c>
      <c r="G1556">
        <v>80</v>
      </c>
      <c r="H1556">
        <v>79.971160889000004</v>
      </c>
      <c r="I1556">
        <v>50</v>
      </c>
      <c r="J1556">
        <v>48.178230286000002</v>
      </c>
      <c r="K1556">
        <v>2400</v>
      </c>
      <c r="L1556">
        <v>0</v>
      </c>
      <c r="M1556">
        <v>0</v>
      </c>
      <c r="N1556">
        <v>2400</v>
      </c>
    </row>
    <row r="1557" spans="1:14" x14ac:dyDescent="0.25">
      <c r="A1557">
        <v>764.008015</v>
      </c>
      <c r="B1557" s="1">
        <f>DATE(2012,6,3) + TIME(0,11,32)</f>
        <v>41063.008009259262</v>
      </c>
      <c r="C1557">
        <v>1339.5683594</v>
      </c>
      <c r="D1557">
        <v>1337.1757812000001</v>
      </c>
      <c r="E1557">
        <v>1326.6745605000001</v>
      </c>
      <c r="F1557">
        <v>1324.8131103999999</v>
      </c>
      <c r="G1557">
        <v>80</v>
      </c>
      <c r="H1557">
        <v>79.971122742000006</v>
      </c>
      <c r="I1557">
        <v>50</v>
      </c>
      <c r="J1557">
        <v>48.151363373000002</v>
      </c>
      <c r="K1557">
        <v>2400</v>
      </c>
      <c r="L1557">
        <v>0</v>
      </c>
      <c r="M1557">
        <v>0</v>
      </c>
      <c r="N1557">
        <v>2400</v>
      </c>
    </row>
    <row r="1558" spans="1:14" x14ac:dyDescent="0.25">
      <c r="A1558">
        <v>764.70148900000004</v>
      </c>
      <c r="B1558" s="1">
        <f>DATE(2012,6,3) + TIME(16,50,8)</f>
        <v>41063.701481481483</v>
      </c>
      <c r="C1558">
        <v>1339.5612793</v>
      </c>
      <c r="D1558">
        <v>1337.1735839999999</v>
      </c>
      <c r="E1558">
        <v>1326.6652832</v>
      </c>
      <c r="F1558">
        <v>1324.7999268000001</v>
      </c>
      <c r="G1558">
        <v>80</v>
      </c>
      <c r="H1558">
        <v>79.971076964999995</v>
      </c>
      <c r="I1558">
        <v>50</v>
      </c>
      <c r="J1558">
        <v>48.124038696</v>
      </c>
      <c r="K1558">
        <v>2400</v>
      </c>
      <c r="L1558">
        <v>0</v>
      </c>
      <c r="M1558">
        <v>0</v>
      </c>
      <c r="N1558">
        <v>2400</v>
      </c>
    </row>
    <row r="1559" spans="1:14" x14ac:dyDescent="0.25">
      <c r="A1559">
        <v>765.41128600000002</v>
      </c>
      <c r="B1559" s="1">
        <f>DATE(2012,6,4) + TIME(9,52,15)</f>
        <v>41064.41128472222</v>
      </c>
      <c r="C1559">
        <v>1339.5543213000001</v>
      </c>
      <c r="D1559">
        <v>1337.1712646000001</v>
      </c>
      <c r="E1559">
        <v>1326.6557617000001</v>
      </c>
      <c r="F1559">
        <v>1324.7863769999999</v>
      </c>
      <c r="G1559">
        <v>80</v>
      </c>
      <c r="H1559">
        <v>79.971038817999997</v>
      </c>
      <c r="I1559">
        <v>50</v>
      </c>
      <c r="J1559">
        <v>48.096271514999998</v>
      </c>
      <c r="K1559">
        <v>2400</v>
      </c>
      <c r="L1559">
        <v>0</v>
      </c>
      <c r="M1559">
        <v>0</v>
      </c>
      <c r="N1559">
        <v>2400</v>
      </c>
    </row>
    <row r="1560" spans="1:14" x14ac:dyDescent="0.25">
      <c r="A1560">
        <v>766.148954</v>
      </c>
      <c r="B1560" s="1">
        <f>DATE(2012,6,5) + TIME(3,34,29)</f>
        <v>41065.148946759262</v>
      </c>
      <c r="C1560">
        <v>1339.5473632999999</v>
      </c>
      <c r="D1560">
        <v>1337.1689452999999</v>
      </c>
      <c r="E1560">
        <v>1326.6459961</v>
      </c>
      <c r="F1560">
        <v>1324.7724608999999</v>
      </c>
      <c r="G1560">
        <v>80</v>
      </c>
      <c r="H1560">
        <v>79.970993042000003</v>
      </c>
      <c r="I1560">
        <v>50</v>
      </c>
      <c r="J1560">
        <v>48.067844391000001</v>
      </c>
      <c r="K1560">
        <v>2400</v>
      </c>
      <c r="L1560">
        <v>0</v>
      </c>
      <c r="M1560">
        <v>0</v>
      </c>
      <c r="N1560">
        <v>2400</v>
      </c>
    </row>
    <row r="1561" spans="1:14" x14ac:dyDescent="0.25">
      <c r="A1561">
        <v>766.90456300000005</v>
      </c>
      <c r="B1561" s="1">
        <f>DATE(2012,6,5) + TIME(21,42,34)</f>
        <v>41065.904560185183</v>
      </c>
      <c r="C1561">
        <v>1339.5401611</v>
      </c>
      <c r="D1561">
        <v>1337.166626</v>
      </c>
      <c r="E1561">
        <v>1326.6358643000001</v>
      </c>
      <c r="F1561">
        <v>1324.7579346</v>
      </c>
      <c r="G1561">
        <v>80</v>
      </c>
      <c r="H1561">
        <v>79.970954895000006</v>
      </c>
      <c r="I1561">
        <v>50</v>
      </c>
      <c r="J1561">
        <v>48.038898467999999</v>
      </c>
      <c r="K1561">
        <v>2400</v>
      </c>
      <c r="L1561">
        <v>0</v>
      </c>
      <c r="M1561">
        <v>0</v>
      </c>
      <c r="N1561">
        <v>2400</v>
      </c>
    </row>
    <row r="1562" spans="1:14" x14ac:dyDescent="0.25">
      <c r="A1562">
        <v>767.67680600000006</v>
      </c>
      <c r="B1562" s="1">
        <f>DATE(2012,6,6) + TIME(16,14,36)</f>
        <v>41066.676805555559</v>
      </c>
      <c r="C1562">
        <v>1339.5330810999999</v>
      </c>
      <c r="D1562">
        <v>1337.1643065999999</v>
      </c>
      <c r="E1562">
        <v>1326.6253661999999</v>
      </c>
      <c r="F1562">
        <v>1324.7430420000001</v>
      </c>
      <c r="G1562">
        <v>80</v>
      </c>
      <c r="H1562">
        <v>79.970916747999993</v>
      </c>
      <c r="I1562">
        <v>50</v>
      </c>
      <c r="J1562">
        <v>48.009517670000001</v>
      </c>
      <c r="K1562">
        <v>2400</v>
      </c>
      <c r="L1562">
        <v>0</v>
      </c>
      <c r="M1562">
        <v>0</v>
      </c>
      <c r="N1562">
        <v>2400</v>
      </c>
    </row>
    <row r="1563" spans="1:14" x14ac:dyDescent="0.25">
      <c r="A1563">
        <v>768.46970999999996</v>
      </c>
      <c r="B1563" s="1">
        <f>DATE(2012,6,7) + TIME(11,16,22)</f>
        <v>41067.469699074078</v>
      </c>
      <c r="C1563">
        <v>1339.526001</v>
      </c>
      <c r="D1563">
        <v>1337.1619873</v>
      </c>
      <c r="E1563">
        <v>1326.614624</v>
      </c>
      <c r="F1563">
        <v>1324.7276611</v>
      </c>
      <c r="G1563">
        <v>80</v>
      </c>
      <c r="H1563">
        <v>79.970870972</v>
      </c>
      <c r="I1563">
        <v>50</v>
      </c>
      <c r="J1563">
        <v>47.979663848999998</v>
      </c>
      <c r="K1563">
        <v>2400</v>
      </c>
      <c r="L1563">
        <v>0</v>
      </c>
      <c r="M1563">
        <v>0</v>
      </c>
      <c r="N1563">
        <v>2400</v>
      </c>
    </row>
    <row r="1564" spans="1:14" x14ac:dyDescent="0.25">
      <c r="A1564">
        <v>769.26582800000006</v>
      </c>
      <c r="B1564" s="1">
        <f>DATE(2012,6,8) + TIME(6,22,47)</f>
        <v>41068.265821759262</v>
      </c>
      <c r="C1564">
        <v>1339.5189209</v>
      </c>
      <c r="D1564">
        <v>1337.159668</v>
      </c>
      <c r="E1564">
        <v>1326.6036377</v>
      </c>
      <c r="F1564">
        <v>1324.7119141000001</v>
      </c>
      <c r="G1564">
        <v>80</v>
      </c>
      <c r="H1564">
        <v>79.970832825000002</v>
      </c>
      <c r="I1564">
        <v>50</v>
      </c>
      <c r="J1564">
        <v>47.949672698999997</v>
      </c>
      <c r="K1564">
        <v>2400</v>
      </c>
      <c r="L1564">
        <v>0</v>
      </c>
      <c r="M1564">
        <v>0</v>
      </c>
      <c r="N1564">
        <v>2400</v>
      </c>
    </row>
    <row r="1565" spans="1:14" x14ac:dyDescent="0.25">
      <c r="A1565">
        <v>770.06930499999999</v>
      </c>
      <c r="B1565" s="1">
        <f>DATE(2012,6,9) + TIME(1,39,47)</f>
        <v>41069.069293981483</v>
      </c>
      <c r="C1565">
        <v>1339.5119629000001</v>
      </c>
      <c r="D1565">
        <v>1337.1573486</v>
      </c>
      <c r="E1565">
        <v>1326.5924072</v>
      </c>
      <c r="F1565">
        <v>1324.6959228999999</v>
      </c>
      <c r="G1565">
        <v>80</v>
      </c>
      <c r="H1565">
        <v>79.970794678000004</v>
      </c>
      <c r="I1565">
        <v>50</v>
      </c>
      <c r="J1565">
        <v>47.91960907</v>
      </c>
      <c r="K1565">
        <v>2400</v>
      </c>
      <c r="L1565">
        <v>0</v>
      </c>
      <c r="M1565">
        <v>0</v>
      </c>
      <c r="N1565">
        <v>2400</v>
      </c>
    </row>
    <row r="1566" spans="1:14" x14ac:dyDescent="0.25">
      <c r="A1566">
        <v>770.88374799999997</v>
      </c>
      <c r="B1566" s="1">
        <f>DATE(2012,6,9) + TIME(21,12,35)</f>
        <v>41069.883738425924</v>
      </c>
      <c r="C1566">
        <v>1339.5050048999999</v>
      </c>
      <c r="D1566">
        <v>1337.1550293</v>
      </c>
      <c r="E1566">
        <v>1326.5811768000001</v>
      </c>
      <c r="F1566">
        <v>1324.6796875</v>
      </c>
      <c r="G1566">
        <v>80</v>
      </c>
      <c r="H1566">
        <v>79.970756531000006</v>
      </c>
      <c r="I1566">
        <v>50</v>
      </c>
      <c r="J1566">
        <v>47.889453887999998</v>
      </c>
      <c r="K1566">
        <v>2400</v>
      </c>
      <c r="L1566">
        <v>0</v>
      </c>
      <c r="M1566">
        <v>0</v>
      </c>
      <c r="N1566">
        <v>2400</v>
      </c>
    </row>
    <row r="1567" spans="1:14" x14ac:dyDescent="0.25">
      <c r="A1567">
        <v>771.71215800000004</v>
      </c>
      <c r="B1567" s="1">
        <f>DATE(2012,6,10) + TIME(17,5,30)</f>
        <v>41070.712152777778</v>
      </c>
      <c r="C1567">
        <v>1339.4982910000001</v>
      </c>
      <c r="D1567">
        <v>1337.1527100000001</v>
      </c>
      <c r="E1567">
        <v>1326.5695800999999</v>
      </c>
      <c r="F1567">
        <v>1324.6630858999999</v>
      </c>
      <c r="G1567">
        <v>80</v>
      </c>
      <c r="H1567">
        <v>79.970718383999994</v>
      </c>
      <c r="I1567">
        <v>50</v>
      </c>
      <c r="J1567">
        <v>47.859134674000003</v>
      </c>
      <c r="K1567">
        <v>2400</v>
      </c>
      <c r="L1567">
        <v>0</v>
      </c>
      <c r="M1567">
        <v>0</v>
      </c>
      <c r="N1567">
        <v>2400</v>
      </c>
    </row>
    <row r="1568" spans="1:14" x14ac:dyDescent="0.25">
      <c r="A1568">
        <v>772.55806199999995</v>
      </c>
      <c r="B1568" s="1">
        <f>DATE(2012,6,11) + TIME(13,23,36)</f>
        <v>41071.558055555557</v>
      </c>
      <c r="C1568">
        <v>1339.4914550999999</v>
      </c>
      <c r="D1568">
        <v>1337.1503906</v>
      </c>
      <c r="E1568">
        <v>1326.5578613</v>
      </c>
      <c r="F1568">
        <v>1324.6462402</v>
      </c>
      <c r="G1568">
        <v>80</v>
      </c>
      <c r="H1568">
        <v>79.970680236999996</v>
      </c>
      <c r="I1568">
        <v>50</v>
      </c>
      <c r="J1568">
        <v>47.828571320000002</v>
      </c>
      <c r="K1568">
        <v>2400</v>
      </c>
      <c r="L1568">
        <v>0</v>
      </c>
      <c r="M1568">
        <v>0</v>
      </c>
      <c r="N1568">
        <v>2400</v>
      </c>
    </row>
    <row r="1569" spans="1:14" x14ac:dyDescent="0.25">
      <c r="A1569">
        <v>773.42523200000005</v>
      </c>
      <c r="B1569" s="1">
        <f>DATE(2012,6,12) + TIME(10,12,20)</f>
        <v>41072.42523148148</v>
      </c>
      <c r="C1569">
        <v>1339.4847411999999</v>
      </c>
      <c r="D1569">
        <v>1337.1480713000001</v>
      </c>
      <c r="E1569">
        <v>1326.5458983999999</v>
      </c>
      <c r="F1569">
        <v>1324.6290283000001</v>
      </c>
      <c r="G1569">
        <v>80</v>
      </c>
      <c r="H1569">
        <v>79.970649718999994</v>
      </c>
      <c r="I1569">
        <v>50</v>
      </c>
      <c r="J1569">
        <v>47.797657012999998</v>
      </c>
      <c r="K1569">
        <v>2400</v>
      </c>
      <c r="L1569">
        <v>0</v>
      </c>
      <c r="M1569">
        <v>0</v>
      </c>
      <c r="N1569">
        <v>2400</v>
      </c>
    </row>
    <row r="1570" spans="1:14" x14ac:dyDescent="0.25">
      <c r="A1570">
        <v>774.31780200000003</v>
      </c>
      <c r="B1570" s="1">
        <f>DATE(2012,6,13) + TIME(7,37,38)</f>
        <v>41073.317800925928</v>
      </c>
      <c r="C1570">
        <v>1339.4779053</v>
      </c>
      <c r="D1570">
        <v>1337.1457519999999</v>
      </c>
      <c r="E1570">
        <v>1326.5335693</v>
      </c>
      <c r="F1570">
        <v>1324.6113281</v>
      </c>
      <c r="G1570">
        <v>80</v>
      </c>
      <c r="H1570">
        <v>79.970611571999996</v>
      </c>
      <c r="I1570">
        <v>50</v>
      </c>
      <c r="J1570">
        <v>47.766265869000001</v>
      </c>
      <c r="K1570">
        <v>2400</v>
      </c>
      <c r="L1570">
        <v>0</v>
      </c>
      <c r="M1570">
        <v>0</v>
      </c>
      <c r="N1570">
        <v>2400</v>
      </c>
    </row>
    <row r="1571" spans="1:14" x14ac:dyDescent="0.25">
      <c r="A1571">
        <v>775.24039400000004</v>
      </c>
      <c r="B1571" s="1">
        <f>DATE(2012,6,14) + TIME(5,46,10)</f>
        <v>41074.240393518521</v>
      </c>
      <c r="C1571">
        <v>1339.4710693</v>
      </c>
      <c r="D1571">
        <v>1337.1434326000001</v>
      </c>
      <c r="E1571">
        <v>1326.520874</v>
      </c>
      <c r="F1571">
        <v>1324.5930175999999</v>
      </c>
      <c r="G1571">
        <v>80</v>
      </c>
      <c r="H1571">
        <v>79.970573424999998</v>
      </c>
      <c r="I1571">
        <v>50</v>
      </c>
      <c r="J1571">
        <v>47.734279633</v>
      </c>
      <c r="K1571">
        <v>2400</v>
      </c>
      <c r="L1571">
        <v>0</v>
      </c>
      <c r="M1571">
        <v>0</v>
      </c>
      <c r="N1571">
        <v>2400</v>
      </c>
    </row>
    <row r="1572" spans="1:14" x14ac:dyDescent="0.25">
      <c r="A1572">
        <v>776.18683199999998</v>
      </c>
      <c r="B1572" s="1">
        <f>DATE(2012,6,15) + TIME(4,29,2)</f>
        <v>41075.186828703707</v>
      </c>
      <c r="C1572">
        <v>1339.4642334</v>
      </c>
      <c r="D1572">
        <v>1337.1409911999999</v>
      </c>
      <c r="E1572">
        <v>1326.5078125</v>
      </c>
      <c r="F1572">
        <v>1324.5742187999999</v>
      </c>
      <c r="G1572">
        <v>80</v>
      </c>
      <c r="H1572">
        <v>79.970542907999999</v>
      </c>
      <c r="I1572">
        <v>50</v>
      </c>
      <c r="J1572">
        <v>47.701732634999999</v>
      </c>
      <c r="K1572">
        <v>2400</v>
      </c>
      <c r="L1572">
        <v>0</v>
      </c>
      <c r="M1572">
        <v>0</v>
      </c>
      <c r="N1572">
        <v>2400</v>
      </c>
    </row>
    <row r="1573" spans="1:14" x14ac:dyDescent="0.25">
      <c r="A1573">
        <v>777.142473</v>
      </c>
      <c r="B1573" s="1">
        <f>DATE(2012,6,16) + TIME(3,25,9)</f>
        <v>41076.142465277779</v>
      </c>
      <c r="C1573">
        <v>1339.4572754000001</v>
      </c>
      <c r="D1573">
        <v>1337.1385498</v>
      </c>
      <c r="E1573">
        <v>1326.4943848</v>
      </c>
      <c r="F1573">
        <v>1324.5548096</v>
      </c>
      <c r="G1573">
        <v>80</v>
      </c>
      <c r="H1573">
        <v>79.970504761000001</v>
      </c>
      <c r="I1573">
        <v>50</v>
      </c>
      <c r="J1573">
        <v>47.668899535999998</v>
      </c>
      <c r="K1573">
        <v>2400</v>
      </c>
      <c r="L1573">
        <v>0</v>
      </c>
      <c r="M1573">
        <v>0</v>
      </c>
      <c r="N1573">
        <v>2400</v>
      </c>
    </row>
    <row r="1574" spans="1:14" x14ac:dyDescent="0.25">
      <c r="A1574">
        <v>778.11163199999999</v>
      </c>
      <c r="B1574" s="1">
        <f>DATE(2012,6,17) + TIME(2,40,45)</f>
        <v>41077.111631944441</v>
      </c>
      <c r="C1574">
        <v>1339.4505615</v>
      </c>
      <c r="D1574">
        <v>1337.1361084</v>
      </c>
      <c r="E1574">
        <v>1326.4808350000001</v>
      </c>
      <c r="F1574">
        <v>1324.5351562000001</v>
      </c>
      <c r="G1574">
        <v>80</v>
      </c>
      <c r="H1574">
        <v>79.970474242999998</v>
      </c>
      <c r="I1574">
        <v>50</v>
      </c>
      <c r="J1574">
        <v>47.635868072999997</v>
      </c>
      <c r="K1574">
        <v>2400</v>
      </c>
      <c r="L1574">
        <v>0</v>
      </c>
      <c r="M1574">
        <v>0</v>
      </c>
      <c r="N1574">
        <v>2400</v>
      </c>
    </row>
    <row r="1575" spans="1:14" x14ac:dyDescent="0.25">
      <c r="A1575">
        <v>779.09862899999996</v>
      </c>
      <c r="B1575" s="1">
        <f>DATE(2012,6,18) + TIME(2,22,1)</f>
        <v>41078.098622685182</v>
      </c>
      <c r="C1575">
        <v>1339.4437256000001</v>
      </c>
      <c r="D1575">
        <v>1337.1337891000001</v>
      </c>
      <c r="E1575">
        <v>1326.4670410000001</v>
      </c>
      <c r="F1575">
        <v>1324.5151367000001</v>
      </c>
      <c r="G1575">
        <v>80</v>
      </c>
      <c r="H1575">
        <v>79.970443725999999</v>
      </c>
      <c r="I1575">
        <v>50</v>
      </c>
      <c r="J1575">
        <v>47.602607726999999</v>
      </c>
      <c r="K1575">
        <v>2400</v>
      </c>
      <c r="L1575">
        <v>0</v>
      </c>
      <c r="M1575">
        <v>0</v>
      </c>
      <c r="N1575">
        <v>2400</v>
      </c>
    </row>
    <row r="1576" spans="1:14" x14ac:dyDescent="0.25">
      <c r="A1576">
        <v>780.11029099999996</v>
      </c>
      <c r="B1576" s="1">
        <f>DATE(2012,6,19) + TIME(2,38,49)</f>
        <v>41079.110289351855</v>
      </c>
      <c r="C1576">
        <v>1339.4370117000001</v>
      </c>
      <c r="D1576">
        <v>1337.1313477000001</v>
      </c>
      <c r="E1576">
        <v>1326.4528809000001</v>
      </c>
      <c r="F1576">
        <v>1324.494751</v>
      </c>
      <c r="G1576">
        <v>80</v>
      </c>
      <c r="H1576">
        <v>79.970413207999997</v>
      </c>
      <c r="I1576">
        <v>50</v>
      </c>
      <c r="J1576">
        <v>47.568996429000002</v>
      </c>
      <c r="K1576">
        <v>2400</v>
      </c>
      <c r="L1576">
        <v>0</v>
      </c>
      <c r="M1576">
        <v>0</v>
      </c>
      <c r="N1576">
        <v>2400</v>
      </c>
    </row>
    <row r="1577" spans="1:14" x14ac:dyDescent="0.25">
      <c r="A1577">
        <v>781.16376600000001</v>
      </c>
      <c r="B1577" s="1">
        <f>DATE(2012,6,20) + TIME(3,55,49)</f>
        <v>41080.163761574076</v>
      </c>
      <c r="C1577">
        <v>1339.4302978999999</v>
      </c>
      <c r="D1577">
        <v>1337.1289062000001</v>
      </c>
      <c r="E1577">
        <v>1326.4384766000001</v>
      </c>
      <c r="F1577">
        <v>1324.4737548999999</v>
      </c>
      <c r="G1577">
        <v>80</v>
      </c>
      <c r="H1577">
        <v>79.970382689999994</v>
      </c>
      <c r="I1577">
        <v>50</v>
      </c>
      <c r="J1577">
        <v>47.534706116000002</v>
      </c>
      <c r="K1577">
        <v>2400</v>
      </c>
      <c r="L1577">
        <v>0</v>
      </c>
      <c r="M1577">
        <v>0</v>
      </c>
      <c r="N1577">
        <v>2400</v>
      </c>
    </row>
    <row r="1578" spans="1:14" x14ac:dyDescent="0.25">
      <c r="A1578">
        <v>782.23124499999994</v>
      </c>
      <c r="B1578" s="1">
        <f>DATE(2012,6,21) + TIME(5,32,59)</f>
        <v>41081.231238425928</v>
      </c>
      <c r="C1578">
        <v>1339.4233397999999</v>
      </c>
      <c r="D1578">
        <v>1337.1263428</v>
      </c>
      <c r="E1578">
        <v>1326.4235839999999</v>
      </c>
      <c r="F1578">
        <v>1324.4521483999999</v>
      </c>
      <c r="G1578">
        <v>80</v>
      </c>
      <c r="H1578">
        <v>79.970344542999996</v>
      </c>
      <c r="I1578">
        <v>50</v>
      </c>
      <c r="J1578">
        <v>47.499958038000003</v>
      </c>
      <c r="K1578">
        <v>2400</v>
      </c>
      <c r="L1578">
        <v>0</v>
      </c>
      <c r="M1578">
        <v>0</v>
      </c>
      <c r="N1578">
        <v>2400</v>
      </c>
    </row>
    <row r="1579" spans="1:14" x14ac:dyDescent="0.25">
      <c r="A1579">
        <v>783.31390299999998</v>
      </c>
      <c r="B1579" s="1">
        <f>DATE(2012,6,22) + TIME(7,32,1)</f>
        <v>41082.313900462963</v>
      </c>
      <c r="C1579">
        <v>1339.416626</v>
      </c>
      <c r="D1579">
        <v>1337.1237793</v>
      </c>
      <c r="E1579">
        <v>1326.4084473</v>
      </c>
      <c r="F1579">
        <v>1324.4300536999999</v>
      </c>
      <c r="G1579">
        <v>80</v>
      </c>
      <c r="H1579">
        <v>79.970321655000006</v>
      </c>
      <c r="I1579">
        <v>50</v>
      </c>
      <c r="J1579">
        <v>47.464923859000002</v>
      </c>
      <c r="K1579">
        <v>2400</v>
      </c>
      <c r="L1579">
        <v>0</v>
      </c>
      <c r="M1579">
        <v>0</v>
      </c>
      <c r="N1579">
        <v>2400</v>
      </c>
    </row>
    <row r="1580" spans="1:14" x14ac:dyDescent="0.25">
      <c r="A1580">
        <v>784.41818799999999</v>
      </c>
      <c r="B1580" s="1">
        <f>DATE(2012,6,23) + TIME(10,2,11)</f>
        <v>41083.418182870373</v>
      </c>
      <c r="C1580">
        <v>1339.4097899999999</v>
      </c>
      <c r="D1580">
        <v>1337.1213379000001</v>
      </c>
      <c r="E1580">
        <v>1326.3929443</v>
      </c>
      <c r="F1580">
        <v>1324.4077147999999</v>
      </c>
      <c r="G1580">
        <v>80</v>
      </c>
      <c r="H1580">
        <v>79.970291137999993</v>
      </c>
      <c r="I1580">
        <v>50</v>
      </c>
      <c r="J1580">
        <v>47.429595947000003</v>
      </c>
      <c r="K1580">
        <v>2400</v>
      </c>
      <c r="L1580">
        <v>0</v>
      </c>
      <c r="M1580">
        <v>0</v>
      </c>
      <c r="N1580">
        <v>2400</v>
      </c>
    </row>
    <row r="1581" spans="1:14" x14ac:dyDescent="0.25">
      <c r="A1581">
        <v>785.53304400000002</v>
      </c>
      <c r="B1581" s="1">
        <f>DATE(2012,6,24) + TIME(12,47,34)</f>
        <v>41084.533032407409</v>
      </c>
      <c r="C1581">
        <v>1339.4030762</v>
      </c>
      <c r="D1581">
        <v>1337.1187743999999</v>
      </c>
      <c r="E1581">
        <v>1326.3773193</v>
      </c>
      <c r="F1581">
        <v>1324.3848877</v>
      </c>
      <c r="G1581">
        <v>80</v>
      </c>
      <c r="H1581">
        <v>79.970260620000005</v>
      </c>
      <c r="I1581">
        <v>50</v>
      </c>
      <c r="J1581">
        <v>47.394096374999997</v>
      </c>
      <c r="K1581">
        <v>2400</v>
      </c>
      <c r="L1581">
        <v>0</v>
      </c>
      <c r="M1581">
        <v>0</v>
      </c>
      <c r="N1581">
        <v>2400</v>
      </c>
    </row>
    <row r="1582" spans="1:14" x14ac:dyDescent="0.25">
      <c r="A1582">
        <v>786.66278899999998</v>
      </c>
      <c r="B1582" s="1">
        <f>DATE(2012,6,25) + TIME(15,54,24)</f>
        <v>41085.662777777776</v>
      </c>
      <c r="C1582">
        <v>1339.3964844</v>
      </c>
      <c r="D1582">
        <v>1337.1162108999999</v>
      </c>
      <c r="E1582">
        <v>1326.3615723</v>
      </c>
      <c r="F1582">
        <v>1324.3618164</v>
      </c>
      <c r="G1582">
        <v>80</v>
      </c>
      <c r="H1582">
        <v>79.970237732000001</v>
      </c>
      <c r="I1582">
        <v>50</v>
      </c>
      <c r="J1582">
        <v>47.358467101999999</v>
      </c>
      <c r="K1582">
        <v>2400</v>
      </c>
      <c r="L1582">
        <v>0</v>
      </c>
      <c r="M1582">
        <v>0</v>
      </c>
      <c r="N1582">
        <v>2400</v>
      </c>
    </row>
    <row r="1583" spans="1:14" x14ac:dyDescent="0.25">
      <c r="A1583">
        <v>787.81341599999996</v>
      </c>
      <c r="B1583" s="1">
        <f>DATE(2012,6,26) + TIME(19,31,19)</f>
        <v>41086.813414351855</v>
      </c>
      <c r="C1583">
        <v>1339.3898925999999</v>
      </c>
      <c r="D1583">
        <v>1337.1136475000001</v>
      </c>
      <c r="E1583">
        <v>1326.3455810999999</v>
      </c>
      <c r="F1583">
        <v>1324.338501</v>
      </c>
      <c r="G1583">
        <v>80</v>
      </c>
      <c r="H1583">
        <v>79.970207213999998</v>
      </c>
      <c r="I1583">
        <v>50</v>
      </c>
      <c r="J1583">
        <v>47.322631835999999</v>
      </c>
      <c r="K1583">
        <v>2400</v>
      </c>
      <c r="L1583">
        <v>0</v>
      </c>
      <c r="M1583">
        <v>0</v>
      </c>
      <c r="N1583">
        <v>2400</v>
      </c>
    </row>
    <row r="1584" spans="1:14" x14ac:dyDescent="0.25">
      <c r="A1584">
        <v>788.99023</v>
      </c>
      <c r="B1584" s="1">
        <f>DATE(2012,6,27) + TIME(23,45,55)</f>
        <v>41087.990219907406</v>
      </c>
      <c r="C1584">
        <v>1339.3833007999999</v>
      </c>
      <c r="D1584">
        <v>1337.1110839999999</v>
      </c>
      <c r="E1584">
        <v>1326.3293457</v>
      </c>
      <c r="F1584">
        <v>1324.3146973</v>
      </c>
      <c r="G1584">
        <v>80</v>
      </c>
      <c r="H1584">
        <v>79.970184325999995</v>
      </c>
      <c r="I1584">
        <v>50</v>
      </c>
      <c r="J1584">
        <v>47.286460876</v>
      </c>
      <c r="K1584">
        <v>2400</v>
      </c>
      <c r="L1584">
        <v>0</v>
      </c>
      <c r="M1584">
        <v>0</v>
      </c>
      <c r="N1584">
        <v>2400</v>
      </c>
    </row>
    <row r="1585" spans="1:14" x14ac:dyDescent="0.25">
      <c r="A1585">
        <v>790.19942800000001</v>
      </c>
      <c r="B1585" s="1">
        <f>DATE(2012,6,29) + TIME(4,47,10)</f>
        <v>41089.199421296296</v>
      </c>
      <c r="C1585">
        <v>1339.3767089999999</v>
      </c>
      <c r="D1585">
        <v>1337.1085204999999</v>
      </c>
      <c r="E1585">
        <v>1326.3128661999999</v>
      </c>
      <c r="F1585">
        <v>1324.2905272999999</v>
      </c>
      <c r="G1585">
        <v>80</v>
      </c>
      <c r="H1585">
        <v>79.970161438000005</v>
      </c>
      <c r="I1585">
        <v>50</v>
      </c>
      <c r="J1585">
        <v>47.249805449999997</v>
      </c>
      <c r="K1585">
        <v>2400</v>
      </c>
      <c r="L1585">
        <v>0</v>
      </c>
      <c r="M1585">
        <v>0</v>
      </c>
      <c r="N1585">
        <v>2400</v>
      </c>
    </row>
    <row r="1586" spans="1:14" x14ac:dyDescent="0.25">
      <c r="A1586">
        <v>791.447858</v>
      </c>
      <c r="B1586" s="1">
        <f>DATE(2012,6,30) + TIME(10,44,54)</f>
        <v>41090.447847222225</v>
      </c>
      <c r="C1586">
        <v>1339.3699951000001</v>
      </c>
      <c r="D1586">
        <v>1337.105957</v>
      </c>
      <c r="E1586">
        <v>1326.2958983999999</v>
      </c>
      <c r="F1586">
        <v>1324.265625</v>
      </c>
      <c r="G1586">
        <v>80</v>
      </c>
      <c r="H1586">
        <v>79.970138550000001</v>
      </c>
      <c r="I1586">
        <v>50</v>
      </c>
      <c r="J1586">
        <v>47.212490082000002</v>
      </c>
      <c r="K1586">
        <v>2400</v>
      </c>
      <c r="L1586">
        <v>0</v>
      </c>
      <c r="M1586">
        <v>0</v>
      </c>
      <c r="N1586">
        <v>2400</v>
      </c>
    </row>
    <row r="1587" spans="1:14" x14ac:dyDescent="0.25">
      <c r="A1587">
        <v>792</v>
      </c>
      <c r="B1587" s="1">
        <f>DATE(2012,7,1) + TIME(0,0,0)</f>
        <v>41091</v>
      </c>
      <c r="C1587">
        <v>1339.3634033000001</v>
      </c>
      <c r="D1587">
        <v>1337.1032714999999</v>
      </c>
      <c r="E1587">
        <v>1326.2797852000001</v>
      </c>
      <c r="F1587">
        <v>1324.2425536999999</v>
      </c>
      <c r="G1587">
        <v>80</v>
      </c>
      <c r="H1587">
        <v>79.970108031999999</v>
      </c>
      <c r="I1587">
        <v>50</v>
      </c>
      <c r="J1587">
        <v>47.187473296999997</v>
      </c>
      <c r="K1587">
        <v>2400</v>
      </c>
      <c r="L1587">
        <v>0</v>
      </c>
      <c r="M1587">
        <v>0</v>
      </c>
      <c r="N1587">
        <v>2400</v>
      </c>
    </row>
    <row r="1588" spans="1:14" x14ac:dyDescent="0.25">
      <c r="A1588">
        <v>793.29427999999996</v>
      </c>
      <c r="B1588" s="1">
        <f>DATE(2012,7,2) + TIME(7,3,45)</f>
        <v>41092.294270833336</v>
      </c>
      <c r="C1588">
        <v>1339.3604736</v>
      </c>
      <c r="D1588">
        <v>1337.1020507999999</v>
      </c>
      <c r="E1588">
        <v>1326.2695312000001</v>
      </c>
      <c r="F1588">
        <v>1324.2264404</v>
      </c>
      <c r="G1588">
        <v>80</v>
      </c>
      <c r="H1588">
        <v>79.970100403000004</v>
      </c>
      <c r="I1588">
        <v>50</v>
      </c>
      <c r="J1588">
        <v>47.154468536000003</v>
      </c>
      <c r="K1588">
        <v>2400</v>
      </c>
      <c r="L1588">
        <v>0</v>
      </c>
      <c r="M1588">
        <v>0</v>
      </c>
      <c r="N1588">
        <v>2400</v>
      </c>
    </row>
    <row r="1589" spans="1:14" x14ac:dyDescent="0.25">
      <c r="A1589">
        <v>794.63059499999997</v>
      </c>
      <c r="B1589" s="1">
        <f>DATE(2012,7,3) + TIME(15,8,3)</f>
        <v>41093.630590277775</v>
      </c>
      <c r="C1589">
        <v>1339.3537598</v>
      </c>
      <c r="D1589">
        <v>1337.0993652</v>
      </c>
      <c r="E1589">
        <v>1326.2525635</v>
      </c>
      <c r="F1589">
        <v>1324.2016602000001</v>
      </c>
      <c r="G1589">
        <v>80</v>
      </c>
      <c r="H1589">
        <v>79.970077515</v>
      </c>
      <c r="I1589">
        <v>50</v>
      </c>
      <c r="J1589">
        <v>47.117557525999999</v>
      </c>
      <c r="K1589">
        <v>2400</v>
      </c>
      <c r="L1589">
        <v>0</v>
      </c>
      <c r="M1589">
        <v>0</v>
      </c>
      <c r="N1589">
        <v>2400</v>
      </c>
    </row>
    <row r="1590" spans="1:14" x14ac:dyDescent="0.25">
      <c r="A1590">
        <v>795.99071200000003</v>
      </c>
      <c r="B1590" s="1">
        <f>DATE(2012,7,4) + TIME(23,46,37)</f>
        <v>41094.990706018521</v>
      </c>
      <c r="C1590">
        <v>1339.3469238</v>
      </c>
      <c r="D1590">
        <v>1337.0965576000001</v>
      </c>
      <c r="E1590">
        <v>1326.2346190999999</v>
      </c>
      <c r="F1590">
        <v>1324.1751709</v>
      </c>
      <c r="G1590">
        <v>80</v>
      </c>
      <c r="H1590">
        <v>79.970062256000006</v>
      </c>
      <c r="I1590">
        <v>50</v>
      </c>
      <c r="J1590">
        <v>47.078762054000002</v>
      </c>
      <c r="K1590">
        <v>2400</v>
      </c>
      <c r="L1590">
        <v>0</v>
      </c>
      <c r="M1590">
        <v>0</v>
      </c>
      <c r="N1590">
        <v>2400</v>
      </c>
    </row>
    <row r="1591" spans="1:14" x14ac:dyDescent="0.25">
      <c r="A1591">
        <v>797.38438299999996</v>
      </c>
      <c r="B1591" s="1">
        <f>DATE(2012,7,6) + TIME(9,13,30)</f>
        <v>41096.384375000001</v>
      </c>
      <c r="C1591">
        <v>1339.3402100000001</v>
      </c>
      <c r="D1591">
        <v>1337.09375</v>
      </c>
      <c r="E1591">
        <v>1326.2160644999999</v>
      </c>
      <c r="F1591">
        <v>1324.1479492000001</v>
      </c>
      <c r="G1591">
        <v>80</v>
      </c>
      <c r="H1591">
        <v>79.970039368000002</v>
      </c>
      <c r="I1591">
        <v>50</v>
      </c>
      <c r="J1591">
        <v>47.038955688000001</v>
      </c>
      <c r="K1591">
        <v>2400</v>
      </c>
      <c r="L1591">
        <v>0</v>
      </c>
      <c r="M1591">
        <v>0</v>
      </c>
      <c r="N1591">
        <v>2400</v>
      </c>
    </row>
    <row r="1592" spans="1:14" x14ac:dyDescent="0.25">
      <c r="A1592">
        <v>798.82016499999997</v>
      </c>
      <c r="B1592" s="1">
        <f>DATE(2012,7,7) + TIME(19,41,2)</f>
        <v>41097.820162037038</v>
      </c>
      <c r="C1592">
        <v>1339.333374</v>
      </c>
      <c r="D1592">
        <v>1337.0909423999999</v>
      </c>
      <c r="E1592">
        <v>1326.1972656</v>
      </c>
      <c r="F1592">
        <v>1324.1199951000001</v>
      </c>
      <c r="G1592">
        <v>80</v>
      </c>
      <c r="H1592">
        <v>79.970024108999993</v>
      </c>
      <c r="I1592">
        <v>50</v>
      </c>
      <c r="J1592">
        <v>46.998321533000002</v>
      </c>
      <c r="K1592">
        <v>2400</v>
      </c>
      <c r="L1592">
        <v>0</v>
      </c>
      <c r="M1592">
        <v>0</v>
      </c>
      <c r="N1592">
        <v>2400</v>
      </c>
    </row>
    <row r="1593" spans="1:14" x14ac:dyDescent="0.25">
      <c r="A1593">
        <v>800.28105500000004</v>
      </c>
      <c r="B1593" s="1">
        <f>DATE(2012,7,9) + TIME(6,44,43)</f>
        <v>41099.281053240738</v>
      </c>
      <c r="C1593">
        <v>1339.3265381000001</v>
      </c>
      <c r="D1593">
        <v>1337.0880127</v>
      </c>
      <c r="E1593">
        <v>1326.1779785000001</v>
      </c>
      <c r="F1593">
        <v>1324.0913086</v>
      </c>
      <c r="G1593">
        <v>80</v>
      </c>
      <c r="H1593">
        <v>79.970001221000004</v>
      </c>
      <c r="I1593">
        <v>50</v>
      </c>
      <c r="J1593">
        <v>46.957069396999998</v>
      </c>
      <c r="K1593">
        <v>2400</v>
      </c>
      <c r="L1593">
        <v>0</v>
      </c>
      <c r="M1593">
        <v>0</v>
      </c>
      <c r="N1593">
        <v>2400</v>
      </c>
    </row>
    <row r="1594" spans="1:14" x14ac:dyDescent="0.25">
      <c r="A1594">
        <v>801.77117699999997</v>
      </c>
      <c r="B1594" s="1">
        <f>DATE(2012,7,10) + TIME(18,30,29)</f>
        <v>41100.771168981482</v>
      </c>
      <c r="C1594">
        <v>1339.3197021000001</v>
      </c>
      <c r="D1594">
        <v>1337.0852050999999</v>
      </c>
      <c r="E1594">
        <v>1326.1584473</v>
      </c>
      <c r="F1594">
        <v>1324.0622559000001</v>
      </c>
      <c r="G1594">
        <v>80</v>
      </c>
      <c r="H1594">
        <v>79.969985961999996</v>
      </c>
      <c r="I1594">
        <v>50</v>
      </c>
      <c r="J1594">
        <v>46.915393829000003</v>
      </c>
      <c r="K1594">
        <v>2400</v>
      </c>
      <c r="L1594">
        <v>0</v>
      </c>
      <c r="M1594">
        <v>0</v>
      </c>
      <c r="N1594">
        <v>2400</v>
      </c>
    </row>
    <row r="1595" spans="1:14" x14ac:dyDescent="0.25">
      <c r="A1595">
        <v>803.27022399999998</v>
      </c>
      <c r="B1595" s="1">
        <f>DATE(2012,7,12) + TIME(6,29,7)</f>
        <v>41102.270219907405</v>
      </c>
      <c r="C1595">
        <v>1339.3129882999999</v>
      </c>
      <c r="D1595">
        <v>1337.0822754000001</v>
      </c>
      <c r="E1595">
        <v>1326.1386719</v>
      </c>
      <c r="F1595">
        <v>1324.0327147999999</v>
      </c>
      <c r="G1595">
        <v>80</v>
      </c>
      <c r="H1595">
        <v>79.969970703000001</v>
      </c>
      <c r="I1595">
        <v>50</v>
      </c>
      <c r="J1595">
        <v>46.873565673999998</v>
      </c>
      <c r="K1595">
        <v>2400</v>
      </c>
      <c r="L1595">
        <v>0</v>
      </c>
      <c r="M1595">
        <v>0</v>
      </c>
      <c r="N1595">
        <v>2400</v>
      </c>
    </row>
    <row r="1596" spans="1:14" x14ac:dyDescent="0.25">
      <c r="A1596">
        <v>804.78667900000005</v>
      </c>
      <c r="B1596" s="1">
        <f>DATE(2012,7,13) + TIME(18,52,49)</f>
        <v>41103.786678240744</v>
      </c>
      <c r="C1596">
        <v>1339.3062743999999</v>
      </c>
      <c r="D1596">
        <v>1337.0793457</v>
      </c>
      <c r="E1596">
        <v>1326.1190185999999</v>
      </c>
      <c r="F1596">
        <v>1324.0031738</v>
      </c>
      <c r="G1596">
        <v>80</v>
      </c>
      <c r="H1596">
        <v>79.969955443999993</v>
      </c>
      <c r="I1596">
        <v>50</v>
      </c>
      <c r="J1596">
        <v>46.831798552999999</v>
      </c>
      <c r="K1596">
        <v>2400</v>
      </c>
      <c r="L1596">
        <v>0</v>
      </c>
      <c r="M1596">
        <v>0</v>
      </c>
      <c r="N1596">
        <v>2400</v>
      </c>
    </row>
    <row r="1597" spans="1:14" x14ac:dyDescent="0.25">
      <c r="A1597">
        <v>806.32913799999994</v>
      </c>
      <c r="B1597" s="1">
        <f>DATE(2012,7,15) + TIME(7,53,57)</f>
        <v>41105.329131944447</v>
      </c>
      <c r="C1597">
        <v>1339.2996826000001</v>
      </c>
      <c r="D1597">
        <v>1337.0764160000001</v>
      </c>
      <c r="E1597">
        <v>1326.0992432</v>
      </c>
      <c r="F1597">
        <v>1323.9733887</v>
      </c>
      <c r="G1597">
        <v>80</v>
      </c>
      <c r="H1597">
        <v>79.969940186000002</v>
      </c>
      <c r="I1597">
        <v>50</v>
      </c>
      <c r="J1597">
        <v>46.790061950999998</v>
      </c>
      <c r="K1597">
        <v>2400</v>
      </c>
      <c r="L1597">
        <v>0</v>
      </c>
      <c r="M1597">
        <v>0</v>
      </c>
      <c r="N1597">
        <v>2400</v>
      </c>
    </row>
    <row r="1598" spans="1:14" x14ac:dyDescent="0.25">
      <c r="A1598">
        <v>807.90702399999998</v>
      </c>
      <c r="B1598" s="1">
        <f>DATE(2012,7,16) + TIME(21,46,6)</f>
        <v>41106.907013888886</v>
      </c>
      <c r="C1598">
        <v>1339.2930908000001</v>
      </c>
      <c r="D1598">
        <v>1337.0734863</v>
      </c>
      <c r="E1598">
        <v>1326.0793457</v>
      </c>
      <c r="F1598">
        <v>1323.9433594</v>
      </c>
      <c r="G1598">
        <v>80</v>
      </c>
      <c r="H1598">
        <v>79.969924926999994</v>
      </c>
      <c r="I1598">
        <v>50</v>
      </c>
      <c r="J1598">
        <v>46.748252868999998</v>
      </c>
      <c r="K1598">
        <v>2400</v>
      </c>
      <c r="L1598">
        <v>0</v>
      </c>
      <c r="M1598">
        <v>0</v>
      </c>
      <c r="N1598">
        <v>2400</v>
      </c>
    </row>
    <row r="1599" spans="1:14" x14ac:dyDescent="0.25">
      <c r="A1599">
        <v>809.52941399999997</v>
      </c>
      <c r="B1599" s="1">
        <f>DATE(2012,7,18) + TIME(12,42,21)</f>
        <v>41108.529409722221</v>
      </c>
      <c r="C1599">
        <v>1339.2863769999999</v>
      </c>
      <c r="D1599">
        <v>1337.0705565999999</v>
      </c>
      <c r="E1599">
        <v>1326.0592041</v>
      </c>
      <c r="F1599">
        <v>1323.9129639</v>
      </c>
      <c r="G1599">
        <v>80</v>
      </c>
      <c r="H1599">
        <v>79.969917296999995</v>
      </c>
      <c r="I1599">
        <v>50</v>
      </c>
      <c r="J1599">
        <v>46.706279754999997</v>
      </c>
      <c r="K1599">
        <v>2400</v>
      </c>
      <c r="L1599">
        <v>0</v>
      </c>
      <c r="M1599">
        <v>0</v>
      </c>
      <c r="N1599">
        <v>2400</v>
      </c>
    </row>
    <row r="1600" spans="1:14" x14ac:dyDescent="0.25">
      <c r="A1600">
        <v>811.20605799999998</v>
      </c>
      <c r="B1600" s="1">
        <f>DATE(2012,7,20) + TIME(4,56,43)</f>
        <v>41110.206053240741</v>
      </c>
      <c r="C1600">
        <v>1339.2797852000001</v>
      </c>
      <c r="D1600">
        <v>1337.0675048999999</v>
      </c>
      <c r="E1600">
        <v>1326.0389404</v>
      </c>
      <c r="F1600">
        <v>1323.8820800999999</v>
      </c>
      <c r="G1600">
        <v>80</v>
      </c>
      <c r="H1600">
        <v>79.969902039000004</v>
      </c>
      <c r="I1600">
        <v>50</v>
      </c>
      <c r="J1600">
        <v>46.664077759000001</v>
      </c>
      <c r="K1600">
        <v>2400</v>
      </c>
      <c r="L1600">
        <v>0</v>
      </c>
      <c r="M1600">
        <v>0</v>
      </c>
      <c r="N1600">
        <v>2400</v>
      </c>
    </row>
    <row r="1601" spans="1:14" x14ac:dyDescent="0.25">
      <c r="A1601">
        <v>812.05040699999995</v>
      </c>
      <c r="B1601" s="1">
        <f>DATE(2012,7,21) + TIME(1,12,35)</f>
        <v>41111.050405092596</v>
      </c>
      <c r="C1601">
        <v>1339.2730713000001</v>
      </c>
      <c r="D1601">
        <v>1337.0644531</v>
      </c>
      <c r="E1601">
        <v>1326.0194091999999</v>
      </c>
      <c r="F1601">
        <v>1323.8526611</v>
      </c>
      <c r="G1601">
        <v>80</v>
      </c>
      <c r="H1601">
        <v>79.969886779999996</v>
      </c>
      <c r="I1601">
        <v>50</v>
      </c>
      <c r="J1601">
        <v>46.632202147999998</v>
      </c>
      <c r="K1601">
        <v>2400</v>
      </c>
      <c r="L1601">
        <v>0</v>
      </c>
      <c r="M1601">
        <v>0</v>
      </c>
      <c r="N1601">
        <v>2400</v>
      </c>
    </row>
    <row r="1602" spans="1:14" x14ac:dyDescent="0.25">
      <c r="A1602">
        <v>812.89475500000003</v>
      </c>
      <c r="B1602" s="1">
        <f>DATE(2012,7,21) + TIME(21,28,26)</f>
        <v>41111.894745370373</v>
      </c>
      <c r="C1602">
        <v>1339.2697754000001</v>
      </c>
      <c r="D1602">
        <v>1337.0628661999999</v>
      </c>
      <c r="E1602">
        <v>1326.0068358999999</v>
      </c>
      <c r="F1602">
        <v>1323.8330077999999</v>
      </c>
      <c r="G1602">
        <v>80</v>
      </c>
      <c r="H1602">
        <v>79.969871521000002</v>
      </c>
      <c r="I1602">
        <v>50</v>
      </c>
      <c r="J1602">
        <v>46.606300353999998</v>
      </c>
      <c r="K1602">
        <v>2400</v>
      </c>
      <c r="L1602">
        <v>0</v>
      </c>
      <c r="M1602">
        <v>0</v>
      </c>
      <c r="N1602">
        <v>2400</v>
      </c>
    </row>
    <row r="1603" spans="1:14" x14ac:dyDescent="0.25">
      <c r="A1603">
        <v>813.739104</v>
      </c>
      <c r="B1603" s="1">
        <f>DATE(2012,7,22) + TIME(17,44,18)</f>
        <v>41112.73909722222</v>
      </c>
      <c r="C1603">
        <v>1339.2664795000001</v>
      </c>
      <c r="D1603">
        <v>1337.0614014</v>
      </c>
      <c r="E1603">
        <v>1325.9954834</v>
      </c>
      <c r="F1603">
        <v>1323.8154297000001</v>
      </c>
      <c r="G1603">
        <v>80</v>
      </c>
      <c r="H1603">
        <v>79.969863892000006</v>
      </c>
      <c r="I1603">
        <v>50</v>
      </c>
      <c r="J1603">
        <v>46.583538054999998</v>
      </c>
      <c r="K1603">
        <v>2400</v>
      </c>
      <c r="L1603">
        <v>0</v>
      </c>
      <c r="M1603">
        <v>0</v>
      </c>
      <c r="N1603">
        <v>2400</v>
      </c>
    </row>
    <row r="1604" spans="1:14" x14ac:dyDescent="0.25">
      <c r="A1604">
        <v>814.58345299999996</v>
      </c>
      <c r="B1604" s="1">
        <f>DATE(2012,7,23) + TIME(14,0,10)</f>
        <v>41113.583449074074</v>
      </c>
      <c r="C1604">
        <v>1339.2631836</v>
      </c>
      <c r="D1604">
        <v>1337.0598144999999</v>
      </c>
      <c r="E1604">
        <v>1325.9847411999999</v>
      </c>
      <c r="F1604">
        <v>1323.7987060999999</v>
      </c>
      <c r="G1604">
        <v>80</v>
      </c>
      <c r="H1604">
        <v>79.969863892000006</v>
      </c>
      <c r="I1604">
        <v>50</v>
      </c>
      <c r="J1604">
        <v>46.562557220000002</v>
      </c>
      <c r="K1604">
        <v>2400</v>
      </c>
      <c r="L1604">
        <v>0</v>
      </c>
      <c r="M1604">
        <v>0</v>
      </c>
      <c r="N1604">
        <v>2400</v>
      </c>
    </row>
    <row r="1605" spans="1:14" x14ac:dyDescent="0.25">
      <c r="A1605">
        <v>815.42780200000004</v>
      </c>
      <c r="B1605" s="1">
        <f>DATE(2012,7,24) + TIME(10,16,2)</f>
        <v>41114.427800925929</v>
      </c>
      <c r="C1605">
        <v>1339.2600098</v>
      </c>
      <c r="D1605">
        <v>1337.0583495999999</v>
      </c>
      <c r="E1605">
        <v>1325.9743652</v>
      </c>
      <c r="F1605">
        <v>1323.7825928</v>
      </c>
      <c r="G1605">
        <v>80</v>
      </c>
      <c r="H1605">
        <v>79.969856261999993</v>
      </c>
      <c r="I1605">
        <v>50</v>
      </c>
      <c r="J1605">
        <v>46.542739867999998</v>
      </c>
      <c r="K1605">
        <v>2400</v>
      </c>
      <c r="L1605">
        <v>0</v>
      </c>
      <c r="M1605">
        <v>0</v>
      </c>
      <c r="N1605">
        <v>2400</v>
      </c>
    </row>
    <row r="1606" spans="1:14" x14ac:dyDescent="0.25">
      <c r="A1606">
        <v>816.27215000000001</v>
      </c>
      <c r="B1606" s="1">
        <f>DATE(2012,7,25) + TIME(6,31,53)</f>
        <v>41115.272141203706</v>
      </c>
      <c r="C1606">
        <v>1339.2568358999999</v>
      </c>
      <c r="D1606">
        <v>1337.0568848</v>
      </c>
      <c r="E1606">
        <v>1325.9642334</v>
      </c>
      <c r="F1606">
        <v>1323.7668457</v>
      </c>
      <c r="G1606">
        <v>80</v>
      </c>
      <c r="H1606">
        <v>79.969856261999993</v>
      </c>
      <c r="I1606">
        <v>50</v>
      </c>
      <c r="J1606">
        <v>46.523811340000002</v>
      </c>
      <c r="K1606">
        <v>2400</v>
      </c>
      <c r="L1606">
        <v>0</v>
      </c>
      <c r="M1606">
        <v>0</v>
      </c>
      <c r="N1606">
        <v>2400</v>
      </c>
    </row>
    <row r="1607" spans="1:14" x14ac:dyDescent="0.25">
      <c r="A1607">
        <v>817.96084800000006</v>
      </c>
      <c r="B1607" s="1">
        <f>DATE(2012,7,26) + TIME(23,3,37)</f>
        <v>41116.960844907408</v>
      </c>
      <c r="C1607">
        <v>1339.2536620999999</v>
      </c>
      <c r="D1607">
        <v>1337.0554199000001</v>
      </c>
      <c r="E1607">
        <v>1325.9534911999999</v>
      </c>
      <c r="F1607">
        <v>1323.7498779</v>
      </c>
      <c r="G1607">
        <v>80</v>
      </c>
      <c r="H1607">
        <v>79.969863892000006</v>
      </c>
      <c r="I1607">
        <v>50</v>
      </c>
      <c r="J1607">
        <v>46.499958038000003</v>
      </c>
      <c r="K1607">
        <v>2400</v>
      </c>
      <c r="L1607">
        <v>0</v>
      </c>
      <c r="M1607">
        <v>0</v>
      </c>
      <c r="N1607">
        <v>2400</v>
      </c>
    </row>
    <row r="1608" spans="1:14" x14ac:dyDescent="0.25">
      <c r="A1608">
        <v>819.664626</v>
      </c>
      <c r="B1608" s="1">
        <f>DATE(2012,7,28) + TIME(15,57,3)</f>
        <v>41118.664618055554</v>
      </c>
      <c r="C1608">
        <v>1339.2474365</v>
      </c>
      <c r="D1608">
        <v>1337.0523682</v>
      </c>
      <c r="E1608">
        <v>1325.9366454999999</v>
      </c>
      <c r="F1608">
        <v>1323.7237548999999</v>
      </c>
      <c r="G1608">
        <v>80</v>
      </c>
      <c r="H1608">
        <v>79.969863892000006</v>
      </c>
      <c r="I1608">
        <v>50</v>
      </c>
      <c r="J1608">
        <v>46.469650268999999</v>
      </c>
      <c r="K1608">
        <v>2400</v>
      </c>
      <c r="L1608">
        <v>0</v>
      </c>
      <c r="M1608">
        <v>0</v>
      </c>
      <c r="N1608">
        <v>2400</v>
      </c>
    </row>
    <row r="1609" spans="1:14" x14ac:dyDescent="0.25">
      <c r="A1609">
        <v>820.55341699999997</v>
      </c>
      <c r="B1609" s="1">
        <f>DATE(2012,7,29) + TIME(13,16,55)</f>
        <v>41119.553414351853</v>
      </c>
      <c r="C1609">
        <v>1339.2412108999999</v>
      </c>
      <c r="D1609">
        <v>1337.0494385</v>
      </c>
      <c r="E1609">
        <v>1325.9191894999999</v>
      </c>
      <c r="F1609">
        <v>1323.6967772999999</v>
      </c>
      <c r="G1609">
        <v>80</v>
      </c>
      <c r="H1609">
        <v>79.969848632999998</v>
      </c>
      <c r="I1609">
        <v>50</v>
      </c>
      <c r="J1609">
        <v>46.446262359999999</v>
      </c>
      <c r="K1609">
        <v>2400</v>
      </c>
      <c r="L1609">
        <v>0</v>
      </c>
      <c r="M1609">
        <v>0</v>
      </c>
      <c r="N1609">
        <v>2400</v>
      </c>
    </row>
    <row r="1610" spans="1:14" x14ac:dyDescent="0.25">
      <c r="A1610">
        <v>821.44019500000002</v>
      </c>
      <c r="B1610" s="1">
        <f>DATE(2012,7,30) + TIME(10,33,52)</f>
        <v>41120.440185185187</v>
      </c>
      <c r="C1610">
        <v>1339.2380370999999</v>
      </c>
      <c r="D1610">
        <v>1337.0478516000001</v>
      </c>
      <c r="E1610">
        <v>1325.9074707</v>
      </c>
      <c r="F1610">
        <v>1323.6779785000001</v>
      </c>
      <c r="G1610">
        <v>80</v>
      </c>
      <c r="H1610">
        <v>79.969841002999999</v>
      </c>
      <c r="I1610">
        <v>50</v>
      </c>
      <c r="J1610">
        <v>46.428230286000002</v>
      </c>
      <c r="K1610">
        <v>2400</v>
      </c>
      <c r="L1610">
        <v>0</v>
      </c>
      <c r="M1610">
        <v>0</v>
      </c>
      <c r="N1610">
        <v>2400</v>
      </c>
    </row>
    <row r="1611" spans="1:14" x14ac:dyDescent="0.25">
      <c r="A1611">
        <v>823</v>
      </c>
      <c r="B1611" s="1">
        <f>DATE(2012,8,1) + TIME(0,0,0)</f>
        <v>41122</v>
      </c>
      <c r="C1611">
        <v>1339.2348632999999</v>
      </c>
      <c r="D1611">
        <v>1337.0463867000001</v>
      </c>
      <c r="E1611">
        <v>1325.8961182</v>
      </c>
      <c r="F1611">
        <v>1323.6595459</v>
      </c>
      <c r="G1611">
        <v>80</v>
      </c>
      <c r="H1611">
        <v>79.969848632999998</v>
      </c>
      <c r="I1611">
        <v>50</v>
      </c>
      <c r="J1611">
        <v>46.409748077000003</v>
      </c>
      <c r="K1611">
        <v>2400</v>
      </c>
      <c r="L1611">
        <v>0</v>
      </c>
      <c r="M1611">
        <v>0</v>
      </c>
      <c r="N1611">
        <v>2400</v>
      </c>
    </row>
    <row r="1612" spans="1:14" x14ac:dyDescent="0.25">
      <c r="A1612">
        <v>824.77355599999999</v>
      </c>
      <c r="B1612" s="1">
        <f>DATE(2012,8,2) + TIME(18,33,55)</f>
        <v>41123.773553240739</v>
      </c>
      <c r="C1612">
        <v>1339.2294922000001</v>
      </c>
      <c r="D1612">
        <v>1337.0437012</v>
      </c>
      <c r="E1612">
        <v>1325.8806152</v>
      </c>
      <c r="F1612">
        <v>1323.6348877</v>
      </c>
      <c r="G1612">
        <v>80</v>
      </c>
      <c r="H1612">
        <v>79.969856261999993</v>
      </c>
      <c r="I1612">
        <v>50</v>
      </c>
      <c r="J1612">
        <v>46.390636444000002</v>
      </c>
      <c r="K1612">
        <v>2400</v>
      </c>
      <c r="L1612">
        <v>0</v>
      </c>
      <c r="M1612">
        <v>0</v>
      </c>
      <c r="N1612">
        <v>2400</v>
      </c>
    </row>
    <row r="1613" spans="1:14" x14ac:dyDescent="0.25">
      <c r="A1613">
        <v>826.56250299999999</v>
      </c>
      <c r="B1613" s="1">
        <f>DATE(2012,8,4) + TIME(13,30,0)</f>
        <v>41125.5625</v>
      </c>
      <c r="C1613">
        <v>1339.2232666</v>
      </c>
      <c r="D1613">
        <v>1337.0406493999999</v>
      </c>
      <c r="E1613">
        <v>1325.8631591999999</v>
      </c>
      <c r="F1613">
        <v>1323.6068115</v>
      </c>
      <c r="G1613">
        <v>80</v>
      </c>
      <c r="H1613">
        <v>79.969856261999993</v>
      </c>
      <c r="I1613">
        <v>50</v>
      </c>
      <c r="J1613">
        <v>46.374488831000001</v>
      </c>
      <c r="K1613">
        <v>2400</v>
      </c>
      <c r="L1613">
        <v>0</v>
      </c>
      <c r="M1613">
        <v>0</v>
      </c>
      <c r="N1613">
        <v>2400</v>
      </c>
    </row>
    <row r="1614" spans="1:14" x14ac:dyDescent="0.25">
      <c r="A1614">
        <v>828.38733999999999</v>
      </c>
      <c r="B1614" s="1">
        <f>DATE(2012,8,6) + TIME(9,17,46)</f>
        <v>41127.387337962966</v>
      </c>
      <c r="C1614">
        <v>1339.2171631000001</v>
      </c>
      <c r="D1614">
        <v>1337.0375977000001</v>
      </c>
      <c r="E1614">
        <v>1325.8452147999999</v>
      </c>
      <c r="F1614">
        <v>1323.5777588000001</v>
      </c>
      <c r="G1614">
        <v>80</v>
      </c>
      <c r="H1614">
        <v>79.969856261999993</v>
      </c>
      <c r="I1614">
        <v>50</v>
      </c>
      <c r="J1614">
        <v>46.364978790000002</v>
      </c>
      <c r="K1614">
        <v>2400</v>
      </c>
      <c r="L1614">
        <v>0</v>
      </c>
      <c r="M1614">
        <v>0</v>
      </c>
      <c r="N1614">
        <v>2400</v>
      </c>
    </row>
    <row r="1615" spans="1:14" x14ac:dyDescent="0.25">
      <c r="A1615">
        <v>830.21727499999997</v>
      </c>
      <c r="B1615" s="1">
        <f>DATE(2012,8,8) + TIME(5,12,52)</f>
        <v>41129.217268518521</v>
      </c>
      <c r="C1615">
        <v>1339.2111815999999</v>
      </c>
      <c r="D1615">
        <v>1337.0345459</v>
      </c>
      <c r="E1615">
        <v>1325.8273925999999</v>
      </c>
      <c r="F1615">
        <v>1323.5484618999999</v>
      </c>
      <c r="G1615">
        <v>80</v>
      </c>
      <c r="H1615">
        <v>79.969856261999993</v>
      </c>
      <c r="I1615">
        <v>50</v>
      </c>
      <c r="J1615">
        <v>46.364624022999998</v>
      </c>
      <c r="K1615">
        <v>2400</v>
      </c>
      <c r="L1615">
        <v>0</v>
      </c>
      <c r="M1615">
        <v>0</v>
      </c>
      <c r="N1615">
        <v>2400</v>
      </c>
    </row>
    <row r="1616" spans="1:14" x14ac:dyDescent="0.25">
      <c r="A1616">
        <v>832.06219799999997</v>
      </c>
      <c r="B1616" s="1">
        <f>DATE(2012,8,10) + TIME(1,29,33)</f>
        <v>41131.0621875</v>
      </c>
      <c r="C1616">
        <v>1339.2050781</v>
      </c>
      <c r="D1616">
        <v>1337.0314940999999</v>
      </c>
      <c r="E1616">
        <v>1325.8100586</v>
      </c>
      <c r="F1616">
        <v>1323.5195312000001</v>
      </c>
      <c r="G1616">
        <v>80</v>
      </c>
      <c r="H1616">
        <v>79.969856261999993</v>
      </c>
      <c r="I1616">
        <v>50</v>
      </c>
      <c r="J1616">
        <v>46.375793457</v>
      </c>
      <c r="K1616">
        <v>2400</v>
      </c>
      <c r="L1616">
        <v>0</v>
      </c>
      <c r="M1616">
        <v>0</v>
      </c>
      <c r="N1616">
        <v>2400</v>
      </c>
    </row>
    <row r="1617" spans="1:14" x14ac:dyDescent="0.25">
      <c r="A1617">
        <v>832.98663499999998</v>
      </c>
      <c r="B1617" s="1">
        <f>DATE(2012,8,10) + TIME(23,40,45)</f>
        <v>41131.986631944441</v>
      </c>
      <c r="C1617">
        <v>1339.1992187999999</v>
      </c>
      <c r="D1617">
        <v>1337.0284423999999</v>
      </c>
      <c r="E1617">
        <v>1325.7945557</v>
      </c>
      <c r="F1617">
        <v>1323.4932861</v>
      </c>
      <c r="G1617">
        <v>80</v>
      </c>
      <c r="H1617">
        <v>79.969841002999999</v>
      </c>
      <c r="I1617">
        <v>50</v>
      </c>
      <c r="J1617">
        <v>46.395431518999999</v>
      </c>
      <c r="K1617">
        <v>2400</v>
      </c>
      <c r="L1617">
        <v>0</v>
      </c>
      <c r="M1617">
        <v>0</v>
      </c>
      <c r="N1617">
        <v>2400</v>
      </c>
    </row>
    <row r="1618" spans="1:14" x14ac:dyDescent="0.25">
      <c r="A1618">
        <v>834.72729700000002</v>
      </c>
      <c r="B1618" s="1">
        <f>DATE(2012,8,12) + TIME(17,27,18)</f>
        <v>41133.72729166667</v>
      </c>
      <c r="C1618">
        <v>1339.1962891000001</v>
      </c>
      <c r="D1618">
        <v>1337.0268555</v>
      </c>
      <c r="E1618">
        <v>1325.7833252</v>
      </c>
      <c r="F1618">
        <v>1323.4743652</v>
      </c>
      <c r="G1618">
        <v>80</v>
      </c>
      <c r="H1618">
        <v>79.969856261999993</v>
      </c>
      <c r="I1618">
        <v>50</v>
      </c>
      <c r="J1618">
        <v>46.423557281000001</v>
      </c>
      <c r="K1618">
        <v>2400</v>
      </c>
      <c r="L1618">
        <v>0</v>
      </c>
      <c r="M1618">
        <v>0</v>
      </c>
      <c r="N1618">
        <v>2400</v>
      </c>
    </row>
    <row r="1619" spans="1:14" x14ac:dyDescent="0.25">
      <c r="A1619">
        <v>836.54221900000005</v>
      </c>
      <c r="B1619" s="1">
        <f>DATE(2012,8,14) + TIME(13,0,47)</f>
        <v>41135.542210648149</v>
      </c>
      <c r="C1619">
        <v>1339.1907959</v>
      </c>
      <c r="D1619">
        <v>1337.0240478999999</v>
      </c>
      <c r="E1619">
        <v>1325.7695312000001</v>
      </c>
      <c r="F1619">
        <v>1323.4506836</v>
      </c>
      <c r="G1619">
        <v>80</v>
      </c>
      <c r="H1619">
        <v>79.969863892000006</v>
      </c>
      <c r="I1619">
        <v>50</v>
      </c>
      <c r="J1619">
        <v>46.471446991000001</v>
      </c>
      <c r="K1619">
        <v>2400</v>
      </c>
      <c r="L1619">
        <v>0</v>
      </c>
      <c r="M1619">
        <v>0</v>
      </c>
      <c r="N1619">
        <v>2400</v>
      </c>
    </row>
    <row r="1620" spans="1:14" x14ac:dyDescent="0.25">
      <c r="A1620">
        <v>838.39786600000002</v>
      </c>
      <c r="B1620" s="1">
        <f>DATE(2012,8,16) + TIME(9,32,55)</f>
        <v>41137.397858796299</v>
      </c>
      <c r="C1620">
        <v>1339.1851807</v>
      </c>
      <c r="D1620">
        <v>1337.0211182</v>
      </c>
      <c r="E1620">
        <v>1325.7553711</v>
      </c>
      <c r="F1620">
        <v>1323.4260254000001</v>
      </c>
      <c r="G1620">
        <v>80</v>
      </c>
      <c r="H1620">
        <v>79.969863892000006</v>
      </c>
      <c r="I1620">
        <v>50</v>
      </c>
      <c r="J1620">
        <v>46.541309357000003</v>
      </c>
      <c r="K1620">
        <v>2400</v>
      </c>
      <c r="L1620">
        <v>0</v>
      </c>
      <c r="M1620">
        <v>0</v>
      </c>
      <c r="N1620">
        <v>2400</v>
      </c>
    </row>
    <row r="1621" spans="1:14" x14ac:dyDescent="0.25">
      <c r="A1621">
        <v>839.34430499999996</v>
      </c>
      <c r="B1621" s="1">
        <f>DATE(2012,8,17) + TIME(8,15,47)</f>
        <v>41138.344293981485</v>
      </c>
      <c r="C1621">
        <v>1339.1794434000001</v>
      </c>
      <c r="D1621">
        <v>1337.0180664</v>
      </c>
      <c r="E1621">
        <v>1325.7427978999999</v>
      </c>
      <c r="F1621">
        <v>1323.4033202999999</v>
      </c>
      <c r="G1621">
        <v>80</v>
      </c>
      <c r="H1621">
        <v>79.969856261999993</v>
      </c>
      <c r="I1621">
        <v>50</v>
      </c>
      <c r="J1621">
        <v>46.615814209</v>
      </c>
      <c r="K1621">
        <v>2400</v>
      </c>
      <c r="L1621">
        <v>0</v>
      </c>
      <c r="M1621">
        <v>0</v>
      </c>
      <c r="N1621">
        <v>2400</v>
      </c>
    </row>
    <row r="1622" spans="1:14" x14ac:dyDescent="0.25">
      <c r="A1622">
        <v>841.07448599999998</v>
      </c>
      <c r="B1622" s="1">
        <f>DATE(2012,8,19) + TIME(1,47,15)</f>
        <v>41140.074479166666</v>
      </c>
      <c r="C1622">
        <v>1339.1766356999999</v>
      </c>
      <c r="D1622">
        <v>1337.0166016000001</v>
      </c>
      <c r="E1622">
        <v>1325.7329102000001</v>
      </c>
      <c r="F1622">
        <v>1323.3868408000001</v>
      </c>
      <c r="G1622">
        <v>80</v>
      </c>
      <c r="H1622">
        <v>79.969871521000002</v>
      </c>
      <c r="I1622">
        <v>50</v>
      </c>
      <c r="J1622">
        <v>46.703777313000003</v>
      </c>
      <c r="K1622">
        <v>2400</v>
      </c>
      <c r="L1622">
        <v>0</v>
      </c>
      <c r="M1622">
        <v>0</v>
      </c>
      <c r="N1622">
        <v>2400</v>
      </c>
    </row>
    <row r="1623" spans="1:14" x14ac:dyDescent="0.25">
      <c r="A1623">
        <v>842.910618</v>
      </c>
      <c r="B1623" s="1">
        <f>DATE(2012,8,20) + TIME(21,51,17)</f>
        <v>41141.910613425927</v>
      </c>
      <c r="C1623">
        <v>1339.1715088000001</v>
      </c>
      <c r="D1623">
        <v>1337.0137939000001</v>
      </c>
      <c r="E1623">
        <v>1325.7218018000001</v>
      </c>
      <c r="F1623">
        <v>1323.3668213000001</v>
      </c>
      <c r="G1623">
        <v>80</v>
      </c>
      <c r="H1623">
        <v>79.969879149999997</v>
      </c>
      <c r="I1623">
        <v>50</v>
      </c>
      <c r="J1623">
        <v>46.829315186000002</v>
      </c>
      <c r="K1623">
        <v>2400</v>
      </c>
      <c r="L1623">
        <v>0</v>
      </c>
      <c r="M1623">
        <v>0</v>
      </c>
      <c r="N1623">
        <v>2400</v>
      </c>
    </row>
    <row r="1624" spans="1:14" x14ac:dyDescent="0.25">
      <c r="A1624">
        <v>844.79036900000006</v>
      </c>
      <c r="B1624" s="1">
        <f>DATE(2012,8,22) + TIME(18,58,7)</f>
        <v>41143.790358796294</v>
      </c>
      <c r="C1624">
        <v>1339.1660156</v>
      </c>
      <c r="D1624">
        <v>1337.0108643000001</v>
      </c>
      <c r="E1624">
        <v>1325.7103271000001</v>
      </c>
      <c r="F1624">
        <v>1323.3460693</v>
      </c>
      <c r="G1624">
        <v>80</v>
      </c>
      <c r="H1624">
        <v>79.969886779999996</v>
      </c>
      <c r="I1624">
        <v>50</v>
      </c>
      <c r="J1624">
        <v>46.991996765000003</v>
      </c>
      <c r="K1624">
        <v>2400</v>
      </c>
      <c r="L1624">
        <v>0</v>
      </c>
      <c r="M1624">
        <v>0</v>
      </c>
      <c r="N1624">
        <v>2400</v>
      </c>
    </row>
    <row r="1625" spans="1:14" x14ac:dyDescent="0.25">
      <c r="A1625">
        <v>845.74979699999994</v>
      </c>
      <c r="B1625" s="1">
        <f>DATE(2012,8,23) + TIME(17,59,42)</f>
        <v>41144.749791666669</v>
      </c>
      <c r="C1625">
        <v>1339.1606445</v>
      </c>
      <c r="D1625">
        <v>1337.0079346</v>
      </c>
      <c r="E1625">
        <v>1325.7010498</v>
      </c>
      <c r="F1625">
        <v>1323.3273925999999</v>
      </c>
      <c r="G1625">
        <v>80</v>
      </c>
      <c r="H1625">
        <v>79.969879149999997</v>
      </c>
      <c r="I1625">
        <v>50</v>
      </c>
      <c r="J1625">
        <v>47.151084900000001</v>
      </c>
      <c r="K1625">
        <v>2400</v>
      </c>
      <c r="L1625">
        <v>0</v>
      </c>
      <c r="M1625">
        <v>0</v>
      </c>
      <c r="N1625">
        <v>2400</v>
      </c>
    </row>
    <row r="1626" spans="1:14" x14ac:dyDescent="0.25">
      <c r="A1626">
        <v>847.45039999999995</v>
      </c>
      <c r="B1626" s="1">
        <f>DATE(2012,8,25) + TIME(10,48,34)</f>
        <v>41146.45039351852</v>
      </c>
      <c r="C1626">
        <v>1339.1578368999999</v>
      </c>
      <c r="D1626">
        <v>1337.0063477000001</v>
      </c>
      <c r="E1626">
        <v>1325.6925048999999</v>
      </c>
      <c r="F1626">
        <v>1323.3143310999999</v>
      </c>
      <c r="G1626">
        <v>80</v>
      </c>
      <c r="H1626">
        <v>79.969894409000005</v>
      </c>
      <c r="I1626">
        <v>50</v>
      </c>
      <c r="J1626">
        <v>47.323631286999998</v>
      </c>
      <c r="K1626">
        <v>2400</v>
      </c>
      <c r="L1626">
        <v>0</v>
      </c>
      <c r="M1626">
        <v>0</v>
      </c>
      <c r="N1626">
        <v>2400</v>
      </c>
    </row>
    <row r="1627" spans="1:14" x14ac:dyDescent="0.25">
      <c r="A1627">
        <v>849.30282099999999</v>
      </c>
      <c r="B1627" s="1">
        <f>DATE(2012,8,27) + TIME(7,16,3)</f>
        <v>41148.302812499998</v>
      </c>
      <c r="C1627">
        <v>1339.1530762</v>
      </c>
      <c r="D1627">
        <v>1337.0037841999999</v>
      </c>
      <c r="E1627">
        <v>1325.6839600000001</v>
      </c>
      <c r="F1627">
        <v>1323.2985839999999</v>
      </c>
      <c r="G1627">
        <v>80</v>
      </c>
      <c r="H1627">
        <v>79.969902039000004</v>
      </c>
      <c r="I1627">
        <v>50</v>
      </c>
      <c r="J1627">
        <v>47.549743651999997</v>
      </c>
      <c r="K1627">
        <v>2400</v>
      </c>
      <c r="L1627">
        <v>0</v>
      </c>
      <c r="M1627">
        <v>0</v>
      </c>
      <c r="N1627">
        <v>2400</v>
      </c>
    </row>
    <row r="1628" spans="1:14" x14ac:dyDescent="0.25">
      <c r="A1628">
        <v>851.21650099999999</v>
      </c>
      <c r="B1628" s="1">
        <f>DATE(2012,8,29) + TIME(5,11,45)</f>
        <v>41150.216493055559</v>
      </c>
      <c r="C1628">
        <v>1339.1478271000001</v>
      </c>
      <c r="D1628">
        <v>1337.0008545000001</v>
      </c>
      <c r="E1628">
        <v>1325.675293</v>
      </c>
      <c r="F1628">
        <v>1323.2827147999999</v>
      </c>
      <c r="G1628">
        <v>80</v>
      </c>
      <c r="H1628">
        <v>79.969909668</v>
      </c>
      <c r="I1628">
        <v>50</v>
      </c>
      <c r="J1628">
        <v>47.832489013999997</v>
      </c>
      <c r="K1628">
        <v>2400</v>
      </c>
      <c r="L1628">
        <v>0</v>
      </c>
      <c r="M1628">
        <v>0</v>
      </c>
      <c r="N1628">
        <v>2400</v>
      </c>
    </row>
    <row r="1629" spans="1:14" x14ac:dyDescent="0.25">
      <c r="A1629">
        <v>853.16898400000002</v>
      </c>
      <c r="B1629" s="1">
        <f>DATE(2012,8,31) + TIME(4,3,20)</f>
        <v>41152.168981481482</v>
      </c>
      <c r="C1629">
        <v>1339.1425781</v>
      </c>
      <c r="D1629">
        <v>1336.9979248</v>
      </c>
      <c r="E1629">
        <v>1325.6668701000001</v>
      </c>
      <c r="F1629">
        <v>1323.2674560999999</v>
      </c>
      <c r="G1629">
        <v>80</v>
      </c>
      <c r="H1629">
        <v>79.969924926999994</v>
      </c>
      <c r="I1629">
        <v>50</v>
      </c>
      <c r="J1629">
        <v>48.153030395999998</v>
      </c>
      <c r="K1629">
        <v>2400</v>
      </c>
      <c r="L1629">
        <v>0</v>
      </c>
      <c r="M1629">
        <v>0</v>
      </c>
      <c r="N1629">
        <v>2400</v>
      </c>
    </row>
    <row r="1630" spans="1:14" x14ac:dyDescent="0.25">
      <c r="A1630">
        <v>854</v>
      </c>
      <c r="B1630" s="1">
        <f>DATE(2012,9,1) + TIME(0,0,0)</f>
        <v>41153</v>
      </c>
      <c r="C1630">
        <v>1339.1373291</v>
      </c>
      <c r="D1630">
        <v>1336.9949951000001</v>
      </c>
      <c r="E1630">
        <v>1325.6616211</v>
      </c>
      <c r="F1630">
        <v>1323.2547606999999</v>
      </c>
      <c r="G1630">
        <v>80</v>
      </c>
      <c r="H1630">
        <v>79.969917296999995</v>
      </c>
      <c r="I1630">
        <v>50</v>
      </c>
      <c r="J1630">
        <v>48.418006896999998</v>
      </c>
      <c r="K1630">
        <v>2400</v>
      </c>
      <c r="L1630">
        <v>0</v>
      </c>
      <c r="M1630">
        <v>0</v>
      </c>
      <c r="N1630">
        <v>2400</v>
      </c>
    </row>
    <row r="1631" spans="1:14" x14ac:dyDescent="0.25">
      <c r="A1631">
        <v>855.95886399999995</v>
      </c>
      <c r="B1631" s="1">
        <f>DATE(2012,9,2) + TIME(23,0,45)</f>
        <v>41154.958854166667</v>
      </c>
      <c r="C1631">
        <v>1339.1350098</v>
      </c>
      <c r="D1631">
        <v>1336.9936522999999</v>
      </c>
      <c r="E1631">
        <v>1325.6544189000001</v>
      </c>
      <c r="F1631">
        <v>1323.246582</v>
      </c>
      <c r="G1631">
        <v>80</v>
      </c>
      <c r="H1631">
        <v>79.969940186000002</v>
      </c>
      <c r="I1631">
        <v>50</v>
      </c>
      <c r="J1631">
        <v>48.707126617</v>
      </c>
      <c r="K1631">
        <v>2400</v>
      </c>
      <c r="L1631">
        <v>0</v>
      </c>
      <c r="M1631">
        <v>0</v>
      </c>
      <c r="N1631">
        <v>2400</v>
      </c>
    </row>
    <row r="1632" spans="1:14" x14ac:dyDescent="0.25">
      <c r="A1632">
        <v>858.0068</v>
      </c>
      <c r="B1632" s="1">
        <f>DATE(2012,9,5) + TIME(0,9,47)</f>
        <v>41157.006793981483</v>
      </c>
      <c r="C1632">
        <v>1339.1298827999999</v>
      </c>
      <c r="D1632">
        <v>1336.9907227000001</v>
      </c>
      <c r="E1632">
        <v>1325.6483154</v>
      </c>
      <c r="F1632">
        <v>1323.2351074000001</v>
      </c>
      <c r="G1632">
        <v>80</v>
      </c>
      <c r="H1632">
        <v>79.969947814999998</v>
      </c>
      <c r="I1632">
        <v>50</v>
      </c>
      <c r="J1632">
        <v>49.095584869</v>
      </c>
      <c r="K1632">
        <v>2400</v>
      </c>
      <c r="L1632">
        <v>0</v>
      </c>
      <c r="M1632">
        <v>0</v>
      </c>
      <c r="N1632">
        <v>2400</v>
      </c>
    </row>
    <row r="1633" spans="1:14" x14ac:dyDescent="0.25">
      <c r="A1633">
        <v>860.10281899999995</v>
      </c>
      <c r="B1633" s="1">
        <f>DATE(2012,9,7) + TIME(2,28,3)</f>
        <v>41159.102812500001</v>
      </c>
      <c r="C1633">
        <v>1339.1245117000001</v>
      </c>
      <c r="D1633">
        <v>1336.9876709</v>
      </c>
      <c r="E1633">
        <v>1325.6420897999999</v>
      </c>
      <c r="F1633">
        <v>1323.2242432</v>
      </c>
      <c r="G1633">
        <v>80</v>
      </c>
      <c r="H1633">
        <v>79.969963074000006</v>
      </c>
      <c r="I1633">
        <v>50</v>
      </c>
      <c r="J1633">
        <v>49.540817261000001</v>
      </c>
      <c r="K1633">
        <v>2400</v>
      </c>
      <c r="L1633">
        <v>0</v>
      </c>
      <c r="M1633">
        <v>0</v>
      </c>
      <c r="N1633">
        <v>2400</v>
      </c>
    </row>
    <row r="1634" spans="1:14" x14ac:dyDescent="0.25">
      <c r="A1634">
        <v>862.29348900000002</v>
      </c>
      <c r="B1634" s="1">
        <f>DATE(2012,9,9) + TIME(7,2,37)</f>
        <v>41161.293483796297</v>
      </c>
      <c r="C1634">
        <v>1339.1190185999999</v>
      </c>
      <c r="D1634">
        <v>1336.9846190999999</v>
      </c>
      <c r="E1634">
        <v>1325.6362305</v>
      </c>
      <c r="F1634">
        <v>1323.2143555</v>
      </c>
      <c r="G1634">
        <v>80</v>
      </c>
      <c r="H1634">
        <v>79.969978333</v>
      </c>
      <c r="I1634">
        <v>50</v>
      </c>
      <c r="J1634">
        <v>50.023445129000002</v>
      </c>
      <c r="K1634">
        <v>2400</v>
      </c>
      <c r="L1634">
        <v>0</v>
      </c>
      <c r="M1634">
        <v>0</v>
      </c>
      <c r="N1634">
        <v>2400</v>
      </c>
    </row>
    <row r="1635" spans="1:14" x14ac:dyDescent="0.25">
      <c r="A1635">
        <v>864.581504</v>
      </c>
      <c r="B1635" s="1">
        <f>DATE(2012,9,11) + TIME(13,57,21)</f>
        <v>41163.581493055557</v>
      </c>
      <c r="C1635">
        <v>1339.1135254000001</v>
      </c>
      <c r="D1635">
        <v>1336.9814452999999</v>
      </c>
      <c r="E1635">
        <v>1325.6307373</v>
      </c>
      <c r="F1635">
        <v>1323.2054443</v>
      </c>
      <c r="G1635">
        <v>80</v>
      </c>
      <c r="H1635">
        <v>79.969993591000005</v>
      </c>
      <c r="I1635">
        <v>50</v>
      </c>
      <c r="J1635">
        <v>50.538661957000002</v>
      </c>
      <c r="K1635">
        <v>2400</v>
      </c>
      <c r="L1635">
        <v>0</v>
      </c>
      <c r="M1635">
        <v>0</v>
      </c>
      <c r="N1635">
        <v>2400</v>
      </c>
    </row>
    <row r="1636" spans="1:14" x14ac:dyDescent="0.25">
      <c r="A1636">
        <v>866.93433400000004</v>
      </c>
      <c r="B1636" s="1">
        <f>DATE(2012,9,13) + TIME(22,25,26)</f>
        <v>41165.934328703705</v>
      </c>
      <c r="C1636">
        <v>1339.1077881000001</v>
      </c>
      <c r="D1636">
        <v>1336.9781493999999</v>
      </c>
      <c r="E1636">
        <v>1325.6257324000001</v>
      </c>
      <c r="F1636">
        <v>1323.1975098</v>
      </c>
      <c r="G1636">
        <v>80</v>
      </c>
      <c r="H1636">
        <v>79.970016478999995</v>
      </c>
      <c r="I1636">
        <v>50</v>
      </c>
      <c r="J1636">
        <v>51.079360962000003</v>
      </c>
      <c r="K1636">
        <v>2400</v>
      </c>
      <c r="L1636">
        <v>0</v>
      </c>
      <c r="M1636">
        <v>0</v>
      </c>
      <c r="N1636">
        <v>2400</v>
      </c>
    </row>
    <row r="1637" spans="1:14" x14ac:dyDescent="0.25">
      <c r="A1637">
        <v>869.36882900000001</v>
      </c>
      <c r="B1637" s="1">
        <f>DATE(2012,9,16) + TIME(8,51,6)</f>
        <v>41168.368819444448</v>
      </c>
      <c r="C1637">
        <v>1339.1020507999999</v>
      </c>
      <c r="D1637">
        <v>1336.9747314000001</v>
      </c>
      <c r="E1637">
        <v>1325.6212158000001</v>
      </c>
      <c r="F1637">
        <v>1323.1905518000001</v>
      </c>
      <c r="G1637">
        <v>80</v>
      </c>
      <c r="H1637">
        <v>79.970031738000003</v>
      </c>
      <c r="I1637">
        <v>50</v>
      </c>
      <c r="J1637">
        <v>51.635330199999999</v>
      </c>
      <c r="K1637">
        <v>2400</v>
      </c>
      <c r="L1637">
        <v>0</v>
      </c>
      <c r="M1637">
        <v>0</v>
      </c>
      <c r="N1637">
        <v>2400</v>
      </c>
    </row>
    <row r="1638" spans="1:14" x14ac:dyDescent="0.25">
      <c r="A1638">
        <v>871.84554600000001</v>
      </c>
      <c r="B1638" s="1">
        <f>DATE(2012,9,18) + TIME(20,17,35)</f>
        <v>41170.845543981479</v>
      </c>
      <c r="C1638">
        <v>1339.0961914</v>
      </c>
      <c r="D1638">
        <v>1336.9714355000001</v>
      </c>
      <c r="E1638">
        <v>1325.6173096</v>
      </c>
      <c r="F1638">
        <v>1323.1846923999999</v>
      </c>
      <c r="G1638">
        <v>80</v>
      </c>
      <c r="H1638">
        <v>79.970046996999997</v>
      </c>
      <c r="I1638">
        <v>50</v>
      </c>
      <c r="J1638">
        <v>52.198688507</v>
      </c>
      <c r="K1638">
        <v>2400</v>
      </c>
      <c r="L1638">
        <v>0</v>
      </c>
      <c r="M1638">
        <v>0</v>
      </c>
      <c r="N1638">
        <v>2400</v>
      </c>
    </row>
    <row r="1639" spans="1:14" x14ac:dyDescent="0.25">
      <c r="A1639">
        <v>874.39981599999999</v>
      </c>
      <c r="B1639" s="1">
        <f>DATE(2012,9,21) + TIME(9,35,44)</f>
        <v>41173.399814814817</v>
      </c>
      <c r="C1639">
        <v>1339.0904541</v>
      </c>
      <c r="D1639">
        <v>1336.9680175999999</v>
      </c>
      <c r="E1639">
        <v>1325.6140137</v>
      </c>
      <c r="F1639">
        <v>1323.1796875</v>
      </c>
      <c r="G1639">
        <v>80</v>
      </c>
      <c r="H1639">
        <v>79.970069885000001</v>
      </c>
      <c r="I1639">
        <v>50</v>
      </c>
      <c r="J1639">
        <v>52.757987976000003</v>
      </c>
      <c r="K1639">
        <v>2400</v>
      </c>
      <c r="L1639">
        <v>0</v>
      </c>
      <c r="M1639">
        <v>0</v>
      </c>
      <c r="N1639">
        <v>2400</v>
      </c>
    </row>
    <row r="1640" spans="1:14" x14ac:dyDescent="0.25">
      <c r="A1640">
        <v>877.00754700000005</v>
      </c>
      <c r="B1640" s="1">
        <f>DATE(2012,9,24) + TIME(0,10,52)</f>
        <v>41176.0075462963</v>
      </c>
      <c r="C1640">
        <v>1339.0845947</v>
      </c>
      <c r="D1640">
        <v>1336.9645995999999</v>
      </c>
      <c r="E1640">
        <v>1325.6112060999999</v>
      </c>
      <c r="F1640">
        <v>1323.1754149999999</v>
      </c>
      <c r="G1640">
        <v>80</v>
      </c>
      <c r="H1640">
        <v>79.970092773000005</v>
      </c>
      <c r="I1640">
        <v>50</v>
      </c>
      <c r="J1640">
        <v>53.311950684000003</v>
      </c>
      <c r="K1640">
        <v>2400</v>
      </c>
      <c r="L1640">
        <v>0</v>
      </c>
      <c r="M1640">
        <v>0</v>
      </c>
      <c r="N1640">
        <v>2400</v>
      </c>
    </row>
    <row r="1641" spans="1:14" x14ac:dyDescent="0.25">
      <c r="A1641">
        <v>879.66958499999998</v>
      </c>
      <c r="B1641" s="1">
        <f>DATE(2012,9,26) + TIME(16,4,12)</f>
        <v>41178.669583333336</v>
      </c>
      <c r="C1641">
        <v>1339.0787353999999</v>
      </c>
      <c r="D1641">
        <v>1336.9611815999999</v>
      </c>
      <c r="E1641">
        <v>1325.6090088000001</v>
      </c>
      <c r="F1641">
        <v>1323.1721190999999</v>
      </c>
      <c r="G1641">
        <v>80</v>
      </c>
      <c r="H1641">
        <v>79.970115661999998</v>
      </c>
      <c r="I1641">
        <v>50</v>
      </c>
      <c r="J1641">
        <v>53.856857300000001</v>
      </c>
      <c r="K1641">
        <v>2400</v>
      </c>
      <c r="L1641">
        <v>0</v>
      </c>
      <c r="M1641">
        <v>0</v>
      </c>
      <c r="N1641">
        <v>2400</v>
      </c>
    </row>
    <row r="1642" spans="1:14" x14ac:dyDescent="0.25">
      <c r="A1642">
        <v>882.41875200000004</v>
      </c>
      <c r="B1642" s="1">
        <f>DATE(2012,9,29) + TIME(10,3,0)</f>
        <v>41181.418749999997</v>
      </c>
      <c r="C1642">
        <v>1339.0729980000001</v>
      </c>
      <c r="D1642">
        <v>1336.9577637</v>
      </c>
      <c r="E1642">
        <v>1325.6071777</v>
      </c>
      <c r="F1642">
        <v>1323.1694336</v>
      </c>
      <c r="G1642">
        <v>80</v>
      </c>
      <c r="H1642">
        <v>79.970138550000001</v>
      </c>
      <c r="I1642">
        <v>50</v>
      </c>
      <c r="J1642">
        <v>54.392829894999998</v>
      </c>
      <c r="K1642">
        <v>2400</v>
      </c>
      <c r="L1642">
        <v>0</v>
      </c>
      <c r="M1642">
        <v>0</v>
      </c>
      <c r="N1642">
        <v>2400</v>
      </c>
    </row>
    <row r="1643" spans="1:14" x14ac:dyDescent="0.25">
      <c r="A1643">
        <v>884</v>
      </c>
      <c r="B1643" s="1">
        <f>DATE(2012,10,1) + TIME(0,0,0)</f>
        <v>41183</v>
      </c>
      <c r="C1643">
        <v>1339.0671387</v>
      </c>
      <c r="D1643">
        <v>1336.9543457</v>
      </c>
      <c r="E1643">
        <v>1325.6072998</v>
      </c>
      <c r="F1643">
        <v>1323.1677245999999</v>
      </c>
      <c r="G1643">
        <v>80</v>
      </c>
      <c r="H1643">
        <v>79.970138550000001</v>
      </c>
      <c r="I1643">
        <v>50</v>
      </c>
      <c r="J1643">
        <v>54.857597351000003</v>
      </c>
      <c r="K1643">
        <v>2400</v>
      </c>
      <c r="L1643">
        <v>0</v>
      </c>
      <c r="M1643">
        <v>0</v>
      </c>
      <c r="N1643">
        <v>2400</v>
      </c>
    </row>
    <row r="1644" spans="1:14" x14ac:dyDescent="0.25">
      <c r="A1644">
        <v>886.79529300000002</v>
      </c>
      <c r="B1644" s="1">
        <f>DATE(2012,10,3) + TIME(19,5,13)</f>
        <v>41185.795289351852</v>
      </c>
      <c r="C1644">
        <v>1339.0638428</v>
      </c>
      <c r="D1644">
        <v>1336.9523925999999</v>
      </c>
      <c r="E1644">
        <v>1325.6049805</v>
      </c>
      <c r="F1644">
        <v>1323.1674805</v>
      </c>
      <c r="G1644">
        <v>80</v>
      </c>
      <c r="H1644">
        <v>79.970169067</v>
      </c>
      <c r="I1644">
        <v>50</v>
      </c>
      <c r="J1644">
        <v>55.240276336999997</v>
      </c>
      <c r="K1644">
        <v>2400</v>
      </c>
      <c r="L1644">
        <v>0</v>
      </c>
      <c r="M1644">
        <v>0</v>
      </c>
      <c r="N1644">
        <v>2400</v>
      </c>
    </row>
    <row r="1645" spans="1:14" x14ac:dyDescent="0.25">
      <c r="A1645">
        <v>889.70282399999996</v>
      </c>
      <c r="B1645" s="1">
        <f>DATE(2012,10,6) + TIME(16,52,3)</f>
        <v>41188.7028125</v>
      </c>
      <c r="C1645">
        <v>1339.0579834</v>
      </c>
      <c r="D1645">
        <v>1336.9489745999999</v>
      </c>
      <c r="E1645">
        <v>1325.604126</v>
      </c>
      <c r="F1645">
        <v>1323.1649170000001</v>
      </c>
      <c r="G1645">
        <v>80</v>
      </c>
      <c r="H1645">
        <v>79.970199585000003</v>
      </c>
      <c r="I1645">
        <v>50</v>
      </c>
      <c r="J1645">
        <v>55.717521667</v>
      </c>
      <c r="K1645">
        <v>2400</v>
      </c>
      <c r="L1645">
        <v>0</v>
      </c>
      <c r="M1645">
        <v>0</v>
      </c>
      <c r="N1645">
        <v>2400</v>
      </c>
    </row>
    <row r="1646" spans="1:14" x14ac:dyDescent="0.25">
      <c r="A1646">
        <v>892.67562099999998</v>
      </c>
      <c r="B1646" s="1">
        <f>DATE(2012,10,9) + TIME(16,12,53)</f>
        <v>41191.675613425927</v>
      </c>
      <c r="C1646">
        <v>1339.052124</v>
      </c>
      <c r="D1646">
        <v>1336.9455565999999</v>
      </c>
      <c r="E1646">
        <v>1325.6035156</v>
      </c>
      <c r="F1646">
        <v>1323.1635742000001</v>
      </c>
      <c r="G1646">
        <v>80</v>
      </c>
      <c r="H1646">
        <v>79.970230103000006</v>
      </c>
      <c r="I1646">
        <v>50</v>
      </c>
      <c r="J1646">
        <v>56.205852509000003</v>
      </c>
      <c r="K1646">
        <v>2400</v>
      </c>
      <c r="L1646">
        <v>0</v>
      </c>
      <c r="M1646">
        <v>0</v>
      </c>
      <c r="N1646">
        <v>2400</v>
      </c>
    </row>
    <row r="1647" spans="1:14" x14ac:dyDescent="0.25">
      <c r="A1647">
        <v>895.69856300000004</v>
      </c>
      <c r="B1647" s="1">
        <f>DATE(2012,10,12) + TIME(16,45,55)</f>
        <v>41194.698553240742</v>
      </c>
      <c r="C1647">
        <v>1339.0463867000001</v>
      </c>
      <c r="D1647">
        <v>1336.9420166</v>
      </c>
      <c r="E1647">
        <v>1325.6030272999999</v>
      </c>
      <c r="F1647">
        <v>1323.1625977000001</v>
      </c>
      <c r="G1647">
        <v>80</v>
      </c>
      <c r="H1647">
        <v>79.970252990999995</v>
      </c>
      <c r="I1647">
        <v>50</v>
      </c>
      <c r="J1647">
        <v>56.683238983000003</v>
      </c>
      <c r="K1647">
        <v>2400</v>
      </c>
      <c r="L1647">
        <v>0</v>
      </c>
      <c r="M1647">
        <v>0</v>
      </c>
      <c r="N1647">
        <v>2400</v>
      </c>
    </row>
    <row r="1648" spans="1:14" x14ac:dyDescent="0.25">
      <c r="A1648">
        <v>898.80831899999998</v>
      </c>
      <c r="B1648" s="1">
        <f>DATE(2012,10,15) + TIME(19,23,58)</f>
        <v>41197.808310185188</v>
      </c>
      <c r="C1648">
        <v>1339.0405272999999</v>
      </c>
      <c r="D1648">
        <v>1336.9385986</v>
      </c>
      <c r="E1648">
        <v>1325.6027832</v>
      </c>
      <c r="F1648">
        <v>1323.1618652</v>
      </c>
      <c r="G1648">
        <v>80</v>
      </c>
      <c r="H1648">
        <v>79.970283507999994</v>
      </c>
      <c r="I1648">
        <v>50</v>
      </c>
      <c r="J1648">
        <v>57.145969391000001</v>
      </c>
      <c r="K1648">
        <v>2400</v>
      </c>
      <c r="L1648">
        <v>0</v>
      </c>
      <c r="M1648">
        <v>0</v>
      </c>
      <c r="N1648">
        <v>2400</v>
      </c>
    </row>
    <row r="1649" spans="1:14" x14ac:dyDescent="0.25">
      <c r="A1649">
        <v>901.99456999999995</v>
      </c>
      <c r="B1649" s="1">
        <f>DATE(2012,10,18) + TIME(23,52,10)</f>
        <v>41200.994560185187</v>
      </c>
      <c r="C1649">
        <v>1339.034668</v>
      </c>
      <c r="D1649">
        <v>1336.9351807</v>
      </c>
      <c r="E1649">
        <v>1325.6026611</v>
      </c>
      <c r="F1649">
        <v>1323.1612548999999</v>
      </c>
      <c r="G1649">
        <v>80</v>
      </c>
      <c r="H1649">
        <v>79.970314025999997</v>
      </c>
      <c r="I1649">
        <v>50</v>
      </c>
      <c r="J1649">
        <v>57.590084075999997</v>
      </c>
      <c r="K1649">
        <v>2400</v>
      </c>
      <c r="L1649">
        <v>0</v>
      </c>
      <c r="M1649">
        <v>0</v>
      </c>
      <c r="N1649">
        <v>2400</v>
      </c>
    </row>
    <row r="1650" spans="1:14" x14ac:dyDescent="0.25">
      <c r="A1650">
        <v>905.22593800000004</v>
      </c>
      <c r="B1650" s="1">
        <f>DATE(2012,10,22) + TIME(5,25,21)</f>
        <v>41204.225937499999</v>
      </c>
      <c r="C1650">
        <v>1339.0289307</v>
      </c>
      <c r="D1650">
        <v>1336.9316406</v>
      </c>
      <c r="E1650">
        <v>1325.6027832</v>
      </c>
      <c r="F1650">
        <v>1323.1607666</v>
      </c>
      <c r="G1650">
        <v>80</v>
      </c>
      <c r="H1650">
        <v>79.970352172999995</v>
      </c>
      <c r="I1650">
        <v>50</v>
      </c>
      <c r="J1650">
        <v>58.023815155000001</v>
      </c>
      <c r="K1650">
        <v>2400</v>
      </c>
      <c r="L1650">
        <v>0</v>
      </c>
      <c r="M1650">
        <v>0</v>
      </c>
      <c r="N1650">
        <v>2400</v>
      </c>
    </row>
    <row r="1651" spans="1:14" x14ac:dyDescent="0.25">
      <c r="A1651">
        <v>908.559394</v>
      </c>
      <c r="B1651" s="1">
        <f>DATE(2012,10,25) + TIME(13,25,31)</f>
        <v>41207.559386574074</v>
      </c>
      <c r="C1651">
        <v>1339.0231934000001</v>
      </c>
      <c r="D1651">
        <v>1336.9282227000001</v>
      </c>
      <c r="E1651">
        <v>1325.6029053</v>
      </c>
      <c r="F1651">
        <v>1323.1604004000001</v>
      </c>
      <c r="G1651">
        <v>80</v>
      </c>
      <c r="H1651">
        <v>79.970382689999994</v>
      </c>
      <c r="I1651">
        <v>50</v>
      </c>
      <c r="J1651">
        <v>58.434459685999997</v>
      </c>
      <c r="K1651">
        <v>2400</v>
      </c>
      <c r="L1651">
        <v>0</v>
      </c>
      <c r="M1651">
        <v>0</v>
      </c>
      <c r="N1651">
        <v>2400</v>
      </c>
    </row>
    <row r="1652" spans="1:14" x14ac:dyDescent="0.25">
      <c r="A1652">
        <v>911.96771699999999</v>
      </c>
      <c r="B1652" s="1">
        <f>DATE(2012,10,28) + TIME(23,13,30)</f>
        <v>41210.96770833333</v>
      </c>
      <c r="C1652">
        <v>1339.0173339999999</v>
      </c>
      <c r="D1652">
        <v>1336.9248047000001</v>
      </c>
      <c r="E1652">
        <v>1325.6031493999999</v>
      </c>
      <c r="F1652">
        <v>1323.1600341999999</v>
      </c>
      <c r="G1652">
        <v>80</v>
      </c>
      <c r="H1652">
        <v>79.970420837000006</v>
      </c>
      <c r="I1652">
        <v>50</v>
      </c>
      <c r="J1652">
        <v>58.838466644</v>
      </c>
      <c r="K1652">
        <v>2400</v>
      </c>
      <c r="L1652">
        <v>0</v>
      </c>
      <c r="M1652">
        <v>0</v>
      </c>
      <c r="N1652">
        <v>2400</v>
      </c>
    </row>
    <row r="1653" spans="1:14" x14ac:dyDescent="0.25">
      <c r="A1653">
        <v>915</v>
      </c>
      <c r="B1653" s="1">
        <f>DATE(2012,11,1) + TIME(0,0,0)</f>
        <v>41214</v>
      </c>
      <c r="C1653">
        <v>1339.0115966999999</v>
      </c>
      <c r="D1653">
        <v>1336.9212646000001</v>
      </c>
      <c r="E1653">
        <v>1325.6037598</v>
      </c>
      <c r="F1653">
        <v>1323.1597899999999</v>
      </c>
      <c r="G1653">
        <v>80</v>
      </c>
      <c r="H1653">
        <v>79.970443725999999</v>
      </c>
      <c r="I1653">
        <v>50</v>
      </c>
      <c r="J1653">
        <v>59.209861754999999</v>
      </c>
      <c r="K1653">
        <v>2400</v>
      </c>
      <c r="L1653">
        <v>0</v>
      </c>
      <c r="M1653">
        <v>0</v>
      </c>
      <c r="N1653">
        <v>2400</v>
      </c>
    </row>
    <row r="1654" spans="1:14" x14ac:dyDescent="0.25">
      <c r="A1654">
        <v>915.000001</v>
      </c>
      <c r="B1654" s="1">
        <f>DATE(2012,11,1) + TIME(0,0,0)</f>
        <v>41214</v>
      </c>
      <c r="C1654">
        <v>1336.2849120999999</v>
      </c>
      <c r="D1654">
        <v>1335.6308594</v>
      </c>
      <c r="E1654">
        <v>1328.8985596</v>
      </c>
      <c r="F1654">
        <v>1326.5267334</v>
      </c>
      <c r="G1654">
        <v>80</v>
      </c>
      <c r="H1654">
        <v>79.970352172999995</v>
      </c>
      <c r="I1654">
        <v>50</v>
      </c>
      <c r="J1654">
        <v>59.209968566999997</v>
      </c>
      <c r="K1654">
        <v>0</v>
      </c>
      <c r="L1654">
        <v>2400</v>
      </c>
      <c r="M1654">
        <v>2400</v>
      </c>
      <c r="N1654">
        <v>0</v>
      </c>
    </row>
    <row r="1655" spans="1:14" x14ac:dyDescent="0.25">
      <c r="A1655">
        <v>915.00000399999999</v>
      </c>
      <c r="B1655" s="1">
        <f>DATE(2012,11,1) + TIME(0,0,0)</f>
        <v>41214</v>
      </c>
      <c r="C1655">
        <v>1335.4344481999999</v>
      </c>
      <c r="D1655">
        <v>1334.769043</v>
      </c>
      <c r="E1655">
        <v>1330.1046143000001</v>
      </c>
      <c r="F1655">
        <v>1327.8431396000001</v>
      </c>
      <c r="G1655">
        <v>80</v>
      </c>
      <c r="H1655">
        <v>79.970230103000006</v>
      </c>
      <c r="I1655">
        <v>50</v>
      </c>
      <c r="J1655">
        <v>59.210094452</v>
      </c>
      <c r="K1655">
        <v>0</v>
      </c>
      <c r="L1655">
        <v>2400</v>
      </c>
      <c r="M1655">
        <v>2400</v>
      </c>
      <c r="N1655">
        <v>0</v>
      </c>
    </row>
    <row r="1656" spans="1:14" x14ac:dyDescent="0.25">
      <c r="A1656">
        <v>915.00001299999997</v>
      </c>
      <c r="B1656" s="1">
        <f>DATE(2012,11,1) + TIME(0,0,1)</f>
        <v>41214.000011574077</v>
      </c>
      <c r="C1656">
        <v>1334.5504149999999</v>
      </c>
      <c r="D1656">
        <v>1333.8515625</v>
      </c>
      <c r="E1656">
        <v>1331.5716553</v>
      </c>
      <c r="F1656">
        <v>1329.2950439000001</v>
      </c>
      <c r="G1656">
        <v>80</v>
      </c>
      <c r="H1656">
        <v>79.970108031999999</v>
      </c>
      <c r="I1656">
        <v>50</v>
      </c>
      <c r="J1656">
        <v>59.210147857999999</v>
      </c>
      <c r="K1656">
        <v>0</v>
      </c>
      <c r="L1656">
        <v>2400</v>
      </c>
      <c r="M1656">
        <v>2400</v>
      </c>
      <c r="N1656">
        <v>0</v>
      </c>
    </row>
    <row r="1657" spans="1:14" x14ac:dyDescent="0.25">
      <c r="A1657">
        <v>915.00004000000001</v>
      </c>
      <c r="B1657" s="1">
        <f>DATE(2012,11,1) + TIME(0,0,3)</f>
        <v>41214.000034722223</v>
      </c>
      <c r="C1657">
        <v>1333.6760254000001</v>
      </c>
      <c r="D1657">
        <v>1332.9326172000001</v>
      </c>
      <c r="E1657">
        <v>1333.0629882999999</v>
      </c>
      <c r="F1657">
        <v>1330.7420654</v>
      </c>
      <c r="G1657">
        <v>80</v>
      </c>
      <c r="H1657">
        <v>79.969978333</v>
      </c>
      <c r="I1657">
        <v>50</v>
      </c>
      <c r="J1657">
        <v>59.209918975999997</v>
      </c>
      <c r="K1657">
        <v>0</v>
      </c>
      <c r="L1657">
        <v>2400</v>
      </c>
      <c r="M1657">
        <v>2400</v>
      </c>
      <c r="N1657">
        <v>0</v>
      </c>
    </row>
    <row r="1658" spans="1:14" x14ac:dyDescent="0.25">
      <c r="A1658">
        <v>915.00012100000004</v>
      </c>
      <c r="B1658" s="1">
        <f>DATE(2012,11,1) + TIME(0,0,10)</f>
        <v>41214.000115740739</v>
      </c>
      <c r="C1658">
        <v>1332.7696533000001</v>
      </c>
      <c r="D1658">
        <v>1331.9696045000001</v>
      </c>
      <c r="E1658">
        <v>1334.5328368999999</v>
      </c>
      <c r="F1658">
        <v>1332.1676024999999</v>
      </c>
      <c r="G1658">
        <v>80</v>
      </c>
      <c r="H1658">
        <v>79.969841002999999</v>
      </c>
      <c r="I1658">
        <v>50</v>
      </c>
      <c r="J1658">
        <v>59.208820342999999</v>
      </c>
      <c r="K1658">
        <v>0</v>
      </c>
      <c r="L1658">
        <v>2400</v>
      </c>
      <c r="M1658">
        <v>2400</v>
      </c>
      <c r="N1658">
        <v>0</v>
      </c>
    </row>
    <row r="1659" spans="1:14" x14ac:dyDescent="0.25">
      <c r="A1659">
        <v>915.00036399999999</v>
      </c>
      <c r="B1659" s="1">
        <f>DATE(2012,11,1) + TIME(0,0,31)</f>
        <v>41214.000358796293</v>
      </c>
      <c r="C1659">
        <v>1331.8095702999999</v>
      </c>
      <c r="D1659">
        <v>1330.9458007999999</v>
      </c>
      <c r="E1659">
        <v>1335.9798584</v>
      </c>
      <c r="F1659">
        <v>1333.5596923999999</v>
      </c>
      <c r="G1659">
        <v>80</v>
      </c>
      <c r="H1659">
        <v>79.969673157000003</v>
      </c>
      <c r="I1659">
        <v>50</v>
      </c>
      <c r="J1659">
        <v>59.205055237000003</v>
      </c>
      <c r="K1659">
        <v>0</v>
      </c>
      <c r="L1659">
        <v>2400</v>
      </c>
      <c r="M1659">
        <v>2400</v>
      </c>
      <c r="N1659">
        <v>0</v>
      </c>
    </row>
    <row r="1660" spans="1:14" x14ac:dyDescent="0.25">
      <c r="A1660">
        <v>915.00109299999997</v>
      </c>
      <c r="B1660" s="1">
        <f>DATE(2012,11,1) + TIME(0,1,34)</f>
        <v>41214.001087962963</v>
      </c>
      <c r="C1660">
        <v>1330.8925781</v>
      </c>
      <c r="D1660">
        <v>1329.9718018000001</v>
      </c>
      <c r="E1660">
        <v>1337.2894286999999</v>
      </c>
      <c r="F1660">
        <v>1334.8078613</v>
      </c>
      <c r="G1660">
        <v>80</v>
      </c>
      <c r="H1660">
        <v>79.969444275000001</v>
      </c>
      <c r="I1660">
        <v>50</v>
      </c>
      <c r="J1660">
        <v>59.193103790000002</v>
      </c>
      <c r="K1660">
        <v>0</v>
      </c>
      <c r="L1660">
        <v>2400</v>
      </c>
      <c r="M1660">
        <v>2400</v>
      </c>
      <c r="N1660">
        <v>0</v>
      </c>
    </row>
    <row r="1661" spans="1:14" x14ac:dyDescent="0.25">
      <c r="A1661">
        <v>915.00328000000002</v>
      </c>
      <c r="B1661" s="1">
        <f>DATE(2012,11,1) + TIME(0,4,43)</f>
        <v>41214.003275462965</v>
      </c>
      <c r="C1661">
        <v>1330.2359618999999</v>
      </c>
      <c r="D1661">
        <v>1329.2823486</v>
      </c>
      <c r="E1661">
        <v>1338.2125243999999</v>
      </c>
      <c r="F1661">
        <v>1335.6873779</v>
      </c>
      <c r="G1661">
        <v>80</v>
      </c>
      <c r="H1661">
        <v>79.969039917000003</v>
      </c>
      <c r="I1661">
        <v>50</v>
      </c>
      <c r="J1661">
        <v>59.156398772999999</v>
      </c>
      <c r="K1661">
        <v>0</v>
      </c>
      <c r="L1661">
        <v>2400</v>
      </c>
      <c r="M1661">
        <v>2400</v>
      </c>
      <c r="N1661">
        <v>0</v>
      </c>
    </row>
    <row r="1662" spans="1:14" x14ac:dyDescent="0.25">
      <c r="A1662">
        <v>915.00984100000005</v>
      </c>
      <c r="B1662" s="1">
        <f>DATE(2012,11,1) + TIME(0,14,10)</f>
        <v>41214.009837962964</v>
      </c>
      <c r="C1662">
        <v>1329.9639893000001</v>
      </c>
      <c r="D1662">
        <v>1328.9996338000001</v>
      </c>
      <c r="E1662">
        <v>1338.6043701000001</v>
      </c>
      <c r="F1662">
        <v>1336.0629882999999</v>
      </c>
      <c r="G1662">
        <v>80</v>
      </c>
      <c r="H1662">
        <v>79.968086243000002</v>
      </c>
      <c r="I1662">
        <v>50</v>
      </c>
      <c r="J1662">
        <v>59.046794890999998</v>
      </c>
      <c r="K1662">
        <v>0</v>
      </c>
      <c r="L1662">
        <v>2400</v>
      </c>
      <c r="M1662">
        <v>2400</v>
      </c>
      <c r="N1662">
        <v>0</v>
      </c>
    </row>
    <row r="1663" spans="1:14" x14ac:dyDescent="0.25">
      <c r="A1663">
        <v>915.02952400000004</v>
      </c>
      <c r="B1663" s="1">
        <f>DATE(2012,11,1) + TIME(0,42,30)</f>
        <v>41214.029513888891</v>
      </c>
      <c r="C1663">
        <v>1329.9147949000001</v>
      </c>
      <c r="D1663">
        <v>1328.9477539</v>
      </c>
      <c r="E1663">
        <v>1338.668457</v>
      </c>
      <c r="F1663">
        <v>1336.1260986</v>
      </c>
      <c r="G1663">
        <v>80</v>
      </c>
      <c r="H1663">
        <v>79.965354919000006</v>
      </c>
      <c r="I1663">
        <v>50</v>
      </c>
      <c r="J1663">
        <v>58.730728149000001</v>
      </c>
      <c r="K1663">
        <v>0</v>
      </c>
      <c r="L1663">
        <v>2400</v>
      </c>
      <c r="M1663">
        <v>2400</v>
      </c>
      <c r="N1663">
        <v>0</v>
      </c>
    </row>
    <row r="1664" spans="1:14" x14ac:dyDescent="0.25">
      <c r="A1664">
        <v>915.054576</v>
      </c>
      <c r="B1664" s="1">
        <f>DATE(2012,11,1) + TIME(1,18,35)</f>
        <v>41214.054571759261</v>
      </c>
      <c r="C1664">
        <v>1329.9085693</v>
      </c>
      <c r="D1664">
        <v>1328.9395752</v>
      </c>
      <c r="E1664">
        <v>1338.6590576000001</v>
      </c>
      <c r="F1664">
        <v>1336.1184082</v>
      </c>
      <c r="G1664">
        <v>80</v>
      </c>
      <c r="H1664">
        <v>79.961921692000004</v>
      </c>
      <c r="I1664">
        <v>50</v>
      </c>
      <c r="J1664">
        <v>58.348567963000001</v>
      </c>
      <c r="K1664">
        <v>0</v>
      </c>
      <c r="L1664">
        <v>2400</v>
      </c>
      <c r="M1664">
        <v>2400</v>
      </c>
      <c r="N1664">
        <v>0</v>
      </c>
    </row>
    <row r="1665" spans="1:14" x14ac:dyDescent="0.25">
      <c r="A1665">
        <v>915.080646</v>
      </c>
      <c r="B1665" s="1">
        <f>DATE(2012,11,1) + TIME(1,56,7)</f>
        <v>41214.080636574072</v>
      </c>
      <c r="C1665">
        <v>1329.9044189000001</v>
      </c>
      <c r="D1665">
        <v>1328.9331055</v>
      </c>
      <c r="E1665">
        <v>1338.6452637</v>
      </c>
      <c r="F1665">
        <v>1336.1063231999999</v>
      </c>
      <c r="G1665">
        <v>80</v>
      </c>
      <c r="H1665">
        <v>79.958366393999995</v>
      </c>
      <c r="I1665">
        <v>50</v>
      </c>
      <c r="J1665">
        <v>57.971309662000003</v>
      </c>
      <c r="K1665">
        <v>0</v>
      </c>
      <c r="L1665">
        <v>2400</v>
      </c>
      <c r="M1665">
        <v>2400</v>
      </c>
      <c r="N1665">
        <v>0</v>
      </c>
    </row>
    <row r="1666" spans="1:14" x14ac:dyDescent="0.25">
      <c r="A1666">
        <v>915.10778400000004</v>
      </c>
      <c r="B1666" s="1">
        <f>DATE(2012,11,1) + TIME(2,35,12)</f>
        <v>41214.107777777775</v>
      </c>
      <c r="C1666">
        <v>1329.9001464999999</v>
      </c>
      <c r="D1666">
        <v>1328.9266356999999</v>
      </c>
      <c r="E1666">
        <v>1338.6315918</v>
      </c>
      <c r="F1666">
        <v>1336.0942382999999</v>
      </c>
      <c r="G1666">
        <v>80</v>
      </c>
      <c r="H1666">
        <v>79.954689025999997</v>
      </c>
      <c r="I1666">
        <v>50</v>
      </c>
      <c r="J1666">
        <v>57.599338531000001</v>
      </c>
      <c r="K1666">
        <v>0</v>
      </c>
      <c r="L1666">
        <v>2400</v>
      </c>
      <c r="M1666">
        <v>2400</v>
      </c>
      <c r="N1666">
        <v>0</v>
      </c>
    </row>
    <row r="1667" spans="1:14" x14ac:dyDescent="0.25">
      <c r="A1667">
        <v>915.13606000000004</v>
      </c>
      <c r="B1667" s="1">
        <f>DATE(2012,11,1) + TIME(3,15,55)</f>
        <v>41214.136053240742</v>
      </c>
      <c r="C1667">
        <v>1329.895874</v>
      </c>
      <c r="D1667">
        <v>1328.9200439000001</v>
      </c>
      <c r="E1667">
        <v>1338.6180420000001</v>
      </c>
      <c r="F1667">
        <v>1336.0822754000001</v>
      </c>
      <c r="G1667">
        <v>80</v>
      </c>
      <c r="H1667">
        <v>79.950889587000006</v>
      </c>
      <c r="I1667">
        <v>50</v>
      </c>
      <c r="J1667">
        <v>57.232810974000003</v>
      </c>
      <c r="K1667">
        <v>0</v>
      </c>
      <c r="L1667">
        <v>2400</v>
      </c>
      <c r="M1667">
        <v>2400</v>
      </c>
      <c r="N1667">
        <v>0</v>
      </c>
    </row>
    <row r="1668" spans="1:14" x14ac:dyDescent="0.25">
      <c r="A1668">
        <v>915.16553499999998</v>
      </c>
      <c r="B1668" s="1">
        <f>DATE(2012,11,1) + TIME(3,58,22)</f>
        <v>41214.165532407409</v>
      </c>
      <c r="C1668">
        <v>1329.8914795000001</v>
      </c>
      <c r="D1668">
        <v>1328.9133300999999</v>
      </c>
      <c r="E1668">
        <v>1338.6049805</v>
      </c>
      <c r="F1668">
        <v>1336.0708007999999</v>
      </c>
      <c r="G1668">
        <v>80</v>
      </c>
      <c r="H1668">
        <v>79.946945189999994</v>
      </c>
      <c r="I1668">
        <v>50</v>
      </c>
      <c r="J1668">
        <v>56.872051239000001</v>
      </c>
      <c r="K1668">
        <v>0</v>
      </c>
      <c r="L1668">
        <v>2400</v>
      </c>
      <c r="M1668">
        <v>2400</v>
      </c>
      <c r="N1668">
        <v>0</v>
      </c>
    </row>
    <row r="1669" spans="1:14" x14ac:dyDescent="0.25">
      <c r="A1669">
        <v>915.19629799999996</v>
      </c>
      <c r="B1669" s="1">
        <f>DATE(2012,11,1) + TIME(4,42,40)</f>
        <v>41214.196296296293</v>
      </c>
      <c r="C1669">
        <v>1329.8869629000001</v>
      </c>
      <c r="D1669">
        <v>1328.9064940999999</v>
      </c>
      <c r="E1669">
        <v>1338.5921631000001</v>
      </c>
      <c r="F1669">
        <v>1336.0594481999999</v>
      </c>
      <c r="G1669">
        <v>80</v>
      </c>
      <c r="H1669">
        <v>79.942863463999998</v>
      </c>
      <c r="I1669">
        <v>50</v>
      </c>
      <c r="J1669">
        <v>56.517185210999997</v>
      </c>
      <c r="K1669">
        <v>0</v>
      </c>
      <c r="L1669">
        <v>2400</v>
      </c>
      <c r="M1669">
        <v>2400</v>
      </c>
      <c r="N1669">
        <v>0</v>
      </c>
    </row>
    <row r="1670" spans="1:14" x14ac:dyDescent="0.25">
      <c r="A1670">
        <v>915.22844499999997</v>
      </c>
      <c r="B1670" s="1">
        <f>DATE(2012,11,1) + TIME(5,28,57)</f>
        <v>41214.228437500002</v>
      </c>
      <c r="C1670">
        <v>1329.8824463000001</v>
      </c>
      <c r="D1670">
        <v>1328.8995361</v>
      </c>
      <c r="E1670">
        <v>1338.5798339999999</v>
      </c>
      <c r="F1670">
        <v>1336.0484618999999</v>
      </c>
      <c r="G1670">
        <v>80</v>
      </c>
      <c r="H1670">
        <v>79.938629149999997</v>
      </c>
      <c r="I1670">
        <v>50</v>
      </c>
      <c r="J1670">
        <v>56.168315886999999</v>
      </c>
      <c r="K1670">
        <v>0</v>
      </c>
      <c r="L1670">
        <v>2400</v>
      </c>
      <c r="M1670">
        <v>2400</v>
      </c>
      <c r="N1670">
        <v>0</v>
      </c>
    </row>
    <row r="1671" spans="1:14" x14ac:dyDescent="0.25">
      <c r="A1671">
        <v>915.26207699999998</v>
      </c>
      <c r="B1671" s="1">
        <f>DATE(2012,11,1) + TIME(6,17,23)</f>
        <v>41214.262071759258</v>
      </c>
      <c r="C1671">
        <v>1329.8776855000001</v>
      </c>
      <c r="D1671">
        <v>1328.8924560999999</v>
      </c>
      <c r="E1671">
        <v>1338.5678711</v>
      </c>
      <c r="F1671">
        <v>1336.0379639</v>
      </c>
      <c r="G1671">
        <v>80</v>
      </c>
      <c r="H1671">
        <v>79.934226989999999</v>
      </c>
      <c r="I1671">
        <v>50</v>
      </c>
      <c r="J1671">
        <v>55.825649261000002</v>
      </c>
      <c r="K1671">
        <v>0</v>
      </c>
      <c r="L1671">
        <v>2400</v>
      </c>
      <c r="M1671">
        <v>2400</v>
      </c>
      <c r="N1671">
        <v>0</v>
      </c>
    </row>
    <row r="1672" spans="1:14" x14ac:dyDescent="0.25">
      <c r="A1672">
        <v>915.29730400000005</v>
      </c>
      <c r="B1672" s="1">
        <f>DATE(2012,11,1) + TIME(7,8,7)</f>
        <v>41214.297303240739</v>
      </c>
      <c r="C1672">
        <v>1329.8729248</v>
      </c>
      <c r="D1672">
        <v>1328.8851318</v>
      </c>
      <c r="E1672">
        <v>1338.5563964999999</v>
      </c>
      <c r="F1672">
        <v>1336.0275879000001</v>
      </c>
      <c r="G1672">
        <v>80</v>
      </c>
      <c r="H1672">
        <v>79.929656981999997</v>
      </c>
      <c r="I1672">
        <v>50</v>
      </c>
      <c r="J1672">
        <v>55.489418030000003</v>
      </c>
      <c r="K1672">
        <v>0</v>
      </c>
      <c r="L1672">
        <v>2400</v>
      </c>
      <c r="M1672">
        <v>2400</v>
      </c>
      <c r="N1672">
        <v>0</v>
      </c>
    </row>
    <row r="1673" spans="1:14" x14ac:dyDescent="0.25">
      <c r="A1673">
        <v>915.33424600000001</v>
      </c>
      <c r="B1673" s="1">
        <f>DATE(2012,11,1) + TIME(8,1,18)</f>
        <v>41214.334236111114</v>
      </c>
      <c r="C1673">
        <v>1329.8680420000001</v>
      </c>
      <c r="D1673">
        <v>1328.8776855000001</v>
      </c>
      <c r="E1673">
        <v>1338.5454102000001</v>
      </c>
      <c r="F1673">
        <v>1336.0177002</v>
      </c>
      <c r="G1673">
        <v>80</v>
      </c>
      <c r="H1673">
        <v>79.924896239999995</v>
      </c>
      <c r="I1673">
        <v>50</v>
      </c>
      <c r="J1673">
        <v>55.159862517999997</v>
      </c>
      <c r="K1673">
        <v>0</v>
      </c>
      <c r="L1673">
        <v>2400</v>
      </c>
      <c r="M1673">
        <v>2400</v>
      </c>
      <c r="N1673">
        <v>0</v>
      </c>
    </row>
    <row r="1674" spans="1:14" x14ac:dyDescent="0.25">
      <c r="A1674">
        <v>915.37303699999995</v>
      </c>
      <c r="B1674" s="1">
        <f>DATE(2012,11,1) + TIME(8,57,10)</f>
        <v>41214.373032407406</v>
      </c>
      <c r="C1674">
        <v>1329.8630370999999</v>
      </c>
      <c r="D1674">
        <v>1328.8701172000001</v>
      </c>
      <c r="E1674">
        <v>1338.5347899999999</v>
      </c>
      <c r="F1674">
        <v>1336.0083007999999</v>
      </c>
      <c r="G1674">
        <v>80</v>
      </c>
      <c r="H1674">
        <v>79.919944763000004</v>
      </c>
      <c r="I1674">
        <v>50</v>
      </c>
      <c r="J1674">
        <v>54.837242126</v>
      </c>
      <c r="K1674">
        <v>0</v>
      </c>
      <c r="L1674">
        <v>2400</v>
      </c>
      <c r="M1674">
        <v>2400</v>
      </c>
      <c r="N1674">
        <v>0</v>
      </c>
    </row>
    <row r="1675" spans="1:14" x14ac:dyDescent="0.25">
      <c r="A1675">
        <v>915.41382499999997</v>
      </c>
      <c r="B1675" s="1">
        <f>DATE(2012,11,1) + TIME(9,55,54)</f>
        <v>41214.413819444446</v>
      </c>
      <c r="C1675">
        <v>1329.8579102000001</v>
      </c>
      <c r="D1675">
        <v>1328.8623047000001</v>
      </c>
      <c r="E1675">
        <v>1338.5246582</v>
      </c>
      <c r="F1675">
        <v>1335.9991454999999</v>
      </c>
      <c r="G1675">
        <v>80</v>
      </c>
      <c r="H1675">
        <v>79.914779663000004</v>
      </c>
      <c r="I1675">
        <v>50</v>
      </c>
      <c r="J1675">
        <v>54.521839141999997</v>
      </c>
      <c r="K1675">
        <v>0</v>
      </c>
      <c r="L1675">
        <v>2400</v>
      </c>
      <c r="M1675">
        <v>2400</v>
      </c>
      <c r="N1675">
        <v>0</v>
      </c>
    </row>
    <row r="1676" spans="1:14" x14ac:dyDescent="0.25">
      <c r="A1676">
        <v>915.456774</v>
      </c>
      <c r="B1676" s="1">
        <f>DATE(2012,11,1) + TIME(10,57,45)</f>
        <v>41214.456770833334</v>
      </c>
      <c r="C1676">
        <v>1329.8526611</v>
      </c>
      <c r="D1676">
        <v>1328.8542480000001</v>
      </c>
      <c r="E1676">
        <v>1338.5151367000001</v>
      </c>
      <c r="F1676">
        <v>1335.9904785000001</v>
      </c>
      <c r="G1676">
        <v>80</v>
      </c>
      <c r="H1676">
        <v>79.909393311000002</v>
      </c>
      <c r="I1676">
        <v>50</v>
      </c>
      <c r="J1676">
        <v>54.213947296000001</v>
      </c>
      <c r="K1676">
        <v>0</v>
      </c>
      <c r="L1676">
        <v>2400</v>
      </c>
      <c r="M1676">
        <v>2400</v>
      </c>
      <c r="N1676">
        <v>0</v>
      </c>
    </row>
    <row r="1677" spans="1:14" x14ac:dyDescent="0.25">
      <c r="A1677">
        <v>915.50206700000001</v>
      </c>
      <c r="B1677" s="1">
        <f>DATE(2012,11,1) + TIME(12,2,58)</f>
        <v>41214.502060185187</v>
      </c>
      <c r="C1677">
        <v>1329.847168</v>
      </c>
      <c r="D1677">
        <v>1328.8459473</v>
      </c>
      <c r="E1677">
        <v>1338.5061035000001</v>
      </c>
      <c r="F1677">
        <v>1335.9821777</v>
      </c>
      <c r="G1677">
        <v>80</v>
      </c>
      <c r="H1677">
        <v>79.903762817</v>
      </c>
      <c r="I1677">
        <v>50</v>
      </c>
      <c r="J1677">
        <v>53.913887023999997</v>
      </c>
      <c r="K1677">
        <v>0</v>
      </c>
      <c r="L1677">
        <v>2400</v>
      </c>
      <c r="M1677">
        <v>2400</v>
      </c>
      <c r="N1677">
        <v>0</v>
      </c>
    </row>
    <row r="1678" spans="1:14" x14ac:dyDescent="0.25">
      <c r="A1678">
        <v>915.54990699999996</v>
      </c>
      <c r="B1678" s="1">
        <f>DATE(2012,11,1) + TIME(13,11,51)</f>
        <v>41214.549895833334</v>
      </c>
      <c r="C1678">
        <v>1329.8415527</v>
      </c>
      <c r="D1678">
        <v>1328.8374022999999</v>
      </c>
      <c r="E1678">
        <v>1338.4976807</v>
      </c>
      <c r="F1678">
        <v>1335.9743652</v>
      </c>
      <c r="G1678">
        <v>80</v>
      </c>
      <c r="H1678">
        <v>79.897872925000001</v>
      </c>
      <c r="I1678">
        <v>50</v>
      </c>
      <c r="J1678">
        <v>53.622016907000003</v>
      </c>
      <c r="K1678">
        <v>0</v>
      </c>
      <c r="L1678">
        <v>2400</v>
      </c>
      <c r="M1678">
        <v>2400</v>
      </c>
      <c r="N1678">
        <v>0</v>
      </c>
    </row>
    <row r="1679" spans="1:14" x14ac:dyDescent="0.25">
      <c r="A1679">
        <v>915.60050100000001</v>
      </c>
      <c r="B1679" s="1">
        <f>DATE(2012,11,1) + TIME(14,24,43)</f>
        <v>41214.600497685184</v>
      </c>
      <c r="C1679">
        <v>1329.8358154</v>
      </c>
      <c r="D1679">
        <v>1328.8287353999999</v>
      </c>
      <c r="E1679">
        <v>1338.4897461</v>
      </c>
      <c r="F1679">
        <v>1335.9670410000001</v>
      </c>
      <c r="G1679">
        <v>80</v>
      </c>
      <c r="H1679">
        <v>79.891708374000004</v>
      </c>
      <c r="I1679">
        <v>50</v>
      </c>
      <c r="J1679">
        <v>53.338790893999999</v>
      </c>
      <c r="K1679">
        <v>0</v>
      </c>
      <c r="L1679">
        <v>2400</v>
      </c>
      <c r="M1679">
        <v>2400</v>
      </c>
      <c r="N1679">
        <v>0</v>
      </c>
    </row>
    <row r="1680" spans="1:14" x14ac:dyDescent="0.25">
      <c r="A1680">
        <v>915.65412600000002</v>
      </c>
      <c r="B1680" s="1">
        <f>DATE(2012,11,1) + TIME(15,41,56)</f>
        <v>41214.654120370367</v>
      </c>
      <c r="C1680">
        <v>1329.8298339999999</v>
      </c>
      <c r="D1680">
        <v>1328.8197021000001</v>
      </c>
      <c r="E1680">
        <v>1338.4824219</v>
      </c>
      <c r="F1680">
        <v>1335.9602050999999</v>
      </c>
      <c r="G1680">
        <v>80</v>
      </c>
      <c r="H1680">
        <v>79.885238646999994</v>
      </c>
      <c r="I1680">
        <v>50</v>
      </c>
      <c r="J1680">
        <v>53.064479828000003</v>
      </c>
      <c r="K1680">
        <v>0</v>
      </c>
      <c r="L1680">
        <v>2400</v>
      </c>
      <c r="M1680">
        <v>2400</v>
      </c>
      <c r="N1680">
        <v>0</v>
      </c>
    </row>
    <row r="1681" spans="1:14" x14ac:dyDescent="0.25">
      <c r="A1681">
        <v>915.71106999999995</v>
      </c>
      <c r="B1681" s="1">
        <f>DATE(2012,11,1) + TIME(17,3,56)</f>
        <v>41214.711064814815</v>
      </c>
      <c r="C1681">
        <v>1329.8236084</v>
      </c>
      <c r="D1681">
        <v>1328.8103027</v>
      </c>
      <c r="E1681">
        <v>1338.4757079999999</v>
      </c>
      <c r="F1681">
        <v>1335.9537353999999</v>
      </c>
      <c r="G1681">
        <v>80</v>
      </c>
      <c r="H1681">
        <v>79.878440857000001</v>
      </c>
      <c r="I1681">
        <v>50</v>
      </c>
      <c r="J1681">
        <v>52.799491881999998</v>
      </c>
      <c r="K1681">
        <v>0</v>
      </c>
      <c r="L1681">
        <v>2400</v>
      </c>
      <c r="M1681">
        <v>2400</v>
      </c>
      <c r="N1681">
        <v>0</v>
      </c>
    </row>
    <row r="1682" spans="1:14" x14ac:dyDescent="0.25">
      <c r="A1682">
        <v>915.77166</v>
      </c>
      <c r="B1682" s="1">
        <f>DATE(2012,11,1) + TIME(18,31,11)</f>
        <v>41214.771655092591</v>
      </c>
      <c r="C1682">
        <v>1329.8171387</v>
      </c>
      <c r="D1682">
        <v>1328.8006591999999</v>
      </c>
      <c r="E1682">
        <v>1338.4694824000001</v>
      </c>
      <c r="F1682">
        <v>1335.9477539</v>
      </c>
      <c r="G1682">
        <v>80</v>
      </c>
      <c r="H1682">
        <v>79.871292113999999</v>
      </c>
      <c r="I1682">
        <v>50</v>
      </c>
      <c r="J1682">
        <v>52.544246674</v>
      </c>
      <c r="K1682">
        <v>0</v>
      </c>
      <c r="L1682">
        <v>2400</v>
      </c>
      <c r="M1682">
        <v>2400</v>
      </c>
      <c r="N1682">
        <v>0</v>
      </c>
    </row>
    <row r="1683" spans="1:14" x14ac:dyDescent="0.25">
      <c r="A1683">
        <v>915.83626800000002</v>
      </c>
      <c r="B1683" s="1">
        <f>DATE(2012,11,1) + TIME(20,4,13)</f>
        <v>41214.836261574077</v>
      </c>
      <c r="C1683">
        <v>1329.8105469</v>
      </c>
      <c r="D1683">
        <v>1328.7906493999999</v>
      </c>
      <c r="E1683">
        <v>1338.4638672000001</v>
      </c>
      <c r="F1683">
        <v>1335.9423827999999</v>
      </c>
      <c r="G1683">
        <v>80</v>
      </c>
      <c r="H1683">
        <v>79.863754271999994</v>
      </c>
      <c r="I1683">
        <v>50</v>
      </c>
      <c r="J1683">
        <v>52.299186706999997</v>
      </c>
      <c r="K1683">
        <v>0</v>
      </c>
      <c r="L1683">
        <v>2400</v>
      </c>
      <c r="M1683">
        <v>2400</v>
      </c>
      <c r="N1683">
        <v>0</v>
      </c>
    </row>
    <row r="1684" spans="1:14" x14ac:dyDescent="0.25">
      <c r="A1684">
        <v>915.90531499999997</v>
      </c>
      <c r="B1684" s="1">
        <f>DATE(2012,11,1) + TIME(21,43,39)</f>
        <v>41214.905312499999</v>
      </c>
      <c r="C1684">
        <v>1329.8035889</v>
      </c>
      <c r="D1684">
        <v>1328.7801514</v>
      </c>
      <c r="E1684">
        <v>1338.4588623</v>
      </c>
      <c r="F1684">
        <v>1335.9373779</v>
      </c>
      <c r="G1684">
        <v>80</v>
      </c>
      <c r="H1684">
        <v>79.855796814000001</v>
      </c>
      <c r="I1684">
        <v>50</v>
      </c>
      <c r="J1684">
        <v>52.064769745</v>
      </c>
      <c r="K1684">
        <v>0</v>
      </c>
      <c r="L1684">
        <v>2400</v>
      </c>
      <c r="M1684">
        <v>2400</v>
      </c>
      <c r="N1684">
        <v>0</v>
      </c>
    </row>
    <row r="1685" spans="1:14" x14ac:dyDescent="0.25">
      <c r="A1685">
        <v>915.979285</v>
      </c>
      <c r="B1685" s="1">
        <f>DATE(2012,11,1) + TIME(23,30,10)</f>
        <v>41214.97928240741</v>
      </c>
      <c r="C1685">
        <v>1329.7963867000001</v>
      </c>
      <c r="D1685">
        <v>1328.7692870999999</v>
      </c>
      <c r="E1685">
        <v>1338.4544678</v>
      </c>
      <c r="F1685">
        <v>1335.9329834</v>
      </c>
      <c r="G1685">
        <v>80</v>
      </c>
      <c r="H1685">
        <v>79.847381592000005</v>
      </c>
      <c r="I1685">
        <v>50</v>
      </c>
      <c r="J1685">
        <v>51.841468810999999</v>
      </c>
      <c r="K1685">
        <v>0</v>
      </c>
      <c r="L1685">
        <v>2400</v>
      </c>
      <c r="M1685">
        <v>2400</v>
      </c>
      <c r="N1685">
        <v>0</v>
      </c>
    </row>
    <row r="1686" spans="1:14" x14ac:dyDescent="0.25">
      <c r="A1686">
        <v>916.05873199999996</v>
      </c>
      <c r="B1686" s="1">
        <f>DATE(2012,11,2) + TIME(1,24,34)</f>
        <v>41215.05872685185</v>
      </c>
      <c r="C1686">
        <v>1329.7888184000001</v>
      </c>
      <c r="D1686">
        <v>1328.7580565999999</v>
      </c>
      <c r="E1686">
        <v>1338.4504394999999</v>
      </c>
      <c r="F1686">
        <v>1335.9289550999999</v>
      </c>
      <c r="G1686">
        <v>80</v>
      </c>
      <c r="H1686">
        <v>79.838455199999999</v>
      </c>
      <c r="I1686">
        <v>50</v>
      </c>
      <c r="J1686">
        <v>51.629760742000002</v>
      </c>
      <c r="K1686">
        <v>0</v>
      </c>
      <c r="L1686">
        <v>2400</v>
      </c>
      <c r="M1686">
        <v>2400</v>
      </c>
      <c r="N1686">
        <v>0</v>
      </c>
    </row>
    <row r="1687" spans="1:14" x14ac:dyDescent="0.25">
      <c r="A1687">
        <v>916.14429500000006</v>
      </c>
      <c r="B1687" s="1">
        <f>DATE(2012,11,2) + TIME(3,27,47)</f>
        <v>41215.144293981481</v>
      </c>
      <c r="C1687">
        <v>1329.7808838000001</v>
      </c>
      <c r="D1687">
        <v>1328.7462158000001</v>
      </c>
      <c r="E1687">
        <v>1338.4470214999999</v>
      </c>
      <c r="F1687">
        <v>1335.9254149999999</v>
      </c>
      <c r="G1687">
        <v>80</v>
      </c>
      <c r="H1687">
        <v>79.828979492000002</v>
      </c>
      <c r="I1687">
        <v>50</v>
      </c>
      <c r="J1687">
        <v>51.430114746000001</v>
      </c>
      <c r="K1687">
        <v>0</v>
      </c>
      <c r="L1687">
        <v>2400</v>
      </c>
      <c r="M1687">
        <v>2400</v>
      </c>
      <c r="N1687">
        <v>0</v>
      </c>
    </row>
    <row r="1688" spans="1:14" x14ac:dyDescent="0.25">
      <c r="A1688">
        <v>916.23671300000001</v>
      </c>
      <c r="B1688" s="1">
        <f>DATE(2012,11,2) + TIME(5,40,51)</f>
        <v>41215.236701388887</v>
      </c>
      <c r="C1688">
        <v>1329.7725829999999</v>
      </c>
      <c r="D1688">
        <v>1328.7337646000001</v>
      </c>
      <c r="E1688">
        <v>1338.4440918</v>
      </c>
      <c r="F1688">
        <v>1335.9222411999999</v>
      </c>
      <c r="G1688">
        <v>80</v>
      </c>
      <c r="H1688">
        <v>79.818885803000001</v>
      </c>
      <c r="I1688">
        <v>50</v>
      </c>
      <c r="J1688">
        <v>51.242996216000002</v>
      </c>
      <c r="K1688">
        <v>0</v>
      </c>
      <c r="L1688">
        <v>2400</v>
      </c>
      <c r="M1688">
        <v>2400</v>
      </c>
      <c r="N1688">
        <v>0</v>
      </c>
    </row>
    <row r="1689" spans="1:14" x14ac:dyDescent="0.25">
      <c r="A1689">
        <v>916.33685600000001</v>
      </c>
      <c r="B1689" s="1">
        <f>DATE(2012,11,2) + TIME(8,5,4)</f>
        <v>41215.336851851855</v>
      </c>
      <c r="C1689">
        <v>1329.7637939000001</v>
      </c>
      <c r="D1689">
        <v>1328.7207031</v>
      </c>
      <c r="E1689">
        <v>1338.4416504000001</v>
      </c>
      <c r="F1689">
        <v>1335.9196777</v>
      </c>
      <c r="G1689">
        <v>80</v>
      </c>
      <c r="H1689">
        <v>79.808105468999997</v>
      </c>
      <c r="I1689">
        <v>50</v>
      </c>
      <c r="J1689">
        <v>51.068824767999999</v>
      </c>
      <c r="K1689">
        <v>0</v>
      </c>
      <c r="L1689">
        <v>2400</v>
      </c>
      <c r="M1689">
        <v>2400</v>
      </c>
      <c r="N1689">
        <v>0</v>
      </c>
    </row>
    <row r="1690" spans="1:14" x14ac:dyDescent="0.25">
      <c r="A1690">
        <v>916.44573400000002</v>
      </c>
      <c r="B1690" s="1">
        <f>DATE(2012,11,2) + TIME(10,41,51)</f>
        <v>41215.445729166669</v>
      </c>
      <c r="C1690">
        <v>1329.7545166</v>
      </c>
      <c r="D1690">
        <v>1328.7069091999999</v>
      </c>
      <c r="E1690">
        <v>1338.4394531</v>
      </c>
      <c r="F1690">
        <v>1335.9173584</v>
      </c>
      <c r="G1690">
        <v>80</v>
      </c>
      <c r="H1690">
        <v>79.796562195000007</v>
      </c>
      <c r="I1690">
        <v>50</v>
      </c>
      <c r="J1690">
        <v>50.907997131000002</v>
      </c>
      <c r="K1690">
        <v>0</v>
      </c>
      <c r="L1690">
        <v>2400</v>
      </c>
      <c r="M1690">
        <v>2400</v>
      </c>
      <c r="N1690">
        <v>0</v>
      </c>
    </row>
    <row r="1691" spans="1:14" x14ac:dyDescent="0.25">
      <c r="A1691">
        <v>916.56451300000003</v>
      </c>
      <c r="B1691" s="1">
        <f>DATE(2012,11,2) + TIME(13,32,53)</f>
        <v>41215.564502314817</v>
      </c>
      <c r="C1691">
        <v>1329.744751</v>
      </c>
      <c r="D1691">
        <v>1328.6922606999999</v>
      </c>
      <c r="E1691">
        <v>1338.4375</v>
      </c>
      <c r="F1691">
        <v>1335.9154053</v>
      </c>
      <c r="G1691">
        <v>80</v>
      </c>
      <c r="H1691">
        <v>79.784164429</v>
      </c>
      <c r="I1691">
        <v>50</v>
      </c>
      <c r="J1691">
        <v>50.760871887</v>
      </c>
      <c r="K1691">
        <v>0</v>
      </c>
      <c r="L1691">
        <v>2400</v>
      </c>
      <c r="M1691">
        <v>2400</v>
      </c>
      <c r="N1691">
        <v>0</v>
      </c>
    </row>
    <row r="1692" spans="1:14" x14ac:dyDescent="0.25">
      <c r="A1692">
        <v>916.69458099999997</v>
      </c>
      <c r="B1692" s="1">
        <f>DATE(2012,11,2) + TIME(16,40,11)</f>
        <v>41215.694571759261</v>
      </c>
      <c r="C1692">
        <v>1329.7342529</v>
      </c>
      <c r="D1692">
        <v>1328.6767577999999</v>
      </c>
      <c r="E1692">
        <v>1338.4357910000001</v>
      </c>
      <c r="F1692">
        <v>1335.9138184000001</v>
      </c>
      <c r="G1692">
        <v>80</v>
      </c>
      <c r="H1692">
        <v>79.770812988000003</v>
      </c>
      <c r="I1692">
        <v>50</v>
      </c>
      <c r="J1692">
        <v>50.627696991000001</v>
      </c>
      <c r="K1692">
        <v>0</v>
      </c>
      <c r="L1692">
        <v>2400</v>
      </c>
      <c r="M1692">
        <v>2400</v>
      </c>
      <c r="N1692">
        <v>0</v>
      </c>
    </row>
    <row r="1693" spans="1:14" x14ac:dyDescent="0.25">
      <c r="A1693">
        <v>916.83274600000004</v>
      </c>
      <c r="B1693" s="1">
        <f>DATE(2012,11,2) + TIME(19,59,9)</f>
        <v>41215.832743055558</v>
      </c>
      <c r="C1693">
        <v>1329.7232666</v>
      </c>
      <c r="D1693">
        <v>1328.6604004000001</v>
      </c>
      <c r="E1693">
        <v>1338.4346923999999</v>
      </c>
      <c r="F1693">
        <v>1335.9127197</v>
      </c>
      <c r="G1693">
        <v>80</v>
      </c>
      <c r="H1693">
        <v>79.756813049000002</v>
      </c>
      <c r="I1693">
        <v>50</v>
      </c>
      <c r="J1693">
        <v>50.511909484999997</v>
      </c>
      <c r="K1693">
        <v>0</v>
      </c>
      <c r="L1693">
        <v>2400</v>
      </c>
      <c r="M1693">
        <v>2400</v>
      </c>
      <c r="N1693">
        <v>0</v>
      </c>
    </row>
    <row r="1694" spans="1:14" x14ac:dyDescent="0.25">
      <c r="A1694">
        <v>916.97476200000006</v>
      </c>
      <c r="B1694" s="1">
        <f>DATE(2012,11,2) + TIME(23,23,39)</f>
        <v>41215.974756944444</v>
      </c>
      <c r="C1694">
        <v>1329.7117920000001</v>
      </c>
      <c r="D1694">
        <v>1328.6436768000001</v>
      </c>
      <c r="E1694">
        <v>1338.4339600000001</v>
      </c>
      <c r="F1694">
        <v>1335.9121094</v>
      </c>
      <c r="G1694">
        <v>80</v>
      </c>
      <c r="H1694">
        <v>79.742538452000005</v>
      </c>
      <c r="I1694">
        <v>50</v>
      </c>
      <c r="J1694">
        <v>50.414913177000003</v>
      </c>
      <c r="K1694">
        <v>0</v>
      </c>
      <c r="L1694">
        <v>2400</v>
      </c>
      <c r="M1694">
        <v>2400</v>
      </c>
      <c r="N1694">
        <v>0</v>
      </c>
    </row>
    <row r="1695" spans="1:14" x14ac:dyDescent="0.25">
      <c r="A1695">
        <v>917.121038</v>
      </c>
      <c r="B1695" s="1">
        <f>DATE(2012,11,3) + TIME(2,54,17)</f>
        <v>41216.121030092596</v>
      </c>
      <c r="C1695">
        <v>1329.7003173999999</v>
      </c>
      <c r="D1695">
        <v>1328.6267089999999</v>
      </c>
      <c r="E1695">
        <v>1338.4331055</v>
      </c>
      <c r="F1695">
        <v>1335.911499</v>
      </c>
      <c r="G1695">
        <v>80</v>
      </c>
      <c r="H1695">
        <v>79.727951050000001</v>
      </c>
      <c r="I1695">
        <v>50</v>
      </c>
      <c r="J1695">
        <v>50.333885193</v>
      </c>
      <c r="K1695">
        <v>0</v>
      </c>
      <c r="L1695">
        <v>2400</v>
      </c>
      <c r="M1695">
        <v>2400</v>
      </c>
      <c r="N1695">
        <v>0</v>
      </c>
    </row>
    <row r="1696" spans="1:14" x14ac:dyDescent="0.25">
      <c r="A1696">
        <v>917.27187800000002</v>
      </c>
      <c r="B1696" s="1">
        <f>DATE(2012,11,3) + TIME(6,31,30)</f>
        <v>41216.271874999999</v>
      </c>
      <c r="C1696">
        <v>1329.6887207</v>
      </c>
      <c r="D1696">
        <v>1328.6096190999999</v>
      </c>
      <c r="E1696">
        <v>1338.4318848</v>
      </c>
      <c r="F1696">
        <v>1335.9108887</v>
      </c>
      <c r="G1696">
        <v>80</v>
      </c>
      <c r="H1696">
        <v>79.713035583000007</v>
      </c>
      <c r="I1696">
        <v>50</v>
      </c>
      <c r="J1696">
        <v>50.266475677000003</v>
      </c>
      <c r="K1696">
        <v>0</v>
      </c>
      <c r="L1696">
        <v>2400</v>
      </c>
      <c r="M1696">
        <v>2400</v>
      </c>
      <c r="N1696">
        <v>0</v>
      </c>
    </row>
    <row r="1697" spans="1:14" x14ac:dyDescent="0.25">
      <c r="A1697">
        <v>917.42761499999995</v>
      </c>
      <c r="B1697" s="1">
        <f>DATE(2012,11,3) + TIME(10,15,45)</f>
        <v>41216.427604166667</v>
      </c>
      <c r="C1697">
        <v>1329.6768798999999</v>
      </c>
      <c r="D1697">
        <v>1328.5922852000001</v>
      </c>
      <c r="E1697">
        <v>1338.4304199000001</v>
      </c>
      <c r="F1697">
        <v>1335.9102783000001</v>
      </c>
      <c r="G1697">
        <v>80</v>
      </c>
      <c r="H1697">
        <v>79.697761536000002</v>
      </c>
      <c r="I1697">
        <v>50</v>
      </c>
      <c r="J1697">
        <v>50.210639954000001</v>
      </c>
      <c r="K1697">
        <v>0</v>
      </c>
      <c r="L1697">
        <v>2400</v>
      </c>
      <c r="M1697">
        <v>2400</v>
      </c>
      <c r="N1697">
        <v>0</v>
      </c>
    </row>
    <row r="1698" spans="1:14" x14ac:dyDescent="0.25">
      <c r="A1698">
        <v>917.58860200000004</v>
      </c>
      <c r="B1698" s="1">
        <f>DATE(2012,11,3) + TIME(14,7,35)</f>
        <v>41216.588599537034</v>
      </c>
      <c r="C1698">
        <v>1329.6649170000001</v>
      </c>
      <c r="D1698">
        <v>1328.574707</v>
      </c>
      <c r="E1698">
        <v>1338.4287108999999</v>
      </c>
      <c r="F1698">
        <v>1335.9094238</v>
      </c>
      <c r="G1698">
        <v>80</v>
      </c>
      <c r="H1698">
        <v>79.682106017999999</v>
      </c>
      <c r="I1698">
        <v>50</v>
      </c>
      <c r="J1698">
        <v>50.164619446000003</v>
      </c>
      <c r="K1698">
        <v>0</v>
      </c>
      <c r="L1698">
        <v>2400</v>
      </c>
      <c r="M1698">
        <v>2400</v>
      </c>
      <c r="N1698">
        <v>0</v>
      </c>
    </row>
    <row r="1699" spans="1:14" x14ac:dyDescent="0.25">
      <c r="A1699">
        <v>917.75521800000001</v>
      </c>
      <c r="B1699" s="1">
        <f>DATE(2012,11,3) + TIME(18,7,30)</f>
        <v>41216.755208333336</v>
      </c>
      <c r="C1699">
        <v>1329.652832</v>
      </c>
      <c r="D1699">
        <v>1328.5568848</v>
      </c>
      <c r="E1699">
        <v>1338.4266356999999</v>
      </c>
      <c r="F1699">
        <v>1335.9085693</v>
      </c>
      <c r="G1699">
        <v>80</v>
      </c>
      <c r="H1699">
        <v>79.666030883999994</v>
      </c>
      <c r="I1699">
        <v>50</v>
      </c>
      <c r="J1699">
        <v>50.126880645999996</v>
      </c>
      <c r="K1699">
        <v>0</v>
      </c>
      <c r="L1699">
        <v>2400</v>
      </c>
      <c r="M1699">
        <v>2400</v>
      </c>
      <c r="N1699">
        <v>0</v>
      </c>
    </row>
    <row r="1700" spans="1:14" x14ac:dyDescent="0.25">
      <c r="A1700">
        <v>917.92787399999997</v>
      </c>
      <c r="B1700" s="1">
        <f>DATE(2012,11,3) + TIME(22,16,8)</f>
        <v>41216.927870370368</v>
      </c>
      <c r="C1700">
        <v>1329.6403809000001</v>
      </c>
      <c r="D1700">
        <v>1328.5388184000001</v>
      </c>
      <c r="E1700">
        <v>1338.4241943</v>
      </c>
      <c r="F1700">
        <v>1335.9074707</v>
      </c>
      <c r="G1700">
        <v>80</v>
      </c>
      <c r="H1700">
        <v>79.649505614999995</v>
      </c>
      <c r="I1700">
        <v>50</v>
      </c>
      <c r="J1700">
        <v>50.096111297999997</v>
      </c>
      <c r="K1700">
        <v>0</v>
      </c>
      <c r="L1700">
        <v>2400</v>
      </c>
      <c r="M1700">
        <v>2400</v>
      </c>
      <c r="N1700">
        <v>0</v>
      </c>
    </row>
    <row r="1701" spans="1:14" x14ac:dyDescent="0.25">
      <c r="A1701">
        <v>918.10701600000004</v>
      </c>
      <c r="B1701" s="1">
        <f>DATE(2012,11,4) + TIME(2,34,6)</f>
        <v>41217.10701388889</v>
      </c>
      <c r="C1701">
        <v>1329.6278076000001</v>
      </c>
      <c r="D1701">
        <v>1328.5203856999999</v>
      </c>
      <c r="E1701">
        <v>1338.4213867000001</v>
      </c>
      <c r="F1701">
        <v>1335.9061279</v>
      </c>
      <c r="G1701">
        <v>80</v>
      </c>
      <c r="H1701">
        <v>79.632507324000002</v>
      </c>
      <c r="I1701">
        <v>50</v>
      </c>
      <c r="J1701">
        <v>50.071166992000002</v>
      </c>
      <c r="K1701">
        <v>0</v>
      </c>
      <c r="L1701">
        <v>2400</v>
      </c>
      <c r="M1701">
        <v>2400</v>
      </c>
      <c r="N1701">
        <v>0</v>
      </c>
    </row>
    <row r="1702" spans="1:14" x14ac:dyDescent="0.25">
      <c r="A1702">
        <v>918.29308100000003</v>
      </c>
      <c r="B1702" s="1">
        <f>DATE(2012,11,4) + TIME(7,2,2)</f>
        <v>41217.293078703704</v>
      </c>
      <c r="C1702">
        <v>1329.6148682</v>
      </c>
      <c r="D1702">
        <v>1328.5015868999999</v>
      </c>
      <c r="E1702">
        <v>1338.4183350000001</v>
      </c>
      <c r="F1702">
        <v>1335.9047852000001</v>
      </c>
      <c r="G1702">
        <v>80</v>
      </c>
      <c r="H1702">
        <v>79.614990234000004</v>
      </c>
      <c r="I1702">
        <v>50</v>
      </c>
      <c r="J1702">
        <v>50.051086425999998</v>
      </c>
      <c r="K1702">
        <v>0</v>
      </c>
      <c r="L1702">
        <v>2400</v>
      </c>
      <c r="M1702">
        <v>2400</v>
      </c>
      <c r="N1702">
        <v>0</v>
      </c>
    </row>
    <row r="1703" spans="1:14" x14ac:dyDescent="0.25">
      <c r="A1703">
        <v>918.48659799999996</v>
      </c>
      <c r="B1703" s="1">
        <f>DATE(2012,11,4) + TIME(11,40,42)</f>
        <v>41217.486597222225</v>
      </c>
      <c r="C1703">
        <v>1329.6018065999999</v>
      </c>
      <c r="D1703">
        <v>1328.4825439000001</v>
      </c>
      <c r="E1703">
        <v>1338.4149170000001</v>
      </c>
      <c r="F1703">
        <v>1335.9031981999999</v>
      </c>
      <c r="G1703">
        <v>80</v>
      </c>
      <c r="H1703">
        <v>79.596923828000001</v>
      </c>
      <c r="I1703">
        <v>50</v>
      </c>
      <c r="J1703">
        <v>50.035018921000002</v>
      </c>
      <c r="K1703">
        <v>0</v>
      </c>
      <c r="L1703">
        <v>2400</v>
      </c>
      <c r="M1703">
        <v>2400</v>
      </c>
      <c r="N1703">
        <v>0</v>
      </c>
    </row>
    <row r="1704" spans="1:14" x14ac:dyDescent="0.25">
      <c r="A1704">
        <v>918.68818099999999</v>
      </c>
      <c r="B1704" s="1">
        <f>DATE(2012,11,4) + TIME(16,30,58)</f>
        <v>41217.688171296293</v>
      </c>
      <c r="C1704">
        <v>1329.5882568</v>
      </c>
      <c r="D1704">
        <v>1328.4628906</v>
      </c>
      <c r="E1704">
        <v>1338.4111327999999</v>
      </c>
      <c r="F1704">
        <v>1335.9013672000001</v>
      </c>
      <c r="G1704">
        <v>80</v>
      </c>
      <c r="H1704">
        <v>79.578262328999998</v>
      </c>
      <c r="I1704">
        <v>50</v>
      </c>
      <c r="J1704">
        <v>50.022258759000003</v>
      </c>
      <c r="K1704">
        <v>0</v>
      </c>
      <c r="L1704">
        <v>2400</v>
      </c>
      <c r="M1704">
        <v>2400</v>
      </c>
      <c r="N1704">
        <v>0</v>
      </c>
    </row>
    <row r="1705" spans="1:14" x14ac:dyDescent="0.25">
      <c r="A1705">
        <v>918.89846199999999</v>
      </c>
      <c r="B1705" s="1">
        <f>DATE(2012,11,4) + TIME(21,33,47)</f>
        <v>41217.898460648146</v>
      </c>
      <c r="C1705">
        <v>1329.5744629000001</v>
      </c>
      <c r="D1705">
        <v>1328.4428711</v>
      </c>
      <c r="E1705">
        <v>1338.4071045000001</v>
      </c>
      <c r="F1705">
        <v>1335.8994141000001</v>
      </c>
      <c r="G1705">
        <v>80</v>
      </c>
      <c r="H1705">
        <v>79.558959960999999</v>
      </c>
      <c r="I1705">
        <v>50</v>
      </c>
      <c r="J1705">
        <v>50.012195587000001</v>
      </c>
      <c r="K1705">
        <v>0</v>
      </c>
      <c r="L1705">
        <v>2400</v>
      </c>
      <c r="M1705">
        <v>2400</v>
      </c>
      <c r="N1705">
        <v>0</v>
      </c>
    </row>
    <row r="1706" spans="1:14" x14ac:dyDescent="0.25">
      <c r="A1706">
        <v>919.11814300000003</v>
      </c>
      <c r="B1706" s="1">
        <f>DATE(2012,11,5) + TIME(2,50,7)</f>
        <v>41218.118136574078</v>
      </c>
      <c r="C1706">
        <v>1329.5603027</v>
      </c>
      <c r="D1706">
        <v>1328.4222411999999</v>
      </c>
      <c r="E1706">
        <v>1338.4027100000001</v>
      </c>
      <c r="F1706">
        <v>1335.8973389</v>
      </c>
      <c r="G1706">
        <v>80</v>
      </c>
      <c r="H1706">
        <v>79.538970946999996</v>
      </c>
      <c r="I1706">
        <v>50</v>
      </c>
      <c r="J1706">
        <v>50.004322051999999</v>
      </c>
      <c r="K1706">
        <v>0</v>
      </c>
      <c r="L1706">
        <v>2400</v>
      </c>
      <c r="M1706">
        <v>2400</v>
      </c>
      <c r="N1706">
        <v>0</v>
      </c>
    </row>
    <row r="1707" spans="1:14" x14ac:dyDescent="0.25">
      <c r="A1707">
        <v>919.34800299999995</v>
      </c>
      <c r="B1707" s="1">
        <f>DATE(2012,11,5) + TIME(8,21,7)</f>
        <v>41218.347997685189</v>
      </c>
      <c r="C1707">
        <v>1329.5456543</v>
      </c>
      <c r="D1707">
        <v>1328.4011230000001</v>
      </c>
      <c r="E1707">
        <v>1338.3981934000001</v>
      </c>
      <c r="F1707">
        <v>1335.8950195</v>
      </c>
      <c r="G1707">
        <v>80</v>
      </c>
      <c r="H1707">
        <v>79.518241881999998</v>
      </c>
      <c r="I1707">
        <v>50</v>
      </c>
      <c r="J1707">
        <v>49.998210907000001</v>
      </c>
      <c r="K1707">
        <v>0</v>
      </c>
      <c r="L1707">
        <v>2400</v>
      </c>
      <c r="M1707">
        <v>2400</v>
      </c>
      <c r="N1707">
        <v>0</v>
      </c>
    </row>
    <row r="1708" spans="1:14" x14ac:dyDescent="0.25">
      <c r="A1708">
        <v>919.58890499999995</v>
      </c>
      <c r="B1708" s="1">
        <f>DATE(2012,11,5) + TIME(14,8,1)</f>
        <v>41218.588900462964</v>
      </c>
      <c r="C1708">
        <v>1329.5306396000001</v>
      </c>
      <c r="D1708">
        <v>1328.3793945</v>
      </c>
      <c r="E1708">
        <v>1338.3933105000001</v>
      </c>
      <c r="F1708">
        <v>1335.8925781</v>
      </c>
      <c r="G1708">
        <v>80</v>
      </c>
      <c r="H1708">
        <v>79.49671936</v>
      </c>
      <c r="I1708">
        <v>50</v>
      </c>
      <c r="J1708">
        <v>49.993499755999999</v>
      </c>
      <c r="K1708">
        <v>0</v>
      </c>
      <c r="L1708">
        <v>2400</v>
      </c>
      <c r="M1708">
        <v>2400</v>
      </c>
      <c r="N1708">
        <v>0</v>
      </c>
    </row>
    <row r="1709" spans="1:14" x14ac:dyDescent="0.25">
      <c r="A1709">
        <v>919.84181799999999</v>
      </c>
      <c r="B1709" s="1">
        <f>DATE(2012,11,5) + TIME(20,12,13)</f>
        <v>41218.841817129629</v>
      </c>
      <c r="C1709">
        <v>1329.5151367000001</v>
      </c>
      <c r="D1709">
        <v>1328.3570557</v>
      </c>
      <c r="E1709">
        <v>1338.3881836</v>
      </c>
      <c r="F1709">
        <v>1335.8900146000001</v>
      </c>
      <c r="G1709">
        <v>80</v>
      </c>
      <c r="H1709">
        <v>79.474327087000006</v>
      </c>
      <c r="I1709">
        <v>50</v>
      </c>
      <c r="J1709">
        <v>49.989906310999999</v>
      </c>
      <c r="K1709">
        <v>0</v>
      </c>
      <c r="L1709">
        <v>2400</v>
      </c>
      <c r="M1709">
        <v>2400</v>
      </c>
      <c r="N1709">
        <v>0</v>
      </c>
    </row>
    <row r="1710" spans="1:14" x14ac:dyDescent="0.25">
      <c r="A1710">
        <v>920.10782099999994</v>
      </c>
      <c r="B1710" s="1">
        <f>DATE(2012,11,6) + TIME(2,35,15)</f>
        <v>41219.107812499999</v>
      </c>
      <c r="C1710">
        <v>1329.4990233999999</v>
      </c>
      <c r="D1710">
        <v>1328.3338623</v>
      </c>
      <c r="E1710">
        <v>1338.3828125</v>
      </c>
      <c r="F1710">
        <v>1335.8873291</v>
      </c>
      <c r="G1710">
        <v>80</v>
      </c>
      <c r="H1710">
        <v>79.450996399000005</v>
      </c>
      <c r="I1710">
        <v>50</v>
      </c>
      <c r="J1710">
        <v>49.987182617000002</v>
      </c>
      <c r="K1710">
        <v>0</v>
      </c>
      <c r="L1710">
        <v>2400</v>
      </c>
      <c r="M1710">
        <v>2400</v>
      </c>
      <c r="N1710">
        <v>0</v>
      </c>
    </row>
    <row r="1711" spans="1:14" x14ac:dyDescent="0.25">
      <c r="A1711">
        <v>920.38783899999999</v>
      </c>
      <c r="B1711" s="1">
        <f>DATE(2012,11,6) + TIME(9,18,29)</f>
        <v>41219.387835648151</v>
      </c>
      <c r="C1711">
        <v>1329.4824219</v>
      </c>
      <c r="D1711">
        <v>1328.3099365</v>
      </c>
      <c r="E1711">
        <v>1338.3771973</v>
      </c>
      <c r="F1711">
        <v>1335.8845214999999</v>
      </c>
      <c r="G1711">
        <v>80</v>
      </c>
      <c r="H1711">
        <v>79.426681518999999</v>
      </c>
      <c r="I1711">
        <v>50</v>
      </c>
      <c r="J1711">
        <v>49.985134125000002</v>
      </c>
      <c r="K1711">
        <v>0</v>
      </c>
      <c r="L1711">
        <v>2400</v>
      </c>
      <c r="M1711">
        <v>2400</v>
      </c>
      <c r="N1711">
        <v>0</v>
      </c>
    </row>
    <row r="1712" spans="1:14" x14ac:dyDescent="0.25">
      <c r="A1712">
        <v>920.68064800000002</v>
      </c>
      <c r="B1712" s="1">
        <f>DATE(2012,11,6) + TIME(16,20,8)</f>
        <v>41219.680648148147</v>
      </c>
      <c r="C1712">
        <v>1329.4652100000001</v>
      </c>
      <c r="D1712">
        <v>1328.2851562000001</v>
      </c>
      <c r="E1712">
        <v>1338.3714600000001</v>
      </c>
      <c r="F1712">
        <v>1335.8814697</v>
      </c>
      <c r="G1712">
        <v>80</v>
      </c>
      <c r="H1712">
        <v>79.401451111</v>
      </c>
      <c r="I1712">
        <v>50</v>
      </c>
      <c r="J1712">
        <v>49.983619689999998</v>
      </c>
      <c r="K1712">
        <v>0</v>
      </c>
      <c r="L1712">
        <v>2400</v>
      </c>
      <c r="M1712">
        <v>2400</v>
      </c>
      <c r="N1712">
        <v>0</v>
      </c>
    </row>
    <row r="1713" spans="1:14" x14ac:dyDescent="0.25">
      <c r="A1713">
        <v>920.98671100000001</v>
      </c>
      <c r="B1713" s="1">
        <f>DATE(2012,11,6) + TIME(23,40,51)</f>
        <v>41219.986701388887</v>
      </c>
      <c r="C1713">
        <v>1329.4475098</v>
      </c>
      <c r="D1713">
        <v>1328.2597656</v>
      </c>
      <c r="E1713">
        <v>1338.3654785000001</v>
      </c>
      <c r="F1713">
        <v>1335.878418</v>
      </c>
      <c r="G1713">
        <v>80</v>
      </c>
      <c r="H1713">
        <v>79.375289917000003</v>
      </c>
      <c r="I1713">
        <v>50</v>
      </c>
      <c r="J1713">
        <v>49.982501984000002</v>
      </c>
      <c r="K1713">
        <v>0</v>
      </c>
      <c r="L1713">
        <v>2400</v>
      </c>
      <c r="M1713">
        <v>2400</v>
      </c>
      <c r="N1713">
        <v>0</v>
      </c>
    </row>
    <row r="1714" spans="1:14" x14ac:dyDescent="0.25">
      <c r="A1714">
        <v>921.307095</v>
      </c>
      <c r="B1714" s="1">
        <f>DATE(2012,11,7) + TIME(7,22,12)</f>
        <v>41220.307083333333</v>
      </c>
      <c r="C1714">
        <v>1329.4291992000001</v>
      </c>
      <c r="D1714">
        <v>1328.2335204999999</v>
      </c>
      <c r="E1714">
        <v>1338.3594971</v>
      </c>
      <c r="F1714">
        <v>1335.8752440999999</v>
      </c>
      <c r="G1714">
        <v>80</v>
      </c>
      <c r="H1714">
        <v>79.348136901999993</v>
      </c>
      <c r="I1714">
        <v>50</v>
      </c>
      <c r="J1714">
        <v>49.981678008999999</v>
      </c>
      <c r="K1714">
        <v>0</v>
      </c>
      <c r="L1714">
        <v>2400</v>
      </c>
      <c r="M1714">
        <v>2400</v>
      </c>
      <c r="N1714">
        <v>0</v>
      </c>
    </row>
    <row r="1715" spans="1:14" x14ac:dyDescent="0.25">
      <c r="A1715">
        <v>921.64314200000001</v>
      </c>
      <c r="B1715" s="1">
        <f>DATE(2012,11,7) + TIME(15,26,7)</f>
        <v>41220.643136574072</v>
      </c>
      <c r="C1715">
        <v>1329.4102783000001</v>
      </c>
      <c r="D1715">
        <v>1328.206543</v>
      </c>
      <c r="E1715">
        <v>1338.3532714999999</v>
      </c>
      <c r="F1715">
        <v>1335.8719481999999</v>
      </c>
      <c r="G1715">
        <v>80</v>
      </c>
      <c r="H1715">
        <v>79.319923400999997</v>
      </c>
      <c r="I1715">
        <v>50</v>
      </c>
      <c r="J1715">
        <v>49.981075287000003</v>
      </c>
      <c r="K1715">
        <v>0</v>
      </c>
      <c r="L1715">
        <v>2400</v>
      </c>
      <c r="M1715">
        <v>2400</v>
      </c>
      <c r="N1715">
        <v>0</v>
      </c>
    </row>
    <row r="1716" spans="1:14" x14ac:dyDescent="0.25">
      <c r="A1716">
        <v>921.99636499999997</v>
      </c>
      <c r="B1716" s="1">
        <f>DATE(2012,11,7) + TIME(23,54,45)</f>
        <v>41220.996354166666</v>
      </c>
      <c r="C1716">
        <v>1329.3907471</v>
      </c>
      <c r="D1716">
        <v>1328.1785889</v>
      </c>
      <c r="E1716">
        <v>1338.3470459</v>
      </c>
      <c r="F1716">
        <v>1335.8686522999999</v>
      </c>
      <c r="G1716">
        <v>80</v>
      </c>
      <c r="H1716">
        <v>79.290565490999995</v>
      </c>
      <c r="I1716">
        <v>50</v>
      </c>
      <c r="J1716">
        <v>49.980628967000001</v>
      </c>
      <c r="K1716">
        <v>0</v>
      </c>
      <c r="L1716">
        <v>2400</v>
      </c>
      <c r="M1716">
        <v>2400</v>
      </c>
      <c r="N1716">
        <v>0</v>
      </c>
    </row>
    <row r="1717" spans="1:14" x14ac:dyDescent="0.25">
      <c r="A1717">
        <v>922.36839499999996</v>
      </c>
      <c r="B1717" s="1">
        <f>DATE(2012,11,8) + TIME(8,50,29)</f>
        <v>41221.368391203701</v>
      </c>
      <c r="C1717">
        <v>1329.3706055</v>
      </c>
      <c r="D1717">
        <v>1328.1497803</v>
      </c>
      <c r="E1717">
        <v>1338.3405762</v>
      </c>
      <c r="F1717">
        <v>1335.8653564000001</v>
      </c>
      <c r="G1717">
        <v>80</v>
      </c>
      <c r="H1717">
        <v>79.259963988999999</v>
      </c>
      <c r="I1717">
        <v>50</v>
      </c>
      <c r="J1717">
        <v>49.980297088999997</v>
      </c>
      <c r="K1717">
        <v>0</v>
      </c>
      <c r="L1717">
        <v>2400</v>
      </c>
      <c r="M1717">
        <v>2400</v>
      </c>
      <c r="N1717">
        <v>0</v>
      </c>
    </row>
    <row r="1718" spans="1:14" x14ac:dyDescent="0.25">
      <c r="A1718">
        <v>922.75891799999999</v>
      </c>
      <c r="B1718" s="1">
        <f>DATE(2012,11,8) + TIME(18,12,50)</f>
        <v>41221.758912037039</v>
      </c>
      <c r="C1718">
        <v>1329.3496094</v>
      </c>
      <c r="D1718">
        <v>1328.1198730000001</v>
      </c>
      <c r="E1718">
        <v>1338.3341064000001</v>
      </c>
      <c r="F1718">
        <v>1335.8618164</v>
      </c>
      <c r="G1718">
        <v>80</v>
      </c>
      <c r="H1718">
        <v>79.228149414000001</v>
      </c>
      <c r="I1718">
        <v>50</v>
      </c>
      <c r="J1718">
        <v>49.980049133000001</v>
      </c>
      <c r="K1718">
        <v>0</v>
      </c>
      <c r="L1718">
        <v>2400</v>
      </c>
      <c r="M1718">
        <v>2400</v>
      </c>
      <c r="N1718">
        <v>0</v>
      </c>
    </row>
    <row r="1719" spans="1:14" x14ac:dyDescent="0.25">
      <c r="A1719">
        <v>923.15711599999997</v>
      </c>
      <c r="B1719" s="1">
        <f>DATE(2012,11,9) + TIME(3,46,14)</f>
        <v>41222.157106481478</v>
      </c>
      <c r="C1719">
        <v>1329.3280029</v>
      </c>
      <c r="D1719">
        <v>1328.0892334</v>
      </c>
      <c r="E1719">
        <v>1338.3275146000001</v>
      </c>
      <c r="F1719">
        <v>1335.8583983999999</v>
      </c>
      <c r="G1719">
        <v>80</v>
      </c>
      <c r="H1719">
        <v>79.195716857999997</v>
      </c>
      <c r="I1719">
        <v>50</v>
      </c>
      <c r="J1719">
        <v>49.979869843000003</v>
      </c>
      <c r="K1719">
        <v>0</v>
      </c>
      <c r="L1719">
        <v>2400</v>
      </c>
      <c r="M1719">
        <v>2400</v>
      </c>
      <c r="N1719">
        <v>0</v>
      </c>
    </row>
    <row r="1720" spans="1:14" x14ac:dyDescent="0.25">
      <c r="A1720">
        <v>923.56404099999997</v>
      </c>
      <c r="B1720" s="1">
        <f>DATE(2012,11,9) + TIME(13,32,13)</f>
        <v>41222.564039351855</v>
      </c>
      <c r="C1720">
        <v>1329.3062743999999</v>
      </c>
      <c r="D1720">
        <v>1328.0581055</v>
      </c>
      <c r="E1720">
        <v>1338.3210449000001</v>
      </c>
      <c r="F1720">
        <v>1335.8549805</v>
      </c>
      <c r="G1720">
        <v>80</v>
      </c>
      <c r="H1720">
        <v>79.162704468000001</v>
      </c>
      <c r="I1720">
        <v>50</v>
      </c>
      <c r="J1720">
        <v>49.979732513000002</v>
      </c>
      <c r="K1720">
        <v>0</v>
      </c>
      <c r="L1720">
        <v>2400</v>
      </c>
      <c r="M1720">
        <v>2400</v>
      </c>
      <c r="N1720">
        <v>0</v>
      </c>
    </row>
    <row r="1721" spans="1:14" x14ac:dyDescent="0.25">
      <c r="A1721">
        <v>923.98056499999996</v>
      </c>
      <c r="B1721" s="1">
        <f>DATE(2012,11,9) + TIME(23,32,0)</f>
        <v>41222.980555555558</v>
      </c>
      <c r="C1721">
        <v>1329.2841797000001</v>
      </c>
      <c r="D1721">
        <v>1328.0268555</v>
      </c>
      <c r="E1721">
        <v>1338.3146973</v>
      </c>
      <c r="F1721">
        <v>1335.8515625</v>
      </c>
      <c r="G1721">
        <v>80</v>
      </c>
      <c r="H1721">
        <v>79.129119872999993</v>
      </c>
      <c r="I1721">
        <v>50</v>
      </c>
      <c r="J1721">
        <v>49.979625702</v>
      </c>
      <c r="K1721">
        <v>0</v>
      </c>
      <c r="L1721">
        <v>2400</v>
      </c>
      <c r="M1721">
        <v>2400</v>
      </c>
      <c r="N1721">
        <v>0</v>
      </c>
    </row>
    <row r="1722" spans="1:14" x14ac:dyDescent="0.25">
      <c r="A1722">
        <v>924.40762500000005</v>
      </c>
      <c r="B1722" s="1">
        <f>DATE(2012,11,10) + TIME(9,46,58)</f>
        <v>41223.40761574074</v>
      </c>
      <c r="C1722">
        <v>1329.2618408000001</v>
      </c>
      <c r="D1722">
        <v>1327.9952393000001</v>
      </c>
      <c r="E1722">
        <v>1338.3084716999999</v>
      </c>
      <c r="F1722">
        <v>1335.8482666</v>
      </c>
      <c r="G1722">
        <v>80</v>
      </c>
      <c r="H1722">
        <v>79.094955443999993</v>
      </c>
      <c r="I1722">
        <v>50</v>
      </c>
      <c r="J1722">
        <v>49.979541779000002</v>
      </c>
      <c r="K1722">
        <v>0</v>
      </c>
      <c r="L1722">
        <v>2400</v>
      </c>
      <c r="M1722">
        <v>2400</v>
      </c>
      <c r="N1722">
        <v>0</v>
      </c>
    </row>
    <row r="1723" spans="1:14" x14ac:dyDescent="0.25">
      <c r="A1723">
        <v>924.846228</v>
      </c>
      <c r="B1723" s="1">
        <f>DATE(2012,11,10) + TIME(20,18,34)</f>
        <v>41223.846226851849</v>
      </c>
      <c r="C1723">
        <v>1329.2392577999999</v>
      </c>
      <c r="D1723">
        <v>1327.9632568</v>
      </c>
      <c r="E1723">
        <v>1338.3022461</v>
      </c>
      <c r="F1723">
        <v>1335.8449707</v>
      </c>
      <c r="G1723">
        <v>80</v>
      </c>
      <c r="H1723">
        <v>79.060188292999996</v>
      </c>
      <c r="I1723">
        <v>50</v>
      </c>
      <c r="J1723">
        <v>49.979476929</v>
      </c>
      <c r="K1723">
        <v>0</v>
      </c>
      <c r="L1723">
        <v>2400</v>
      </c>
      <c r="M1723">
        <v>2400</v>
      </c>
      <c r="N1723">
        <v>0</v>
      </c>
    </row>
    <row r="1724" spans="1:14" x14ac:dyDescent="0.25">
      <c r="A1724">
        <v>925.29742799999997</v>
      </c>
      <c r="B1724" s="1">
        <f>DATE(2012,11,11) + TIME(7,8,17)</f>
        <v>41224.297418981485</v>
      </c>
      <c r="C1724">
        <v>1329.2164307</v>
      </c>
      <c r="D1724">
        <v>1327.9309082</v>
      </c>
      <c r="E1724">
        <v>1338.2961425999999</v>
      </c>
      <c r="F1724">
        <v>1335.8417969</v>
      </c>
      <c r="G1724">
        <v>80</v>
      </c>
      <c r="H1724">
        <v>79.024772643999995</v>
      </c>
      <c r="I1724">
        <v>50</v>
      </c>
      <c r="J1724">
        <v>49.979419708000002</v>
      </c>
      <c r="K1724">
        <v>0</v>
      </c>
      <c r="L1724">
        <v>2400</v>
      </c>
      <c r="M1724">
        <v>2400</v>
      </c>
      <c r="N1724">
        <v>0</v>
      </c>
    </row>
    <row r="1725" spans="1:14" x14ac:dyDescent="0.25">
      <c r="A1725">
        <v>925.76237700000001</v>
      </c>
      <c r="B1725" s="1">
        <f>DATE(2012,11,11) + TIME(18,17,49)</f>
        <v>41224.762372685182</v>
      </c>
      <c r="C1725">
        <v>1329.1932373</v>
      </c>
      <c r="D1725">
        <v>1327.8980713000001</v>
      </c>
      <c r="E1725">
        <v>1338.2901611</v>
      </c>
      <c r="F1725">
        <v>1335.838501</v>
      </c>
      <c r="G1725">
        <v>80</v>
      </c>
      <c r="H1725">
        <v>78.988655089999995</v>
      </c>
      <c r="I1725">
        <v>50</v>
      </c>
      <c r="J1725">
        <v>49.979373932000001</v>
      </c>
      <c r="K1725">
        <v>0</v>
      </c>
      <c r="L1725">
        <v>2400</v>
      </c>
      <c r="M1725">
        <v>2400</v>
      </c>
      <c r="N1725">
        <v>0</v>
      </c>
    </row>
    <row r="1726" spans="1:14" x14ac:dyDescent="0.25">
      <c r="A1726">
        <v>926.24229400000002</v>
      </c>
      <c r="B1726" s="1">
        <f>DATE(2012,11,12) + TIME(5,48,54)</f>
        <v>41225.242291666669</v>
      </c>
      <c r="C1726">
        <v>1329.1697998</v>
      </c>
      <c r="D1726">
        <v>1327.8648682</v>
      </c>
      <c r="E1726">
        <v>1338.2841797000001</v>
      </c>
      <c r="F1726">
        <v>1335.8354492000001</v>
      </c>
      <c r="G1726">
        <v>80</v>
      </c>
      <c r="H1726">
        <v>78.951774596999996</v>
      </c>
      <c r="I1726">
        <v>50</v>
      </c>
      <c r="J1726">
        <v>49.979335785000004</v>
      </c>
      <c r="K1726">
        <v>0</v>
      </c>
      <c r="L1726">
        <v>2400</v>
      </c>
      <c r="M1726">
        <v>2400</v>
      </c>
      <c r="N1726">
        <v>0</v>
      </c>
    </row>
    <row r="1727" spans="1:14" x14ac:dyDescent="0.25">
      <c r="A1727">
        <v>926.73837900000001</v>
      </c>
      <c r="B1727" s="1">
        <f>DATE(2012,11,12) + TIME(17,43,15)</f>
        <v>41225.738368055558</v>
      </c>
      <c r="C1727">
        <v>1329.1457519999999</v>
      </c>
      <c r="D1727">
        <v>1327.8311768000001</v>
      </c>
      <c r="E1727">
        <v>1338.2781981999999</v>
      </c>
      <c r="F1727">
        <v>1335.8322754000001</v>
      </c>
      <c r="G1727">
        <v>80</v>
      </c>
      <c r="H1727">
        <v>78.914070128999995</v>
      </c>
      <c r="I1727">
        <v>50</v>
      </c>
      <c r="J1727">
        <v>49.979301452999998</v>
      </c>
      <c r="K1727">
        <v>0</v>
      </c>
      <c r="L1727">
        <v>2400</v>
      </c>
      <c r="M1727">
        <v>2400</v>
      </c>
      <c r="N1727">
        <v>0</v>
      </c>
    </row>
    <row r="1728" spans="1:14" x14ac:dyDescent="0.25">
      <c r="A1728">
        <v>927.25207799999998</v>
      </c>
      <c r="B1728" s="1">
        <f>DATE(2012,11,13) + TIME(6,2,59)</f>
        <v>41226.252071759256</v>
      </c>
      <c r="C1728">
        <v>1329.1214600000001</v>
      </c>
      <c r="D1728">
        <v>1327.7967529</v>
      </c>
      <c r="E1728">
        <v>1338.2723389</v>
      </c>
      <c r="F1728">
        <v>1335.8292236</v>
      </c>
      <c r="G1728">
        <v>80</v>
      </c>
      <c r="H1728">
        <v>78.875465392999999</v>
      </c>
      <c r="I1728">
        <v>50</v>
      </c>
      <c r="J1728">
        <v>49.979270935000002</v>
      </c>
      <c r="K1728">
        <v>0</v>
      </c>
      <c r="L1728">
        <v>2400</v>
      </c>
      <c r="M1728">
        <v>2400</v>
      </c>
      <c r="N1728">
        <v>0</v>
      </c>
    </row>
    <row r="1729" spans="1:14" x14ac:dyDescent="0.25">
      <c r="A1729">
        <v>927.78505199999995</v>
      </c>
      <c r="B1729" s="1">
        <f>DATE(2012,11,13) + TIME(18,50,28)</f>
        <v>41226.785046296296</v>
      </c>
      <c r="C1729">
        <v>1329.0965576000001</v>
      </c>
      <c r="D1729">
        <v>1327.7618408000001</v>
      </c>
      <c r="E1729">
        <v>1338.2664795000001</v>
      </c>
      <c r="F1729">
        <v>1335.8261719</v>
      </c>
      <c r="G1729">
        <v>80</v>
      </c>
      <c r="H1729">
        <v>78.835868834999999</v>
      </c>
      <c r="I1729">
        <v>50</v>
      </c>
      <c r="J1729">
        <v>49.979240417</v>
      </c>
      <c r="K1729">
        <v>0</v>
      </c>
      <c r="L1729">
        <v>2400</v>
      </c>
      <c r="M1729">
        <v>2400</v>
      </c>
      <c r="N1729">
        <v>0</v>
      </c>
    </row>
    <row r="1730" spans="1:14" x14ac:dyDescent="0.25">
      <c r="A1730">
        <v>928.33904900000005</v>
      </c>
      <c r="B1730" s="1">
        <f>DATE(2012,11,14) + TIME(8,8,13)</f>
        <v>41227.339039351849</v>
      </c>
      <c r="C1730">
        <v>1329.0710449000001</v>
      </c>
      <c r="D1730">
        <v>1327.7260742000001</v>
      </c>
      <c r="E1730">
        <v>1338.2604980000001</v>
      </c>
      <c r="F1730">
        <v>1335.8229980000001</v>
      </c>
      <c r="G1730">
        <v>80</v>
      </c>
      <c r="H1730">
        <v>78.795173645000006</v>
      </c>
      <c r="I1730">
        <v>50</v>
      </c>
      <c r="J1730">
        <v>49.979217529000003</v>
      </c>
      <c r="K1730">
        <v>0</v>
      </c>
      <c r="L1730">
        <v>2400</v>
      </c>
      <c r="M1730">
        <v>2400</v>
      </c>
      <c r="N1730">
        <v>0</v>
      </c>
    </row>
    <row r="1731" spans="1:14" x14ac:dyDescent="0.25">
      <c r="A1731">
        <v>928.91600500000004</v>
      </c>
      <c r="B1731" s="1">
        <f>DATE(2012,11,14) + TIME(21,59,2)</f>
        <v>41227.915995370371</v>
      </c>
      <c r="C1731">
        <v>1329.0450439000001</v>
      </c>
      <c r="D1731">
        <v>1327.6895752</v>
      </c>
      <c r="E1731">
        <v>1338.2546387</v>
      </c>
      <c r="F1731">
        <v>1335.8200684000001</v>
      </c>
      <c r="G1731">
        <v>80</v>
      </c>
      <c r="H1731">
        <v>78.753288268999995</v>
      </c>
      <c r="I1731">
        <v>50</v>
      </c>
      <c r="J1731">
        <v>49.979190826</v>
      </c>
      <c r="K1731">
        <v>0</v>
      </c>
      <c r="L1731">
        <v>2400</v>
      </c>
      <c r="M1731">
        <v>2400</v>
      </c>
      <c r="N1731">
        <v>0</v>
      </c>
    </row>
    <row r="1732" spans="1:14" x14ac:dyDescent="0.25">
      <c r="A1732">
        <v>929.51807099999996</v>
      </c>
      <c r="B1732" s="1">
        <f>DATE(2012,11,15) + TIME(12,26,1)</f>
        <v>41228.518067129633</v>
      </c>
      <c r="C1732">
        <v>1329.0183105000001</v>
      </c>
      <c r="D1732">
        <v>1327.6520995999999</v>
      </c>
      <c r="E1732">
        <v>1338.2487793</v>
      </c>
      <c r="F1732">
        <v>1335.8170166</v>
      </c>
      <c r="G1732">
        <v>80</v>
      </c>
      <c r="H1732">
        <v>78.710083007999998</v>
      </c>
      <c r="I1732">
        <v>50</v>
      </c>
      <c r="J1732">
        <v>49.979171753000003</v>
      </c>
      <c r="K1732">
        <v>0</v>
      </c>
      <c r="L1732">
        <v>2400</v>
      </c>
      <c r="M1732">
        <v>2400</v>
      </c>
      <c r="N1732">
        <v>0</v>
      </c>
    </row>
    <row r="1733" spans="1:14" x14ac:dyDescent="0.25">
      <c r="A1733">
        <v>930.14765299999999</v>
      </c>
      <c r="B1733" s="1">
        <f>DATE(2012,11,16) + TIME(3,32,37)</f>
        <v>41229.147650462961</v>
      </c>
      <c r="C1733">
        <v>1328.9908447</v>
      </c>
      <c r="D1733">
        <v>1327.6137695</v>
      </c>
      <c r="E1733">
        <v>1338.2427978999999</v>
      </c>
      <c r="F1733">
        <v>1335.8139647999999</v>
      </c>
      <c r="G1733">
        <v>80</v>
      </c>
      <c r="H1733">
        <v>78.665428161999998</v>
      </c>
      <c r="I1733">
        <v>50</v>
      </c>
      <c r="J1733">
        <v>49.979148864999999</v>
      </c>
      <c r="K1733">
        <v>0</v>
      </c>
      <c r="L1733">
        <v>2400</v>
      </c>
      <c r="M1733">
        <v>2400</v>
      </c>
      <c r="N1733">
        <v>0</v>
      </c>
    </row>
    <row r="1734" spans="1:14" x14ac:dyDescent="0.25">
      <c r="A1734">
        <v>930.79321600000003</v>
      </c>
      <c r="B1734" s="1">
        <f>DATE(2012,11,16) + TIME(19,2,13)</f>
        <v>41229.793206018519</v>
      </c>
      <c r="C1734">
        <v>1328.9626464999999</v>
      </c>
      <c r="D1734">
        <v>1327.5744629000001</v>
      </c>
      <c r="E1734">
        <v>1338.2368164</v>
      </c>
      <c r="F1734">
        <v>1335.8109131000001</v>
      </c>
      <c r="G1734">
        <v>80</v>
      </c>
      <c r="H1734">
        <v>78.619705199999999</v>
      </c>
      <c r="I1734">
        <v>50</v>
      </c>
      <c r="J1734">
        <v>49.979129790999998</v>
      </c>
      <c r="K1734">
        <v>0</v>
      </c>
      <c r="L1734">
        <v>2400</v>
      </c>
      <c r="M1734">
        <v>2400</v>
      </c>
      <c r="N1734">
        <v>0</v>
      </c>
    </row>
    <row r="1735" spans="1:14" x14ac:dyDescent="0.25">
      <c r="A1735">
        <v>931.45589700000005</v>
      </c>
      <c r="B1735" s="1">
        <f>DATE(2012,11,17) + TIME(10,56,29)</f>
        <v>41230.455891203703</v>
      </c>
      <c r="C1735">
        <v>1328.934082</v>
      </c>
      <c r="D1735">
        <v>1327.5345459</v>
      </c>
      <c r="E1735">
        <v>1338.230957</v>
      </c>
      <c r="F1735">
        <v>1335.8079834</v>
      </c>
      <c r="G1735">
        <v>80</v>
      </c>
      <c r="H1735">
        <v>78.573028563999998</v>
      </c>
      <c r="I1735">
        <v>50</v>
      </c>
      <c r="J1735">
        <v>49.979110718000001</v>
      </c>
      <c r="K1735">
        <v>0</v>
      </c>
      <c r="L1735">
        <v>2400</v>
      </c>
      <c r="M1735">
        <v>2400</v>
      </c>
      <c r="N1735">
        <v>0</v>
      </c>
    </row>
    <row r="1736" spans="1:14" x14ac:dyDescent="0.25">
      <c r="A1736">
        <v>932.14027099999998</v>
      </c>
      <c r="B1736" s="1">
        <f>DATE(2012,11,18) + TIME(3,21,59)</f>
        <v>41231.140266203707</v>
      </c>
      <c r="C1736">
        <v>1328.9050293</v>
      </c>
      <c r="D1736">
        <v>1327.4941406</v>
      </c>
      <c r="E1736">
        <v>1338.2250977000001</v>
      </c>
      <c r="F1736">
        <v>1335.8050536999999</v>
      </c>
      <c r="G1736">
        <v>80</v>
      </c>
      <c r="H1736">
        <v>78.525283813000001</v>
      </c>
      <c r="I1736">
        <v>50</v>
      </c>
      <c r="J1736">
        <v>49.979091644</v>
      </c>
      <c r="K1736">
        <v>0</v>
      </c>
      <c r="L1736">
        <v>2400</v>
      </c>
      <c r="M1736">
        <v>2400</v>
      </c>
      <c r="N1736">
        <v>0</v>
      </c>
    </row>
    <row r="1737" spans="1:14" x14ac:dyDescent="0.25">
      <c r="A1737">
        <v>932.84728500000006</v>
      </c>
      <c r="B1737" s="1">
        <f>DATE(2012,11,18) + TIME(20,20,5)</f>
        <v>41231.847280092596</v>
      </c>
      <c r="C1737">
        <v>1328.8756103999999</v>
      </c>
      <c r="D1737">
        <v>1327.453125</v>
      </c>
      <c r="E1737">
        <v>1338.2193603999999</v>
      </c>
      <c r="F1737">
        <v>1335.802124</v>
      </c>
      <c r="G1737">
        <v>80</v>
      </c>
      <c r="H1737">
        <v>78.476409911999994</v>
      </c>
      <c r="I1737">
        <v>50</v>
      </c>
      <c r="J1737">
        <v>49.979072571000003</v>
      </c>
      <c r="K1737">
        <v>0</v>
      </c>
      <c r="L1737">
        <v>2400</v>
      </c>
      <c r="M1737">
        <v>2400</v>
      </c>
      <c r="N1737">
        <v>0</v>
      </c>
    </row>
    <row r="1738" spans="1:14" x14ac:dyDescent="0.25">
      <c r="A1738">
        <v>933.58082000000002</v>
      </c>
      <c r="B1738" s="1">
        <f>DATE(2012,11,19) + TIME(13,56,22)</f>
        <v>41232.580810185187</v>
      </c>
      <c r="C1738">
        <v>1328.8455810999999</v>
      </c>
      <c r="D1738">
        <v>1327.411499</v>
      </c>
      <c r="E1738">
        <v>1338.2136230000001</v>
      </c>
      <c r="F1738">
        <v>1335.7993164</v>
      </c>
      <c r="G1738">
        <v>80</v>
      </c>
      <c r="H1738">
        <v>78.426239014000004</v>
      </c>
      <c r="I1738">
        <v>50</v>
      </c>
      <c r="J1738">
        <v>49.979053497000002</v>
      </c>
      <c r="K1738">
        <v>0</v>
      </c>
      <c r="L1738">
        <v>2400</v>
      </c>
      <c r="M1738">
        <v>2400</v>
      </c>
      <c r="N1738">
        <v>0</v>
      </c>
    </row>
    <row r="1739" spans="1:14" x14ac:dyDescent="0.25">
      <c r="A1739">
        <v>934.346542</v>
      </c>
      <c r="B1739" s="1">
        <f>DATE(2012,11,20) + TIME(8,19,1)</f>
        <v>41233.346539351849</v>
      </c>
      <c r="C1739">
        <v>1328.8149414</v>
      </c>
      <c r="D1739">
        <v>1327.3690185999999</v>
      </c>
      <c r="E1739">
        <v>1338.2078856999999</v>
      </c>
      <c r="F1739">
        <v>1335.7965088000001</v>
      </c>
      <c r="G1739">
        <v>80</v>
      </c>
      <c r="H1739">
        <v>78.374504088999998</v>
      </c>
      <c r="I1739">
        <v>50</v>
      </c>
      <c r="J1739">
        <v>49.979038238999998</v>
      </c>
      <c r="K1739">
        <v>0</v>
      </c>
      <c r="L1739">
        <v>2400</v>
      </c>
      <c r="M1739">
        <v>2400</v>
      </c>
      <c r="N1739">
        <v>0</v>
      </c>
    </row>
    <row r="1740" spans="1:14" x14ac:dyDescent="0.25">
      <c r="A1740">
        <v>935.14558899999997</v>
      </c>
      <c r="B1740" s="1">
        <f>DATE(2012,11,21) + TIME(3,29,38)</f>
        <v>41234.145578703705</v>
      </c>
      <c r="C1740">
        <v>1328.7834473</v>
      </c>
      <c r="D1740">
        <v>1327.3254394999999</v>
      </c>
      <c r="E1740">
        <v>1338.2021483999999</v>
      </c>
      <c r="F1740">
        <v>1335.7937012</v>
      </c>
      <c r="G1740">
        <v>80</v>
      </c>
      <c r="H1740">
        <v>78.321029663000004</v>
      </c>
      <c r="I1740">
        <v>50</v>
      </c>
      <c r="J1740">
        <v>49.979019164999997</v>
      </c>
      <c r="K1740">
        <v>0</v>
      </c>
      <c r="L1740">
        <v>2400</v>
      </c>
      <c r="M1740">
        <v>2400</v>
      </c>
      <c r="N1740">
        <v>0</v>
      </c>
    </row>
    <row r="1741" spans="1:14" x14ac:dyDescent="0.25">
      <c r="A1741">
        <v>935.963662</v>
      </c>
      <c r="B1741" s="1">
        <f>DATE(2012,11,21) + TIME(23,7,40)</f>
        <v>41234.96365740741</v>
      </c>
      <c r="C1741">
        <v>1328.7512207</v>
      </c>
      <c r="D1741">
        <v>1327.2810059000001</v>
      </c>
      <c r="E1741">
        <v>1338.1962891000001</v>
      </c>
      <c r="F1741">
        <v>1335.7910156</v>
      </c>
      <c r="G1741">
        <v>80</v>
      </c>
      <c r="H1741">
        <v>78.266159058</v>
      </c>
      <c r="I1741">
        <v>50</v>
      </c>
      <c r="J1741">
        <v>49.979003906000003</v>
      </c>
      <c r="K1741">
        <v>0</v>
      </c>
      <c r="L1741">
        <v>2400</v>
      </c>
      <c r="M1741">
        <v>2400</v>
      </c>
      <c r="N1741">
        <v>0</v>
      </c>
    </row>
    <row r="1742" spans="1:14" x14ac:dyDescent="0.25">
      <c r="A1742">
        <v>936.80329300000005</v>
      </c>
      <c r="B1742" s="1">
        <f>DATE(2012,11,22) + TIME(19,16,44)</f>
        <v>41235.803287037037</v>
      </c>
      <c r="C1742">
        <v>1328.7186279</v>
      </c>
      <c r="D1742">
        <v>1327.2359618999999</v>
      </c>
      <c r="E1742">
        <v>1338.1906738</v>
      </c>
      <c r="F1742">
        <v>1335.7882079999999</v>
      </c>
      <c r="G1742">
        <v>80</v>
      </c>
      <c r="H1742">
        <v>78.210029602000006</v>
      </c>
      <c r="I1742">
        <v>50</v>
      </c>
      <c r="J1742">
        <v>49.978984832999998</v>
      </c>
      <c r="K1742">
        <v>0</v>
      </c>
      <c r="L1742">
        <v>2400</v>
      </c>
      <c r="M1742">
        <v>2400</v>
      </c>
      <c r="N1742">
        <v>0</v>
      </c>
    </row>
    <row r="1743" spans="1:14" x14ac:dyDescent="0.25">
      <c r="A1743">
        <v>937.66062099999999</v>
      </c>
      <c r="B1743" s="1">
        <f>DATE(2012,11,23) + TIME(15,51,17)</f>
        <v>41236.660613425927</v>
      </c>
      <c r="C1743">
        <v>1328.6856689000001</v>
      </c>
      <c r="D1743">
        <v>1327.1905518000001</v>
      </c>
      <c r="E1743">
        <v>1338.1849365</v>
      </c>
      <c r="F1743">
        <v>1335.7856445</v>
      </c>
      <c r="G1743">
        <v>80</v>
      </c>
      <c r="H1743">
        <v>78.152801514000004</v>
      </c>
      <c r="I1743">
        <v>50</v>
      </c>
      <c r="J1743">
        <v>49.978969573999997</v>
      </c>
      <c r="K1743">
        <v>0</v>
      </c>
      <c r="L1743">
        <v>2400</v>
      </c>
      <c r="M1743">
        <v>2400</v>
      </c>
      <c r="N1743">
        <v>0</v>
      </c>
    </row>
    <row r="1744" spans="1:14" x14ac:dyDescent="0.25">
      <c r="A1744">
        <v>938.52712099999997</v>
      </c>
      <c r="B1744" s="1">
        <f>DATE(2012,11,24) + TIME(12,39,3)</f>
        <v>41237.527118055557</v>
      </c>
      <c r="C1744">
        <v>1328.6525879000001</v>
      </c>
      <c r="D1744">
        <v>1327.1448975000001</v>
      </c>
      <c r="E1744">
        <v>1338.1794434000001</v>
      </c>
      <c r="F1744">
        <v>1335.7829589999999</v>
      </c>
      <c r="G1744">
        <v>80</v>
      </c>
      <c r="H1744">
        <v>78.094818114999995</v>
      </c>
      <c r="I1744">
        <v>50</v>
      </c>
      <c r="J1744">
        <v>49.978954315000003</v>
      </c>
      <c r="K1744">
        <v>0</v>
      </c>
      <c r="L1744">
        <v>2400</v>
      </c>
      <c r="M1744">
        <v>2400</v>
      </c>
      <c r="N1744">
        <v>0</v>
      </c>
    </row>
    <row r="1745" spans="1:14" x14ac:dyDescent="0.25">
      <c r="A1745">
        <v>939.40851499999997</v>
      </c>
      <c r="B1745" s="1">
        <f>DATE(2012,11,25) + TIME(9,48,15)</f>
        <v>41238.408506944441</v>
      </c>
      <c r="C1745">
        <v>1328.6193848</v>
      </c>
      <c r="D1745">
        <v>1327.0992432</v>
      </c>
      <c r="E1745">
        <v>1338.1739502</v>
      </c>
      <c r="F1745">
        <v>1335.7805175999999</v>
      </c>
      <c r="G1745">
        <v>80</v>
      </c>
      <c r="H1745">
        <v>78.036094665999997</v>
      </c>
      <c r="I1745">
        <v>50</v>
      </c>
      <c r="J1745">
        <v>49.978939056000002</v>
      </c>
      <c r="K1745">
        <v>0</v>
      </c>
      <c r="L1745">
        <v>2400</v>
      </c>
      <c r="M1745">
        <v>2400</v>
      </c>
      <c r="N1745">
        <v>0</v>
      </c>
    </row>
    <row r="1746" spans="1:14" x14ac:dyDescent="0.25">
      <c r="A1746">
        <v>940.31062199999997</v>
      </c>
      <c r="B1746" s="1">
        <f>DATE(2012,11,26) + TIME(7,27,17)</f>
        <v>41239.310613425929</v>
      </c>
      <c r="C1746">
        <v>1328.5863036999999</v>
      </c>
      <c r="D1746">
        <v>1327.0535889</v>
      </c>
      <c r="E1746">
        <v>1338.1687012</v>
      </c>
      <c r="F1746">
        <v>1335.7780762</v>
      </c>
      <c r="G1746">
        <v>80</v>
      </c>
      <c r="H1746">
        <v>77.976417541999993</v>
      </c>
      <c r="I1746">
        <v>50</v>
      </c>
      <c r="J1746">
        <v>49.978923797999997</v>
      </c>
      <c r="K1746">
        <v>0</v>
      </c>
      <c r="L1746">
        <v>2400</v>
      </c>
      <c r="M1746">
        <v>2400</v>
      </c>
      <c r="N1746">
        <v>0</v>
      </c>
    </row>
    <row r="1747" spans="1:14" x14ac:dyDescent="0.25">
      <c r="A1747">
        <v>941.23963200000003</v>
      </c>
      <c r="B1747" s="1">
        <f>DATE(2012,11,27) + TIME(5,45,4)</f>
        <v>41240.239629629628</v>
      </c>
      <c r="C1747">
        <v>1328.5528564000001</v>
      </c>
      <c r="D1747">
        <v>1327.0078125</v>
      </c>
      <c r="E1747">
        <v>1338.1634521000001</v>
      </c>
      <c r="F1747">
        <v>1335.7756348</v>
      </c>
      <c r="G1747">
        <v>80</v>
      </c>
      <c r="H1747">
        <v>77.915451050000001</v>
      </c>
      <c r="I1747">
        <v>50</v>
      </c>
      <c r="J1747">
        <v>49.978908539000003</v>
      </c>
      <c r="K1747">
        <v>0</v>
      </c>
      <c r="L1747">
        <v>2400</v>
      </c>
      <c r="M1747">
        <v>2400</v>
      </c>
      <c r="N1747">
        <v>0</v>
      </c>
    </row>
    <row r="1748" spans="1:14" x14ac:dyDescent="0.25">
      <c r="A1748">
        <v>942.20236199999999</v>
      </c>
      <c r="B1748" s="1">
        <f>DATE(2012,11,28) + TIME(4,51,24)</f>
        <v>41241.202361111114</v>
      </c>
      <c r="C1748">
        <v>1328.5191649999999</v>
      </c>
      <c r="D1748">
        <v>1326.9616699000001</v>
      </c>
      <c r="E1748">
        <v>1338.1582031</v>
      </c>
      <c r="F1748">
        <v>1335.7733154</v>
      </c>
      <c r="G1748">
        <v>80</v>
      </c>
      <c r="H1748">
        <v>77.852783203000001</v>
      </c>
      <c r="I1748">
        <v>50</v>
      </c>
      <c r="J1748">
        <v>49.978893280000001</v>
      </c>
      <c r="K1748">
        <v>0</v>
      </c>
      <c r="L1748">
        <v>2400</v>
      </c>
      <c r="M1748">
        <v>2400</v>
      </c>
      <c r="N1748">
        <v>0</v>
      </c>
    </row>
    <row r="1749" spans="1:14" x14ac:dyDescent="0.25">
      <c r="A1749">
        <v>943.20656799999995</v>
      </c>
      <c r="B1749" s="1">
        <f>DATE(2012,11,29) + TIME(4,57,27)</f>
        <v>41242.206562500003</v>
      </c>
      <c r="C1749">
        <v>1328.4848632999999</v>
      </c>
      <c r="D1749">
        <v>1326.9146728999999</v>
      </c>
      <c r="E1749">
        <v>1338.1529541</v>
      </c>
      <c r="F1749">
        <v>1335.7709961</v>
      </c>
      <c r="G1749">
        <v>80</v>
      </c>
      <c r="H1749">
        <v>77.787918090999995</v>
      </c>
      <c r="I1749">
        <v>50</v>
      </c>
      <c r="J1749">
        <v>49.978878021</v>
      </c>
      <c r="K1749">
        <v>0</v>
      </c>
      <c r="L1749">
        <v>2400</v>
      </c>
      <c r="M1749">
        <v>2400</v>
      </c>
      <c r="N1749">
        <v>0</v>
      </c>
    </row>
    <row r="1750" spans="1:14" x14ac:dyDescent="0.25">
      <c r="A1750">
        <v>944.26103999999998</v>
      </c>
      <c r="B1750" s="1">
        <f>DATE(2012,11,30) + TIME(6,15,53)</f>
        <v>41243.261030092595</v>
      </c>
      <c r="C1750">
        <v>1328.4498291</v>
      </c>
      <c r="D1750">
        <v>1326.8668213000001</v>
      </c>
      <c r="E1750">
        <v>1338.1475829999999</v>
      </c>
      <c r="F1750">
        <v>1335.7686768000001</v>
      </c>
      <c r="G1750">
        <v>80</v>
      </c>
      <c r="H1750">
        <v>77.720321655000006</v>
      </c>
      <c r="I1750">
        <v>50</v>
      </c>
      <c r="J1750">
        <v>49.978862761999999</v>
      </c>
      <c r="K1750">
        <v>0</v>
      </c>
      <c r="L1750">
        <v>2400</v>
      </c>
      <c r="M1750">
        <v>2400</v>
      </c>
      <c r="N1750">
        <v>0</v>
      </c>
    </row>
    <row r="1751" spans="1:14" x14ac:dyDescent="0.25">
      <c r="A1751">
        <v>945</v>
      </c>
      <c r="B1751" s="1">
        <f>DATE(2012,12,1) + TIME(0,0,0)</f>
        <v>41244</v>
      </c>
      <c r="C1751">
        <v>1328.4145507999999</v>
      </c>
      <c r="D1751">
        <v>1326.8193358999999</v>
      </c>
      <c r="E1751">
        <v>1338.1422118999999</v>
      </c>
      <c r="F1751">
        <v>1335.7663574000001</v>
      </c>
      <c r="G1751">
        <v>80</v>
      </c>
      <c r="H1751">
        <v>77.660720824999999</v>
      </c>
      <c r="I1751">
        <v>50</v>
      </c>
      <c r="J1751">
        <v>49.978847504000001</v>
      </c>
      <c r="K1751">
        <v>0</v>
      </c>
      <c r="L1751">
        <v>2400</v>
      </c>
      <c r="M1751">
        <v>2400</v>
      </c>
      <c r="N1751">
        <v>0</v>
      </c>
    </row>
    <row r="1752" spans="1:14" x14ac:dyDescent="0.25">
      <c r="A1752">
        <v>946.07964500000003</v>
      </c>
      <c r="B1752" s="1">
        <f>DATE(2012,12,2) + TIME(1,54,41)</f>
        <v>41245.079641203702</v>
      </c>
      <c r="C1752">
        <v>1328.3859863</v>
      </c>
      <c r="D1752">
        <v>1326.7789307</v>
      </c>
      <c r="E1752">
        <v>1338.1386719</v>
      </c>
      <c r="F1752">
        <v>1335.7648925999999</v>
      </c>
      <c r="G1752">
        <v>80</v>
      </c>
      <c r="H1752">
        <v>77.596794127999999</v>
      </c>
      <c r="I1752">
        <v>50</v>
      </c>
      <c r="J1752">
        <v>49.978836059999999</v>
      </c>
      <c r="K1752">
        <v>0</v>
      </c>
      <c r="L1752">
        <v>2400</v>
      </c>
      <c r="M1752">
        <v>2400</v>
      </c>
      <c r="N1752">
        <v>0</v>
      </c>
    </row>
    <row r="1753" spans="1:14" x14ac:dyDescent="0.25">
      <c r="A1753">
        <v>947.19996800000001</v>
      </c>
      <c r="B1753" s="1">
        <f>DATE(2012,12,3) + TIME(4,47,57)</f>
        <v>41246.199965277781</v>
      </c>
      <c r="C1753">
        <v>1328.3513184000001</v>
      </c>
      <c r="D1753">
        <v>1326.7324219</v>
      </c>
      <c r="E1753">
        <v>1338.1334228999999</v>
      </c>
      <c r="F1753">
        <v>1335.7626952999999</v>
      </c>
      <c r="G1753">
        <v>80</v>
      </c>
      <c r="H1753">
        <v>77.526565551999994</v>
      </c>
      <c r="I1753">
        <v>50</v>
      </c>
      <c r="J1753">
        <v>49.978824615000001</v>
      </c>
      <c r="K1753">
        <v>0</v>
      </c>
      <c r="L1753">
        <v>2400</v>
      </c>
      <c r="M1753">
        <v>2400</v>
      </c>
      <c r="N1753">
        <v>0</v>
      </c>
    </row>
    <row r="1754" spans="1:14" x14ac:dyDescent="0.25">
      <c r="A1754">
        <v>948.33203200000003</v>
      </c>
      <c r="B1754" s="1">
        <f>DATE(2012,12,4) + TIME(7,58,7)</f>
        <v>41247.332025462965</v>
      </c>
      <c r="C1754">
        <v>1328.3151855000001</v>
      </c>
      <c r="D1754">
        <v>1326.6835937999999</v>
      </c>
      <c r="E1754">
        <v>1338.1282959</v>
      </c>
      <c r="F1754">
        <v>1335.7604980000001</v>
      </c>
      <c r="G1754">
        <v>80</v>
      </c>
      <c r="H1754">
        <v>77.452758789000001</v>
      </c>
      <c r="I1754">
        <v>50</v>
      </c>
      <c r="J1754">
        <v>49.978809357000003</v>
      </c>
      <c r="K1754">
        <v>0</v>
      </c>
      <c r="L1754">
        <v>2400</v>
      </c>
      <c r="M1754">
        <v>2400</v>
      </c>
      <c r="N1754">
        <v>0</v>
      </c>
    </row>
    <row r="1755" spans="1:14" x14ac:dyDescent="0.25">
      <c r="A1755">
        <v>949.48395800000003</v>
      </c>
      <c r="B1755" s="1">
        <f>DATE(2012,12,5) + TIME(11,36,54)</f>
        <v>41248.483958333331</v>
      </c>
      <c r="C1755">
        <v>1328.2786865</v>
      </c>
      <c r="D1755">
        <v>1326.6341553</v>
      </c>
      <c r="E1755">
        <v>1338.1231689000001</v>
      </c>
      <c r="F1755">
        <v>1335.7584228999999</v>
      </c>
      <c r="G1755">
        <v>80</v>
      </c>
      <c r="H1755">
        <v>77.376777649000005</v>
      </c>
      <c r="I1755">
        <v>50</v>
      </c>
      <c r="J1755">
        <v>49.978794098000002</v>
      </c>
      <c r="K1755">
        <v>0</v>
      </c>
      <c r="L1755">
        <v>2400</v>
      </c>
      <c r="M1755">
        <v>2400</v>
      </c>
      <c r="N1755">
        <v>0</v>
      </c>
    </row>
    <row r="1756" spans="1:14" x14ac:dyDescent="0.25">
      <c r="A1756">
        <v>950.66395</v>
      </c>
      <c r="B1756" s="1">
        <f>DATE(2012,12,6) + TIME(15,56,5)</f>
        <v>41249.663946759261</v>
      </c>
      <c r="C1756">
        <v>1328.2420654</v>
      </c>
      <c r="D1756">
        <v>1326.5844727000001</v>
      </c>
      <c r="E1756">
        <v>1338.1181641000001</v>
      </c>
      <c r="F1756">
        <v>1335.7563477000001</v>
      </c>
      <c r="G1756">
        <v>80</v>
      </c>
      <c r="H1756">
        <v>77.298774718999994</v>
      </c>
      <c r="I1756">
        <v>50</v>
      </c>
      <c r="J1756">
        <v>49.978782654</v>
      </c>
      <c r="K1756">
        <v>0</v>
      </c>
      <c r="L1756">
        <v>2400</v>
      </c>
      <c r="M1756">
        <v>2400</v>
      </c>
      <c r="N1756">
        <v>0</v>
      </c>
    </row>
    <row r="1757" spans="1:14" x14ac:dyDescent="0.25">
      <c r="A1757">
        <v>951.88077799999996</v>
      </c>
      <c r="B1757" s="1">
        <f>DATE(2012,12,7) + TIME(21,8,19)</f>
        <v>41250.88077546296</v>
      </c>
      <c r="C1757">
        <v>1328.2052002</v>
      </c>
      <c r="D1757">
        <v>1326.534668</v>
      </c>
      <c r="E1757">
        <v>1338.1131591999999</v>
      </c>
      <c r="F1757">
        <v>1335.7543945</v>
      </c>
      <c r="G1757">
        <v>80</v>
      </c>
      <c r="H1757">
        <v>77.218406677000004</v>
      </c>
      <c r="I1757">
        <v>50</v>
      </c>
      <c r="J1757">
        <v>49.978767394999998</v>
      </c>
      <c r="K1757">
        <v>0</v>
      </c>
      <c r="L1757">
        <v>2400</v>
      </c>
      <c r="M1757">
        <v>2400</v>
      </c>
      <c r="N1757">
        <v>0</v>
      </c>
    </row>
    <row r="1758" spans="1:14" x14ac:dyDescent="0.25">
      <c r="A1758">
        <v>953.14420099999995</v>
      </c>
      <c r="B1758" s="1">
        <f>DATE(2012,12,9) + TIME(3,27,38)</f>
        <v>41252.144189814811</v>
      </c>
      <c r="C1758">
        <v>1328.1679687999999</v>
      </c>
      <c r="D1758">
        <v>1326.4842529</v>
      </c>
      <c r="E1758">
        <v>1338.1081543</v>
      </c>
      <c r="F1758">
        <v>1335.7524414</v>
      </c>
      <c r="G1758">
        <v>80</v>
      </c>
      <c r="H1758">
        <v>77.135124207000004</v>
      </c>
      <c r="I1758">
        <v>50</v>
      </c>
      <c r="J1758">
        <v>49.978755950999997</v>
      </c>
      <c r="K1758">
        <v>0</v>
      </c>
      <c r="L1758">
        <v>2400</v>
      </c>
      <c r="M1758">
        <v>2400</v>
      </c>
      <c r="N1758">
        <v>0</v>
      </c>
    </row>
    <row r="1759" spans="1:14" x14ac:dyDescent="0.25">
      <c r="A1759">
        <v>954.46544700000004</v>
      </c>
      <c r="B1759" s="1">
        <f>DATE(2012,12,10) + TIME(11,10,14)</f>
        <v>41253.465439814812</v>
      </c>
      <c r="C1759">
        <v>1328.1300048999999</v>
      </c>
      <c r="D1759">
        <v>1326.4331055</v>
      </c>
      <c r="E1759">
        <v>1338.1031493999999</v>
      </c>
      <c r="F1759">
        <v>1335.7504882999999</v>
      </c>
      <c r="G1759">
        <v>80</v>
      </c>
      <c r="H1759">
        <v>77.048210143999995</v>
      </c>
      <c r="I1759">
        <v>50</v>
      </c>
      <c r="J1759">
        <v>49.978740692000002</v>
      </c>
      <c r="K1759">
        <v>0</v>
      </c>
      <c r="L1759">
        <v>2400</v>
      </c>
      <c r="M1759">
        <v>2400</v>
      </c>
      <c r="N1759">
        <v>0</v>
      </c>
    </row>
    <row r="1760" spans="1:14" x14ac:dyDescent="0.25">
      <c r="A1760">
        <v>955.82824700000003</v>
      </c>
      <c r="B1760" s="1">
        <f>DATE(2012,12,11) + TIME(19,52,40)</f>
        <v>41254.828240740739</v>
      </c>
      <c r="C1760">
        <v>1328.0913086</v>
      </c>
      <c r="D1760">
        <v>1326.3809814000001</v>
      </c>
      <c r="E1760">
        <v>1338.0981445</v>
      </c>
      <c r="F1760">
        <v>1335.7485352000001</v>
      </c>
      <c r="G1760">
        <v>80</v>
      </c>
      <c r="H1760">
        <v>76.957427979000002</v>
      </c>
      <c r="I1760">
        <v>50</v>
      </c>
      <c r="J1760">
        <v>49.978729248</v>
      </c>
      <c r="K1760">
        <v>0</v>
      </c>
      <c r="L1760">
        <v>2400</v>
      </c>
      <c r="M1760">
        <v>2400</v>
      </c>
      <c r="N1760">
        <v>0</v>
      </c>
    </row>
    <row r="1761" spans="1:14" x14ac:dyDescent="0.25">
      <c r="A1761">
        <v>957.22902899999997</v>
      </c>
      <c r="B1761" s="1">
        <f>DATE(2012,12,13) + TIME(5,29,48)</f>
        <v>41256.229027777779</v>
      </c>
      <c r="C1761">
        <v>1328.0518798999999</v>
      </c>
      <c r="D1761">
        <v>1326.3280029</v>
      </c>
      <c r="E1761">
        <v>1338.0930175999999</v>
      </c>
      <c r="F1761">
        <v>1335.746582</v>
      </c>
      <c r="G1761">
        <v>80</v>
      </c>
      <c r="H1761">
        <v>76.863128661999994</v>
      </c>
      <c r="I1761">
        <v>50</v>
      </c>
      <c r="J1761">
        <v>49.978717803999999</v>
      </c>
      <c r="K1761">
        <v>0</v>
      </c>
      <c r="L1761">
        <v>2400</v>
      </c>
      <c r="M1761">
        <v>2400</v>
      </c>
      <c r="N1761">
        <v>0</v>
      </c>
    </row>
    <row r="1762" spans="1:14" x14ac:dyDescent="0.25">
      <c r="A1762">
        <v>958.672371</v>
      </c>
      <c r="B1762" s="1">
        <f>DATE(2012,12,14) + TIME(16,8,12)</f>
        <v>41257.672361111108</v>
      </c>
      <c r="C1762">
        <v>1328.0120850000001</v>
      </c>
      <c r="D1762">
        <v>1326.2746582</v>
      </c>
      <c r="E1762">
        <v>1338.0880127</v>
      </c>
      <c r="F1762">
        <v>1335.744751</v>
      </c>
      <c r="G1762">
        <v>80</v>
      </c>
      <c r="H1762">
        <v>76.765380859000004</v>
      </c>
      <c r="I1762">
        <v>50</v>
      </c>
      <c r="J1762">
        <v>49.978702544999997</v>
      </c>
      <c r="K1762">
        <v>0</v>
      </c>
      <c r="L1762">
        <v>2400</v>
      </c>
      <c r="M1762">
        <v>2400</v>
      </c>
      <c r="N1762">
        <v>0</v>
      </c>
    </row>
    <row r="1763" spans="1:14" x14ac:dyDescent="0.25">
      <c r="A1763">
        <v>960.13273700000002</v>
      </c>
      <c r="B1763" s="1">
        <f>DATE(2012,12,16) + TIME(3,11,8)</f>
        <v>41259.132731481484</v>
      </c>
      <c r="C1763">
        <v>1327.9720459</v>
      </c>
      <c r="D1763">
        <v>1326.2208252</v>
      </c>
      <c r="E1763">
        <v>1338.0828856999999</v>
      </c>
      <c r="F1763">
        <v>1335.7427978999999</v>
      </c>
      <c r="G1763">
        <v>80</v>
      </c>
      <c r="H1763">
        <v>76.664543151999993</v>
      </c>
      <c r="I1763">
        <v>50</v>
      </c>
      <c r="J1763">
        <v>49.978691101000003</v>
      </c>
      <c r="K1763">
        <v>0</v>
      </c>
      <c r="L1763">
        <v>2400</v>
      </c>
      <c r="M1763">
        <v>2400</v>
      </c>
      <c r="N1763">
        <v>0</v>
      </c>
    </row>
    <row r="1764" spans="1:14" x14ac:dyDescent="0.25">
      <c r="A1764">
        <v>961.61966399999994</v>
      </c>
      <c r="B1764" s="1">
        <f>DATE(2012,12,17) + TIME(14,52,18)</f>
        <v>41260.619652777779</v>
      </c>
      <c r="C1764">
        <v>1327.9318848</v>
      </c>
      <c r="D1764">
        <v>1326.1669922000001</v>
      </c>
      <c r="E1764">
        <v>1338.0780029</v>
      </c>
      <c r="F1764">
        <v>1335.7410889</v>
      </c>
      <c r="G1764">
        <v>80</v>
      </c>
      <c r="H1764">
        <v>76.561233521000005</v>
      </c>
      <c r="I1764">
        <v>50</v>
      </c>
      <c r="J1764">
        <v>49.978679657000001</v>
      </c>
      <c r="K1764">
        <v>0</v>
      </c>
      <c r="L1764">
        <v>2400</v>
      </c>
      <c r="M1764">
        <v>2400</v>
      </c>
      <c r="N1764">
        <v>0</v>
      </c>
    </row>
    <row r="1765" spans="1:14" x14ac:dyDescent="0.25">
      <c r="A1765">
        <v>963.14165000000003</v>
      </c>
      <c r="B1765" s="1">
        <f>DATE(2012,12,19) + TIME(3,23,58)</f>
        <v>41262.141643518517</v>
      </c>
      <c r="C1765">
        <v>1327.8919678</v>
      </c>
      <c r="D1765">
        <v>1326.1134033000001</v>
      </c>
      <c r="E1765">
        <v>1338.0729980000001</v>
      </c>
      <c r="F1765">
        <v>1335.7392577999999</v>
      </c>
      <c r="G1765">
        <v>80</v>
      </c>
      <c r="H1765">
        <v>76.455169678000004</v>
      </c>
      <c r="I1765">
        <v>50</v>
      </c>
      <c r="J1765">
        <v>49.978664397999999</v>
      </c>
      <c r="K1765">
        <v>0</v>
      </c>
      <c r="L1765">
        <v>2400</v>
      </c>
      <c r="M1765">
        <v>2400</v>
      </c>
      <c r="N1765">
        <v>0</v>
      </c>
    </row>
    <row r="1766" spans="1:14" x14ac:dyDescent="0.25">
      <c r="A1766">
        <v>964.70157300000005</v>
      </c>
      <c r="B1766" s="1">
        <f>DATE(2012,12,20) + TIME(16,50,15)</f>
        <v>41263.701562499999</v>
      </c>
      <c r="C1766">
        <v>1327.8518065999999</v>
      </c>
      <c r="D1766">
        <v>1326.0596923999999</v>
      </c>
      <c r="E1766">
        <v>1338.0682373</v>
      </c>
      <c r="F1766">
        <v>1335.7375488</v>
      </c>
      <c r="G1766">
        <v>80</v>
      </c>
      <c r="H1766">
        <v>76.345901488999999</v>
      </c>
      <c r="I1766">
        <v>50</v>
      </c>
      <c r="J1766">
        <v>49.978652953999998</v>
      </c>
      <c r="K1766">
        <v>0</v>
      </c>
      <c r="L1766">
        <v>2400</v>
      </c>
      <c r="M1766">
        <v>2400</v>
      </c>
      <c r="N1766">
        <v>0</v>
      </c>
    </row>
    <row r="1767" spans="1:14" x14ac:dyDescent="0.25">
      <c r="A1767">
        <v>966.31191699999999</v>
      </c>
      <c r="B1767" s="1">
        <f>DATE(2012,12,22) + TIME(7,29,9)</f>
        <v>41265.311909722222</v>
      </c>
      <c r="C1767">
        <v>1327.8116454999999</v>
      </c>
      <c r="D1767">
        <v>1326.0059814000001</v>
      </c>
      <c r="E1767">
        <v>1338.0633545000001</v>
      </c>
      <c r="F1767">
        <v>1335.7358397999999</v>
      </c>
      <c r="G1767">
        <v>80</v>
      </c>
      <c r="H1767">
        <v>76.232940674000005</v>
      </c>
      <c r="I1767">
        <v>50</v>
      </c>
      <c r="J1767">
        <v>49.978641510000003</v>
      </c>
      <c r="K1767">
        <v>0</v>
      </c>
      <c r="L1767">
        <v>2400</v>
      </c>
      <c r="M1767">
        <v>2400</v>
      </c>
      <c r="N1767">
        <v>0</v>
      </c>
    </row>
    <row r="1768" spans="1:14" x14ac:dyDescent="0.25">
      <c r="A1768">
        <v>967.98653100000001</v>
      </c>
      <c r="B1768" s="1">
        <f>DATE(2012,12,23) + TIME(23,40,36)</f>
        <v>41266.986527777779</v>
      </c>
      <c r="C1768">
        <v>1327.7709961</v>
      </c>
      <c r="D1768">
        <v>1325.9517822</v>
      </c>
      <c r="E1768">
        <v>1338.0584716999999</v>
      </c>
      <c r="F1768">
        <v>1335.7341309000001</v>
      </c>
      <c r="G1768">
        <v>80</v>
      </c>
      <c r="H1768">
        <v>76.115432738999999</v>
      </c>
      <c r="I1768">
        <v>50</v>
      </c>
      <c r="J1768">
        <v>49.978633881</v>
      </c>
      <c r="K1768">
        <v>0</v>
      </c>
      <c r="L1768">
        <v>2400</v>
      </c>
      <c r="M1768">
        <v>2400</v>
      </c>
      <c r="N1768">
        <v>0</v>
      </c>
    </row>
    <row r="1769" spans="1:14" x14ac:dyDescent="0.25">
      <c r="A1769">
        <v>969.72399399999995</v>
      </c>
      <c r="B1769" s="1">
        <f>DATE(2012,12,25) + TIME(17,22,33)</f>
        <v>41268.723993055559</v>
      </c>
      <c r="C1769">
        <v>1327.7297363</v>
      </c>
      <c r="D1769">
        <v>1325.8968506000001</v>
      </c>
      <c r="E1769">
        <v>1338.0535889</v>
      </c>
      <c r="F1769">
        <v>1335.7324219</v>
      </c>
      <c r="G1769">
        <v>80</v>
      </c>
      <c r="H1769">
        <v>75.992630004999995</v>
      </c>
      <c r="I1769">
        <v>50</v>
      </c>
      <c r="J1769">
        <v>49.978622436999999</v>
      </c>
      <c r="K1769">
        <v>0</v>
      </c>
      <c r="L1769">
        <v>2400</v>
      </c>
      <c r="M1769">
        <v>2400</v>
      </c>
      <c r="N1769">
        <v>0</v>
      </c>
    </row>
    <row r="1770" spans="1:14" x14ac:dyDescent="0.25">
      <c r="A1770">
        <v>971.52825499999994</v>
      </c>
      <c r="B1770" s="1">
        <f>DATE(2012,12,27) + TIME(12,40,41)</f>
        <v>41270.528252314813</v>
      </c>
      <c r="C1770">
        <v>1327.6877440999999</v>
      </c>
      <c r="D1770">
        <v>1325.8411865</v>
      </c>
      <c r="E1770">
        <v>1338.0485839999999</v>
      </c>
      <c r="F1770">
        <v>1335.7308350000001</v>
      </c>
      <c r="G1770">
        <v>80</v>
      </c>
      <c r="H1770">
        <v>75.864242554</v>
      </c>
      <c r="I1770">
        <v>50</v>
      </c>
      <c r="J1770">
        <v>49.978610992</v>
      </c>
      <c r="K1770">
        <v>0</v>
      </c>
      <c r="L1770">
        <v>2400</v>
      </c>
      <c r="M1770">
        <v>2400</v>
      </c>
      <c r="N1770">
        <v>0</v>
      </c>
    </row>
    <row r="1771" spans="1:14" x14ac:dyDescent="0.25">
      <c r="A1771">
        <v>973.36458600000003</v>
      </c>
      <c r="B1771" s="1">
        <f>DATE(2012,12,29) + TIME(8,45,0)</f>
        <v>41272.364583333336</v>
      </c>
      <c r="C1771">
        <v>1327.6452637</v>
      </c>
      <c r="D1771">
        <v>1325.7847899999999</v>
      </c>
      <c r="E1771">
        <v>1338.0435791</v>
      </c>
      <c r="F1771">
        <v>1335.729126</v>
      </c>
      <c r="G1771">
        <v>80</v>
      </c>
      <c r="H1771">
        <v>75.730598450000002</v>
      </c>
      <c r="I1771">
        <v>50</v>
      </c>
      <c r="J1771">
        <v>49.978599547999998</v>
      </c>
      <c r="K1771">
        <v>0</v>
      </c>
      <c r="L1771">
        <v>2400</v>
      </c>
      <c r="M1771">
        <v>2400</v>
      </c>
      <c r="N1771">
        <v>0</v>
      </c>
    </row>
    <row r="1772" spans="1:14" x14ac:dyDescent="0.25">
      <c r="A1772">
        <v>975.21020099999998</v>
      </c>
      <c r="B1772" s="1">
        <f>DATE(2012,12,31) + TIME(5,2,41)</f>
        <v>41274.210196759261</v>
      </c>
      <c r="C1772">
        <v>1327.6025391000001</v>
      </c>
      <c r="D1772">
        <v>1325.7281493999999</v>
      </c>
      <c r="E1772">
        <v>1338.0385742000001</v>
      </c>
      <c r="F1772">
        <v>1335.7274170000001</v>
      </c>
      <c r="G1772">
        <v>80</v>
      </c>
      <c r="H1772">
        <v>75.593467712000006</v>
      </c>
      <c r="I1772">
        <v>50</v>
      </c>
      <c r="J1772">
        <v>49.978591919000003</v>
      </c>
      <c r="K1772">
        <v>0</v>
      </c>
      <c r="L1772">
        <v>2400</v>
      </c>
      <c r="M1772">
        <v>2400</v>
      </c>
      <c r="N1772">
        <v>0</v>
      </c>
    </row>
    <row r="1773" spans="1:14" x14ac:dyDescent="0.25">
      <c r="A1773">
        <v>976</v>
      </c>
      <c r="B1773" s="1">
        <f>DATE(2013,1,1) + TIME(0,0,0)</f>
        <v>41275</v>
      </c>
      <c r="C1773">
        <v>1327.5615233999999</v>
      </c>
      <c r="D1773">
        <v>1325.6749268000001</v>
      </c>
      <c r="E1773">
        <v>1338.0336914</v>
      </c>
      <c r="F1773">
        <v>1335.7258300999999</v>
      </c>
      <c r="G1773">
        <v>80</v>
      </c>
      <c r="H1773">
        <v>75.488075256000002</v>
      </c>
      <c r="I1773">
        <v>50</v>
      </c>
      <c r="J1773">
        <v>49.978576660000002</v>
      </c>
      <c r="K1773">
        <v>0</v>
      </c>
      <c r="L1773">
        <v>2400</v>
      </c>
      <c r="M1773">
        <v>2400</v>
      </c>
      <c r="N1773">
        <v>0</v>
      </c>
    </row>
    <row r="1774" spans="1:14" x14ac:dyDescent="0.25">
      <c r="A1774">
        <v>977.87698999999998</v>
      </c>
      <c r="B1774" s="1">
        <f>DATE(2013,1,2) + TIME(21,2,51)</f>
        <v>41276.876979166664</v>
      </c>
      <c r="C1774">
        <v>1327.5371094</v>
      </c>
      <c r="D1774">
        <v>1325.6385498</v>
      </c>
      <c r="E1774">
        <v>1338.0317382999999</v>
      </c>
      <c r="F1774">
        <v>1335.7252197</v>
      </c>
      <c r="G1774">
        <v>80</v>
      </c>
      <c r="H1774">
        <v>75.382919311999999</v>
      </c>
      <c r="I1774">
        <v>50</v>
      </c>
      <c r="J1774">
        <v>49.978572845000002</v>
      </c>
      <c r="K1774">
        <v>0</v>
      </c>
      <c r="L1774">
        <v>2400</v>
      </c>
      <c r="M1774">
        <v>2400</v>
      </c>
      <c r="N1774">
        <v>0</v>
      </c>
    </row>
    <row r="1775" spans="1:14" x14ac:dyDescent="0.25">
      <c r="A1775">
        <v>979.83068800000001</v>
      </c>
      <c r="B1775" s="1">
        <f>DATE(2013,1,4) + TIME(19,56,11)</f>
        <v>41278.830682870372</v>
      </c>
      <c r="C1775">
        <v>1327.4995117000001</v>
      </c>
      <c r="D1775">
        <v>1325.5906981999999</v>
      </c>
      <c r="E1775">
        <v>1338.0269774999999</v>
      </c>
      <c r="F1775">
        <v>1335.7236327999999</v>
      </c>
      <c r="G1775">
        <v>80</v>
      </c>
      <c r="H1775">
        <v>75.247169494999994</v>
      </c>
      <c r="I1775">
        <v>50</v>
      </c>
      <c r="J1775">
        <v>49.978565216</v>
      </c>
      <c r="K1775">
        <v>0</v>
      </c>
      <c r="L1775">
        <v>2400</v>
      </c>
      <c r="M1775">
        <v>2400</v>
      </c>
      <c r="N1775">
        <v>0</v>
      </c>
    </row>
    <row r="1776" spans="1:14" x14ac:dyDescent="0.25">
      <c r="A1776">
        <v>981.857169</v>
      </c>
      <c r="B1776" s="1">
        <f>DATE(2013,1,6) + TIME(20,34,19)</f>
        <v>41280.857164351852</v>
      </c>
      <c r="C1776">
        <v>1327.4584961</v>
      </c>
      <c r="D1776">
        <v>1325.5369873</v>
      </c>
      <c r="E1776">
        <v>1338.0220947</v>
      </c>
      <c r="F1776">
        <v>1335.722168</v>
      </c>
      <c r="G1776">
        <v>80</v>
      </c>
      <c r="H1776">
        <v>75.098953246999997</v>
      </c>
      <c r="I1776">
        <v>50</v>
      </c>
      <c r="J1776">
        <v>49.978557586999997</v>
      </c>
      <c r="K1776">
        <v>0</v>
      </c>
      <c r="L1776">
        <v>2400</v>
      </c>
      <c r="M1776">
        <v>2400</v>
      </c>
      <c r="N1776">
        <v>0</v>
      </c>
    </row>
    <row r="1777" spans="1:14" x14ac:dyDescent="0.25">
      <c r="A1777">
        <v>983.94592499999999</v>
      </c>
      <c r="B1777" s="1">
        <f>DATE(2013,1,8) + TIME(22,42,7)</f>
        <v>41282.945914351854</v>
      </c>
      <c r="C1777">
        <v>1327.4162598</v>
      </c>
      <c r="D1777">
        <v>1325.4813231999999</v>
      </c>
      <c r="E1777">
        <v>1338.0172118999999</v>
      </c>
      <c r="F1777">
        <v>1335.7205810999999</v>
      </c>
      <c r="G1777">
        <v>80</v>
      </c>
      <c r="H1777">
        <v>74.942878723000007</v>
      </c>
      <c r="I1777">
        <v>50</v>
      </c>
      <c r="J1777">
        <v>49.978549956999998</v>
      </c>
      <c r="K1777">
        <v>0</v>
      </c>
      <c r="L1777">
        <v>2400</v>
      </c>
      <c r="M1777">
        <v>2400</v>
      </c>
      <c r="N1777">
        <v>0</v>
      </c>
    </row>
    <row r="1778" spans="1:14" x14ac:dyDescent="0.25">
      <c r="A1778">
        <v>986.08790799999997</v>
      </c>
      <c r="B1778" s="1">
        <f>DATE(2013,1,11) + TIME(2,6,35)</f>
        <v>41285.087905092594</v>
      </c>
      <c r="C1778">
        <v>1327.3732910000001</v>
      </c>
      <c r="D1778">
        <v>1325.4248047000001</v>
      </c>
      <c r="E1778">
        <v>1338.0123291</v>
      </c>
      <c r="F1778">
        <v>1335.7189940999999</v>
      </c>
      <c r="G1778">
        <v>80</v>
      </c>
      <c r="H1778">
        <v>74.780532836999996</v>
      </c>
      <c r="I1778">
        <v>50</v>
      </c>
      <c r="J1778">
        <v>49.978542328000003</v>
      </c>
      <c r="K1778">
        <v>0</v>
      </c>
      <c r="L1778">
        <v>2400</v>
      </c>
      <c r="M1778">
        <v>2400</v>
      </c>
      <c r="N1778">
        <v>0</v>
      </c>
    </row>
    <row r="1779" spans="1:14" x14ac:dyDescent="0.25">
      <c r="A1779">
        <v>988.30262400000004</v>
      </c>
      <c r="B1779" s="1">
        <f>DATE(2013,1,13) + TIME(7,15,46)</f>
        <v>41287.302615740744</v>
      </c>
      <c r="C1779">
        <v>1327.3302002</v>
      </c>
      <c r="D1779">
        <v>1325.3677978999999</v>
      </c>
      <c r="E1779">
        <v>1338.0074463000001</v>
      </c>
      <c r="F1779">
        <v>1335.7174072</v>
      </c>
      <c r="G1779">
        <v>80</v>
      </c>
      <c r="H1779">
        <v>74.612464904999996</v>
      </c>
      <c r="I1779">
        <v>50</v>
      </c>
      <c r="J1779">
        <v>49.978534697999997</v>
      </c>
      <c r="K1779">
        <v>0</v>
      </c>
      <c r="L1779">
        <v>2400</v>
      </c>
      <c r="M1779">
        <v>2400</v>
      </c>
      <c r="N1779">
        <v>0</v>
      </c>
    </row>
    <row r="1780" spans="1:14" x14ac:dyDescent="0.25">
      <c r="A1780">
        <v>990.59214599999996</v>
      </c>
      <c r="B1780" s="1">
        <f>DATE(2013,1,15) + TIME(14,12,41)</f>
        <v>41289.592141203706</v>
      </c>
      <c r="C1780">
        <v>1327.2866211</v>
      </c>
      <c r="D1780">
        <v>1325.3105469</v>
      </c>
      <c r="E1780">
        <v>1338.0024414</v>
      </c>
      <c r="F1780">
        <v>1335.7159423999999</v>
      </c>
      <c r="G1780">
        <v>80</v>
      </c>
      <c r="H1780">
        <v>74.437873839999995</v>
      </c>
      <c r="I1780">
        <v>50</v>
      </c>
      <c r="J1780">
        <v>49.978527069000002</v>
      </c>
      <c r="K1780">
        <v>0</v>
      </c>
      <c r="L1780">
        <v>2400</v>
      </c>
      <c r="M1780">
        <v>2400</v>
      </c>
      <c r="N1780">
        <v>0</v>
      </c>
    </row>
    <row r="1781" spans="1:14" x14ac:dyDescent="0.25">
      <c r="A1781">
        <v>992.90501300000005</v>
      </c>
      <c r="B1781" s="1">
        <f>DATE(2013,1,17) + TIME(21,43,13)</f>
        <v>41291.905011574076</v>
      </c>
      <c r="C1781">
        <v>1327.2425536999999</v>
      </c>
      <c r="D1781">
        <v>1325.2526855000001</v>
      </c>
      <c r="E1781">
        <v>1337.9974365</v>
      </c>
      <c r="F1781">
        <v>1335.7143555</v>
      </c>
      <c r="G1781">
        <v>80</v>
      </c>
      <c r="H1781">
        <v>74.257179260000001</v>
      </c>
      <c r="I1781">
        <v>50</v>
      </c>
      <c r="J1781">
        <v>49.978519439999999</v>
      </c>
      <c r="K1781">
        <v>0</v>
      </c>
      <c r="L1781">
        <v>2400</v>
      </c>
      <c r="M1781">
        <v>2400</v>
      </c>
      <c r="N1781">
        <v>0</v>
      </c>
    </row>
    <row r="1782" spans="1:14" x14ac:dyDescent="0.25">
      <c r="A1782">
        <v>995.27654299999995</v>
      </c>
      <c r="B1782" s="1">
        <f>DATE(2013,1,20) + TIME(6,38,13)</f>
        <v>41294.276539351849</v>
      </c>
      <c r="C1782">
        <v>1327.1988524999999</v>
      </c>
      <c r="D1782">
        <v>1325.1950684000001</v>
      </c>
      <c r="E1782">
        <v>1337.9925536999999</v>
      </c>
      <c r="F1782">
        <v>1335.7127685999999</v>
      </c>
      <c r="G1782">
        <v>80</v>
      </c>
      <c r="H1782">
        <v>74.072425842000001</v>
      </c>
      <c r="I1782">
        <v>50</v>
      </c>
      <c r="J1782">
        <v>49.978515625</v>
      </c>
      <c r="K1782">
        <v>0</v>
      </c>
      <c r="L1782">
        <v>2400</v>
      </c>
      <c r="M1782">
        <v>2400</v>
      </c>
      <c r="N1782">
        <v>0</v>
      </c>
    </row>
    <row r="1783" spans="1:14" x14ac:dyDescent="0.25">
      <c r="A1783">
        <v>997.70933000000002</v>
      </c>
      <c r="B1783" s="1">
        <f>DATE(2013,1,22) + TIME(17,1,26)</f>
        <v>41296.709328703706</v>
      </c>
      <c r="C1783">
        <v>1327.1551514</v>
      </c>
      <c r="D1783">
        <v>1325.1376952999999</v>
      </c>
      <c r="E1783">
        <v>1337.9876709</v>
      </c>
      <c r="F1783">
        <v>1335.7111815999999</v>
      </c>
      <c r="G1783">
        <v>80</v>
      </c>
      <c r="H1783">
        <v>73.882263183999996</v>
      </c>
      <c r="I1783">
        <v>50</v>
      </c>
      <c r="J1783">
        <v>49.978507995999998</v>
      </c>
      <c r="K1783">
        <v>0</v>
      </c>
      <c r="L1783">
        <v>2400</v>
      </c>
      <c r="M1783">
        <v>2400</v>
      </c>
      <c r="N1783">
        <v>0</v>
      </c>
    </row>
    <row r="1784" spans="1:14" x14ac:dyDescent="0.25">
      <c r="A1784">
        <v>1000.214699</v>
      </c>
      <c r="B1784" s="1">
        <f>DATE(2013,1,25) + TIME(5,9,10)</f>
        <v>41299.214699074073</v>
      </c>
      <c r="C1784">
        <v>1327.1114502</v>
      </c>
      <c r="D1784">
        <v>1325.0802002</v>
      </c>
      <c r="E1784">
        <v>1337.9826660000001</v>
      </c>
      <c r="F1784">
        <v>1335.7095947</v>
      </c>
      <c r="G1784">
        <v>80</v>
      </c>
      <c r="H1784">
        <v>73.686126709000007</v>
      </c>
      <c r="I1784">
        <v>50</v>
      </c>
      <c r="J1784">
        <v>49.978504180999998</v>
      </c>
      <c r="K1784">
        <v>0</v>
      </c>
      <c r="L1784">
        <v>2400</v>
      </c>
      <c r="M1784">
        <v>2400</v>
      </c>
      <c r="N1784">
        <v>0</v>
      </c>
    </row>
    <row r="1785" spans="1:14" x14ac:dyDescent="0.25">
      <c r="A1785">
        <v>1002.747555</v>
      </c>
      <c r="B1785" s="1">
        <f>DATE(2013,1,27) + TIME(17,56,28)</f>
        <v>41301.747546296298</v>
      </c>
      <c r="C1785">
        <v>1327.0675048999999</v>
      </c>
      <c r="D1785">
        <v>1325.0227050999999</v>
      </c>
      <c r="E1785">
        <v>1337.9776611</v>
      </c>
      <c r="F1785">
        <v>1335.7080077999999</v>
      </c>
      <c r="G1785">
        <v>80</v>
      </c>
      <c r="H1785">
        <v>73.483963012999993</v>
      </c>
      <c r="I1785">
        <v>50</v>
      </c>
      <c r="J1785">
        <v>49.978500365999999</v>
      </c>
      <c r="K1785">
        <v>0</v>
      </c>
      <c r="L1785">
        <v>2400</v>
      </c>
      <c r="M1785">
        <v>2400</v>
      </c>
      <c r="N1785">
        <v>0</v>
      </c>
    </row>
    <row r="1786" spans="1:14" x14ac:dyDescent="0.25">
      <c r="A1786">
        <v>1005.3167560000001</v>
      </c>
      <c r="B1786" s="1">
        <f>DATE(2013,1,30) + TIME(7,36,7)</f>
        <v>41304.316747685189</v>
      </c>
      <c r="C1786">
        <v>1327.0239257999999</v>
      </c>
      <c r="D1786">
        <v>1324.9654541</v>
      </c>
      <c r="E1786">
        <v>1337.9727783000001</v>
      </c>
      <c r="F1786">
        <v>1335.706543</v>
      </c>
      <c r="G1786">
        <v>80</v>
      </c>
      <c r="H1786">
        <v>73.277984618999994</v>
      </c>
      <c r="I1786">
        <v>50</v>
      </c>
      <c r="J1786">
        <v>49.978496552000003</v>
      </c>
      <c r="K1786">
        <v>0</v>
      </c>
      <c r="L1786">
        <v>2400</v>
      </c>
      <c r="M1786">
        <v>2400</v>
      </c>
      <c r="N1786">
        <v>0</v>
      </c>
    </row>
    <row r="1787" spans="1:14" x14ac:dyDescent="0.25">
      <c r="A1787">
        <v>1007</v>
      </c>
      <c r="B1787" s="1">
        <f>DATE(2013,2,1) + TIME(0,0,0)</f>
        <v>41306</v>
      </c>
      <c r="C1787">
        <v>1326.980957</v>
      </c>
      <c r="D1787">
        <v>1324.9097899999999</v>
      </c>
      <c r="E1787">
        <v>1337.9678954999999</v>
      </c>
      <c r="F1787">
        <v>1335.7049560999999</v>
      </c>
      <c r="G1787">
        <v>80</v>
      </c>
      <c r="H1787">
        <v>73.086334229000002</v>
      </c>
      <c r="I1787">
        <v>50</v>
      </c>
      <c r="J1787">
        <v>49.978485106999997</v>
      </c>
      <c r="K1787">
        <v>0</v>
      </c>
      <c r="L1787">
        <v>2400</v>
      </c>
      <c r="M1787">
        <v>2400</v>
      </c>
      <c r="N1787">
        <v>0</v>
      </c>
    </row>
    <row r="1788" spans="1:14" x14ac:dyDescent="0.25">
      <c r="A1788">
        <v>1009.653238</v>
      </c>
      <c r="B1788" s="1">
        <f>DATE(2013,2,3) + TIME(15,40,39)</f>
        <v>41308.653229166666</v>
      </c>
      <c r="C1788">
        <v>1326.9486084</v>
      </c>
      <c r="D1788">
        <v>1324.8645019999999</v>
      </c>
      <c r="E1788">
        <v>1337.9647216999999</v>
      </c>
      <c r="F1788">
        <v>1335.7038574000001</v>
      </c>
      <c r="G1788">
        <v>80</v>
      </c>
      <c r="H1788">
        <v>72.920066833000007</v>
      </c>
      <c r="I1788">
        <v>50</v>
      </c>
      <c r="J1788">
        <v>49.978488921999997</v>
      </c>
      <c r="K1788">
        <v>0</v>
      </c>
      <c r="L1788">
        <v>2400</v>
      </c>
      <c r="M1788">
        <v>2400</v>
      </c>
      <c r="N1788">
        <v>0</v>
      </c>
    </row>
    <row r="1789" spans="1:14" x14ac:dyDescent="0.25">
      <c r="A1789">
        <v>1012.47176</v>
      </c>
      <c r="B1789" s="1">
        <f>DATE(2013,2,6) + TIME(11,19,20)</f>
        <v>41311.471759259257</v>
      </c>
      <c r="C1789">
        <v>1326.9091797000001</v>
      </c>
      <c r="D1789">
        <v>1324.8146973</v>
      </c>
      <c r="E1789">
        <v>1337.9598389</v>
      </c>
      <c r="F1789">
        <v>1335.7023925999999</v>
      </c>
      <c r="G1789">
        <v>80</v>
      </c>
      <c r="H1789">
        <v>72.708351135000001</v>
      </c>
      <c r="I1789">
        <v>50</v>
      </c>
      <c r="J1789">
        <v>49.978488921999997</v>
      </c>
      <c r="K1789">
        <v>0</v>
      </c>
      <c r="L1789">
        <v>2400</v>
      </c>
      <c r="M1789">
        <v>2400</v>
      </c>
      <c r="N1789">
        <v>0</v>
      </c>
    </row>
    <row r="1790" spans="1:14" x14ac:dyDescent="0.25">
      <c r="A1790">
        <v>1015.374991</v>
      </c>
      <c r="B1790" s="1">
        <f>DATE(2013,2,9) + TIME(8,59,59)</f>
        <v>41314.374988425923</v>
      </c>
      <c r="C1790">
        <v>1326.8659668</v>
      </c>
      <c r="D1790">
        <v>1324.7586670000001</v>
      </c>
      <c r="E1790">
        <v>1337.9548339999999</v>
      </c>
      <c r="F1790">
        <v>1335.7006836</v>
      </c>
      <c r="G1790">
        <v>80</v>
      </c>
      <c r="H1790">
        <v>72.477966308999996</v>
      </c>
      <c r="I1790">
        <v>50</v>
      </c>
      <c r="J1790">
        <v>49.978485106999997</v>
      </c>
      <c r="K1790">
        <v>0</v>
      </c>
      <c r="L1790">
        <v>2400</v>
      </c>
      <c r="M1790">
        <v>2400</v>
      </c>
      <c r="N1790">
        <v>0</v>
      </c>
    </row>
    <row r="1791" spans="1:14" x14ac:dyDescent="0.25">
      <c r="A1791">
        <v>1018.357053</v>
      </c>
      <c r="B1791" s="1">
        <f>DATE(2013,2,12) + TIME(8,34,9)</f>
        <v>41317.357048611113</v>
      </c>
      <c r="C1791">
        <v>1326.8217772999999</v>
      </c>
      <c r="D1791">
        <v>1324.7010498</v>
      </c>
      <c r="E1791">
        <v>1337.949707</v>
      </c>
      <c r="F1791">
        <v>1335.6989745999999</v>
      </c>
      <c r="G1791">
        <v>80</v>
      </c>
      <c r="H1791">
        <v>72.238128661999994</v>
      </c>
      <c r="I1791">
        <v>50</v>
      </c>
      <c r="J1791">
        <v>49.978485106999997</v>
      </c>
      <c r="K1791">
        <v>0</v>
      </c>
      <c r="L1791">
        <v>2400</v>
      </c>
      <c r="M1791">
        <v>2400</v>
      </c>
      <c r="N1791">
        <v>0</v>
      </c>
    </row>
    <row r="1792" spans="1:14" x14ac:dyDescent="0.25">
      <c r="A1792">
        <v>1021.434516</v>
      </c>
      <c r="B1792" s="1">
        <f>DATE(2013,2,15) + TIME(10,25,42)</f>
        <v>41320.434513888889</v>
      </c>
      <c r="C1792">
        <v>1326.7772216999999</v>
      </c>
      <c r="D1792">
        <v>1324.6428223</v>
      </c>
      <c r="E1792">
        <v>1337.9444579999999</v>
      </c>
      <c r="F1792">
        <v>1335.6972656</v>
      </c>
      <c r="G1792">
        <v>80</v>
      </c>
      <c r="H1792">
        <v>71.990386963000006</v>
      </c>
      <c r="I1792">
        <v>50</v>
      </c>
      <c r="J1792">
        <v>49.978485106999997</v>
      </c>
      <c r="K1792">
        <v>0</v>
      </c>
      <c r="L1792">
        <v>2400</v>
      </c>
      <c r="M1792">
        <v>2400</v>
      </c>
      <c r="N1792">
        <v>0</v>
      </c>
    </row>
    <row r="1793" spans="1:14" x14ac:dyDescent="0.25">
      <c r="A1793">
        <v>1024.556652</v>
      </c>
      <c r="B1793" s="1">
        <f>DATE(2013,2,18) + TIME(13,21,34)</f>
        <v>41323.556643518517</v>
      </c>
      <c r="C1793">
        <v>1326.7324219</v>
      </c>
      <c r="D1793">
        <v>1324.5844727000001</v>
      </c>
      <c r="E1793">
        <v>1337.9393310999999</v>
      </c>
      <c r="F1793">
        <v>1335.6954346</v>
      </c>
      <c r="G1793">
        <v>80</v>
      </c>
      <c r="H1793">
        <v>71.734672545999999</v>
      </c>
      <c r="I1793">
        <v>50</v>
      </c>
      <c r="J1793">
        <v>49.978485106999997</v>
      </c>
      <c r="K1793">
        <v>0</v>
      </c>
      <c r="L1793">
        <v>2400</v>
      </c>
      <c r="M1793">
        <v>2400</v>
      </c>
      <c r="N1793">
        <v>0</v>
      </c>
    </row>
    <row r="1794" spans="1:14" x14ac:dyDescent="0.25">
      <c r="A1794">
        <v>1027.693229</v>
      </c>
      <c r="B1794" s="1">
        <f>DATE(2013,2,21) + TIME(16,38,15)</f>
        <v>41326.693229166667</v>
      </c>
      <c r="C1794">
        <v>1326.6878661999999</v>
      </c>
      <c r="D1794">
        <v>1324.5262451000001</v>
      </c>
      <c r="E1794">
        <v>1337.934082</v>
      </c>
      <c r="F1794">
        <v>1335.6937256000001</v>
      </c>
      <c r="G1794">
        <v>80</v>
      </c>
      <c r="H1794">
        <v>71.474281310999999</v>
      </c>
      <c r="I1794">
        <v>50</v>
      </c>
      <c r="J1794">
        <v>49.978485106999997</v>
      </c>
      <c r="K1794">
        <v>0</v>
      </c>
      <c r="L1794">
        <v>2400</v>
      </c>
      <c r="M1794">
        <v>2400</v>
      </c>
      <c r="N1794">
        <v>0</v>
      </c>
    </row>
    <row r="1795" spans="1:14" x14ac:dyDescent="0.25">
      <c r="A1795">
        <v>1030.872871</v>
      </c>
      <c r="B1795" s="1">
        <f>DATE(2013,2,24) + TIME(20,56,56)</f>
        <v>41329.872870370367</v>
      </c>
      <c r="C1795">
        <v>1326.6441649999999</v>
      </c>
      <c r="D1795">
        <v>1324.4689940999999</v>
      </c>
      <c r="E1795">
        <v>1337.9289550999999</v>
      </c>
      <c r="F1795">
        <v>1335.6918945</v>
      </c>
      <c r="G1795">
        <v>80</v>
      </c>
      <c r="H1795">
        <v>71.211204529</v>
      </c>
      <c r="I1795">
        <v>50</v>
      </c>
      <c r="J1795">
        <v>49.978485106999997</v>
      </c>
      <c r="K1795">
        <v>0</v>
      </c>
      <c r="L1795">
        <v>2400</v>
      </c>
      <c r="M1795">
        <v>2400</v>
      </c>
      <c r="N1795">
        <v>0</v>
      </c>
    </row>
    <row r="1796" spans="1:14" x14ac:dyDescent="0.25">
      <c r="A1796">
        <v>1034.1397199999999</v>
      </c>
      <c r="B1796" s="1">
        <f>DATE(2013,2,28) + TIME(3,21,11)</f>
        <v>41333.139710648145</v>
      </c>
      <c r="C1796">
        <v>1326.6009521000001</v>
      </c>
      <c r="D1796">
        <v>1324.4125977000001</v>
      </c>
      <c r="E1796">
        <v>1337.9239502</v>
      </c>
      <c r="F1796">
        <v>1335.6901855000001</v>
      </c>
      <c r="G1796">
        <v>80</v>
      </c>
      <c r="H1796">
        <v>70.943481445000003</v>
      </c>
      <c r="I1796">
        <v>50</v>
      </c>
      <c r="J1796">
        <v>49.978488921999997</v>
      </c>
      <c r="K1796">
        <v>0</v>
      </c>
      <c r="L1796">
        <v>2400</v>
      </c>
      <c r="M1796">
        <v>2400</v>
      </c>
      <c r="N1796">
        <v>0</v>
      </c>
    </row>
    <row r="1797" spans="1:14" x14ac:dyDescent="0.25">
      <c r="A1797">
        <v>1035</v>
      </c>
      <c r="B1797" s="1">
        <f>DATE(2013,3,1) + TIME(0,0,0)</f>
        <v>41334</v>
      </c>
      <c r="C1797">
        <v>1326.5584716999999</v>
      </c>
      <c r="D1797">
        <v>1324.3597411999999</v>
      </c>
      <c r="E1797">
        <v>1337.9187012</v>
      </c>
      <c r="F1797">
        <v>1335.6882324000001</v>
      </c>
      <c r="G1797">
        <v>80</v>
      </c>
      <c r="H1797">
        <v>70.746162415000001</v>
      </c>
      <c r="I1797">
        <v>50</v>
      </c>
      <c r="J1797">
        <v>49.978477478000002</v>
      </c>
      <c r="K1797">
        <v>0</v>
      </c>
      <c r="L1797">
        <v>2400</v>
      </c>
      <c r="M1797">
        <v>2400</v>
      </c>
      <c r="N1797">
        <v>0</v>
      </c>
    </row>
    <row r="1798" spans="1:14" x14ac:dyDescent="0.25">
      <c r="A1798">
        <v>1038.4244160000001</v>
      </c>
      <c r="B1798" s="1">
        <f>DATE(2013,3,4) + TIME(10,11,9)</f>
        <v>41337.424409722225</v>
      </c>
      <c r="C1798">
        <v>1326.5400391000001</v>
      </c>
      <c r="D1798">
        <v>1324.3291016000001</v>
      </c>
      <c r="E1798">
        <v>1337.9174805</v>
      </c>
      <c r="F1798">
        <v>1335.6877440999999</v>
      </c>
      <c r="G1798">
        <v>80</v>
      </c>
      <c r="H1798">
        <v>70.577926636000001</v>
      </c>
      <c r="I1798">
        <v>50</v>
      </c>
      <c r="J1798">
        <v>49.978492737000003</v>
      </c>
      <c r="K1798">
        <v>0</v>
      </c>
      <c r="L1798">
        <v>2400</v>
      </c>
      <c r="M1798">
        <v>2400</v>
      </c>
      <c r="N1798">
        <v>0</v>
      </c>
    </row>
    <row r="1799" spans="1:14" x14ac:dyDescent="0.25">
      <c r="A1799">
        <v>1042.0463850000001</v>
      </c>
      <c r="B1799" s="1">
        <f>DATE(2013,3,8) + TIME(1,6,47)</f>
        <v>41341.046377314815</v>
      </c>
      <c r="C1799">
        <v>1326.5020752</v>
      </c>
      <c r="D1799">
        <v>1324.2832031</v>
      </c>
      <c r="E1799">
        <v>1337.9121094</v>
      </c>
      <c r="F1799">
        <v>1335.6859131000001</v>
      </c>
      <c r="G1799">
        <v>80</v>
      </c>
      <c r="H1799">
        <v>70.302009583</v>
      </c>
      <c r="I1799">
        <v>50</v>
      </c>
      <c r="J1799">
        <v>49.978500365999999</v>
      </c>
      <c r="K1799">
        <v>0</v>
      </c>
      <c r="L1799">
        <v>2400</v>
      </c>
      <c r="M1799">
        <v>2400</v>
      </c>
      <c r="N1799">
        <v>0</v>
      </c>
    </row>
    <row r="1800" spans="1:14" x14ac:dyDescent="0.25">
      <c r="A1800">
        <v>1045.8533660000001</v>
      </c>
      <c r="B1800" s="1">
        <f>DATE(2013,3,11) + TIME(20,28,50)</f>
        <v>41344.853356481479</v>
      </c>
      <c r="C1800">
        <v>1326.458374</v>
      </c>
      <c r="D1800">
        <v>1324.2268065999999</v>
      </c>
      <c r="E1800">
        <v>1337.9066161999999</v>
      </c>
      <c r="F1800">
        <v>1335.6838379000001</v>
      </c>
      <c r="G1800">
        <v>80</v>
      </c>
      <c r="H1800">
        <v>69.998130798000005</v>
      </c>
      <c r="I1800">
        <v>50</v>
      </c>
      <c r="J1800">
        <v>49.978504180999998</v>
      </c>
      <c r="K1800">
        <v>0</v>
      </c>
      <c r="L1800">
        <v>2400</v>
      </c>
      <c r="M1800">
        <v>2400</v>
      </c>
      <c r="N1800">
        <v>0</v>
      </c>
    </row>
    <row r="1801" spans="1:14" x14ac:dyDescent="0.25">
      <c r="A1801">
        <v>1047.761929</v>
      </c>
      <c r="B1801" s="1">
        <f>DATE(2013,3,13) + TIME(18,17,10)</f>
        <v>41346.761921296296</v>
      </c>
      <c r="C1801">
        <v>1326.4132079999999</v>
      </c>
      <c r="D1801">
        <v>1324.1694336</v>
      </c>
      <c r="E1801">
        <v>1337.901001</v>
      </c>
      <c r="F1801">
        <v>1335.6816406</v>
      </c>
      <c r="G1801">
        <v>80</v>
      </c>
      <c r="H1801">
        <v>69.711692810000002</v>
      </c>
      <c r="I1801">
        <v>50</v>
      </c>
      <c r="J1801">
        <v>49.978496552000003</v>
      </c>
      <c r="K1801">
        <v>0</v>
      </c>
      <c r="L1801">
        <v>2400</v>
      </c>
      <c r="M1801">
        <v>2400</v>
      </c>
      <c r="N1801">
        <v>0</v>
      </c>
    </row>
    <row r="1802" spans="1:14" x14ac:dyDescent="0.25">
      <c r="A1802">
        <v>1049.670492</v>
      </c>
      <c r="B1802" s="1">
        <f>DATE(2013,3,15) + TIME(16,5,30)</f>
        <v>41348.670486111114</v>
      </c>
      <c r="C1802">
        <v>1326.3843993999999</v>
      </c>
      <c r="D1802">
        <v>1324.1278076000001</v>
      </c>
      <c r="E1802">
        <v>1337.8981934000001</v>
      </c>
      <c r="F1802">
        <v>1335.6805420000001</v>
      </c>
      <c r="G1802">
        <v>80</v>
      </c>
      <c r="H1802">
        <v>69.522262573000006</v>
      </c>
      <c r="I1802">
        <v>50</v>
      </c>
      <c r="J1802">
        <v>49.978496552000003</v>
      </c>
      <c r="K1802">
        <v>0</v>
      </c>
      <c r="L1802">
        <v>2400</v>
      </c>
      <c r="M1802">
        <v>2400</v>
      </c>
      <c r="N1802">
        <v>0</v>
      </c>
    </row>
    <row r="1803" spans="1:14" x14ac:dyDescent="0.25">
      <c r="A1803">
        <v>1053.4876180000001</v>
      </c>
      <c r="B1803" s="1">
        <f>DATE(2013,3,19) + TIME(11,42,10)</f>
        <v>41352.487615740742</v>
      </c>
      <c r="C1803">
        <v>1326.3604736</v>
      </c>
      <c r="D1803">
        <v>1324.0948486</v>
      </c>
      <c r="E1803">
        <v>1337.8955077999999</v>
      </c>
      <c r="F1803">
        <v>1335.6794434000001</v>
      </c>
      <c r="G1803">
        <v>80</v>
      </c>
      <c r="H1803">
        <v>69.332405089999995</v>
      </c>
      <c r="I1803">
        <v>50</v>
      </c>
      <c r="J1803">
        <v>49.978515625</v>
      </c>
      <c r="K1803">
        <v>0</v>
      </c>
      <c r="L1803">
        <v>2400</v>
      </c>
      <c r="M1803">
        <v>2400</v>
      </c>
      <c r="N1803">
        <v>0</v>
      </c>
    </row>
    <row r="1804" spans="1:14" x14ac:dyDescent="0.25">
      <c r="A1804">
        <v>1057.309759</v>
      </c>
      <c r="B1804" s="1">
        <f>DATE(2013,3,23) + TIME(7,26,3)</f>
        <v>41356.309756944444</v>
      </c>
      <c r="C1804">
        <v>1326.322876</v>
      </c>
      <c r="D1804">
        <v>1324.0495605000001</v>
      </c>
      <c r="E1804">
        <v>1337.8900146000001</v>
      </c>
      <c r="F1804">
        <v>1335.6773682</v>
      </c>
      <c r="G1804">
        <v>80</v>
      </c>
      <c r="H1804">
        <v>69.022697449000006</v>
      </c>
      <c r="I1804">
        <v>50</v>
      </c>
      <c r="J1804">
        <v>49.978523254000002</v>
      </c>
      <c r="K1804">
        <v>0</v>
      </c>
      <c r="L1804">
        <v>2400</v>
      </c>
      <c r="M1804">
        <v>2400</v>
      </c>
      <c r="N1804">
        <v>0</v>
      </c>
    </row>
    <row r="1805" spans="1:14" x14ac:dyDescent="0.25">
      <c r="A1805">
        <v>1061.2087959999999</v>
      </c>
      <c r="B1805" s="1">
        <f>DATE(2013,3,27) + TIME(5,0,40)</f>
        <v>41360.208796296298</v>
      </c>
      <c r="C1805">
        <v>1326.2810059000001</v>
      </c>
      <c r="D1805">
        <v>1323.9952393000001</v>
      </c>
      <c r="E1805">
        <v>1337.8846435999999</v>
      </c>
      <c r="F1805">
        <v>1335.6751709</v>
      </c>
      <c r="G1805">
        <v>80</v>
      </c>
      <c r="H1805">
        <v>68.697731017999999</v>
      </c>
      <c r="I1805">
        <v>50</v>
      </c>
      <c r="J1805">
        <v>49.978534697999997</v>
      </c>
      <c r="K1805">
        <v>0</v>
      </c>
      <c r="L1805">
        <v>2400</v>
      </c>
      <c r="M1805">
        <v>2400</v>
      </c>
      <c r="N1805">
        <v>0</v>
      </c>
    </row>
    <row r="1806" spans="1:14" x14ac:dyDescent="0.25">
      <c r="A1806">
        <v>1065.2240569999999</v>
      </c>
      <c r="B1806" s="1">
        <f>DATE(2013,3,31) + TIME(5,22,38)</f>
        <v>41364.224050925928</v>
      </c>
      <c r="C1806">
        <v>1326.2390137</v>
      </c>
      <c r="D1806">
        <v>1323.9404297000001</v>
      </c>
      <c r="E1806">
        <v>1337.8791504000001</v>
      </c>
      <c r="F1806">
        <v>1335.6728516000001</v>
      </c>
      <c r="G1806">
        <v>80</v>
      </c>
      <c r="H1806">
        <v>68.364509583</v>
      </c>
      <c r="I1806">
        <v>50</v>
      </c>
      <c r="J1806">
        <v>49.978542328000003</v>
      </c>
      <c r="K1806">
        <v>0</v>
      </c>
      <c r="L1806">
        <v>2400</v>
      </c>
      <c r="M1806">
        <v>2400</v>
      </c>
      <c r="N1806">
        <v>0</v>
      </c>
    </row>
    <row r="1807" spans="1:14" x14ac:dyDescent="0.25">
      <c r="A1807">
        <v>1066</v>
      </c>
      <c r="B1807" s="1">
        <f>DATE(2013,4,1) + TIME(0,0,0)</f>
        <v>41365</v>
      </c>
      <c r="C1807">
        <v>1326.1971435999999</v>
      </c>
      <c r="D1807">
        <v>1323.8894043</v>
      </c>
      <c r="E1807">
        <v>1337.8736572</v>
      </c>
      <c r="F1807">
        <v>1335.6705322</v>
      </c>
      <c r="G1807">
        <v>80</v>
      </c>
      <c r="H1807">
        <v>68.132194518999995</v>
      </c>
      <c r="I1807">
        <v>50</v>
      </c>
      <c r="J1807">
        <v>49.978530884000001</v>
      </c>
      <c r="K1807">
        <v>0</v>
      </c>
      <c r="L1807">
        <v>2400</v>
      </c>
      <c r="M1807">
        <v>2400</v>
      </c>
      <c r="N1807">
        <v>0</v>
      </c>
    </row>
    <row r="1808" spans="1:14" x14ac:dyDescent="0.25">
      <c r="A1808">
        <v>1070.2234430000001</v>
      </c>
      <c r="B1808" s="1">
        <f>DATE(2013,4,5) + TIME(5,21,45)</f>
        <v>41369.223437499997</v>
      </c>
      <c r="C1808">
        <v>1326.1823730000001</v>
      </c>
      <c r="D1808">
        <v>1323.8623047000001</v>
      </c>
      <c r="E1808">
        <v>1337.8726807</v>
      </c>
      <c r="F1808">
        <v>1335.6701660000001</v>
      </c>
      <c r="G1808">
        <v>80</v>
      </c>
      <c r="H1808">
        <v>67.933547974000007</v>
      </c>
      <c r="I1808">
        <v>50</v>
      </c>
      <c r="J1808">
        <v>49.978557586999997</v>
      </c>
      <c r="K1808">
        <v>0</v>
      </c>
      <c r="L1808">
        <v>2400</v>
      </c>
      <c r="M1808">
        <v>2400</v>
      </c>
      <c r="N1808">
        <v>0</v>
      </c>
    </row>
    <row r="1809" spans="1:14" x14ac:dyDescent="0.25">
      <c r="A1809">
        <v>1074.708335</v>
      </c>
      <c r="B1809" s="1">
        <f>DATE(2013,4,9) + TIME(17,0,0)</f>
        <v>41373.708333333336</v>
      </c>
      <c r="C1809">
        <v>1326.1456298999999</v>
      </c>
      <c r="D1809">
        <v>1323.8179932</v>
      </c>
      <c r="E1809">
        <v>1337.8669434000001</v>
      </c>
      <c r="F1809">
        <v>1335.6677245999999</v>
      </c>
      <c r="G1809">
        <v>80</v>
      </c>
      <c r="H1809">
        <v>67.585639954000001</v>
      </c>
      <c r="I1809">
        <v>50</v>
      </c>
      <c r="J1809">
        <v>49.978572845000002</v>
      </c>
      <c r="K1809">
        <v>0</v>
      </c>
      <c r="L1809">
        <v>2400</v>
      </c>
      <c r="M1809">
        <v>2400</v>
      </c>
      <c r="N1809">
        <v>0</v>
      </c>
    </row>
    <row r="1810" spans="1:14" x14ac:dyDescent="0.25">
      <c r="A1810">
        <v>1079.2124719999999</v>
      </c>
      <c r="B1810" s="1">
        <f>DATE(2013,4,14) + TIME(5,5,57)</f>
        <v>41378.212465277778</v>
      </c>
      <c r="C1810">
        <v>1326.1027832</v>
      </c>
      <c r="D1810">
        <v>1323.7628173999999</v>
      </c>
      <c r="E1810">
        <v>1337.8609618999999</v>
      </c>
      <c r="F1810">
        <v>1335.6650391000001</v>
      </c>
      <c r="G1810">
        <v>80</v>
      </c>
      <c r="H1810">
        <v>67.202987671000002</v>
      </c>
      <c r="I1810">
        <v>50</v>
      </c>
      <c r="J1810">
        <v>49.978584290000001</v>
      </c>
      <c r="K1810">
        <v>0</v>
      </c>
      <c r="L1810">
        <v>2400</v>
      </c>
      <c r="M1810">
        <v>2400</v>
      </c>
      <c r="N1810">
        <v>0</v>
      </c>
    </row>
    <row r="1811" spans="1:14" x14ac:dyDescent="0.25">
      <c r="A1811">
        <v>1083.7916379999999</v>
      </c>
      <c r="B1811" s="1">
        <f>DATE(2013,4,18) + TIME(18,59,57)</f>
        <v>41382.791631944441</v>
      </c>
      <c r="C1811">
        <v>1326.0599365</v>
      </c>
      <c r="D1811">
        <v>1323.7066649999999</v>
      </c>
      <c r="E1811">
        <v>1337.8551024999999</v>
      </c>
      <c r="F1811">
        <v>1335.6624756000001</v>
      </c>
      <c r="G1811">
        <v>80</v>
      </c>
      <c r="H1811">
        <v>66.817077636999997</v>
      </c>
      <c r="I1811">
        <v>50</v>
      </c>
      <c r="J1811">
        <v>49.978599547999998</v>
      </c>
      <c r="K1811">
        <v>0</v>
      </c>
      <c r="L1811">
        <v>2400</v>
      </c>
      <c r="M1811">
        <v>2400</v>
      </c>
      <c r="N1811">
        <v>0</v>
      </c>
    </row>
    <row r="1812" spans="1:14" x14ac:dyDescent="0.25">
      <c r="A1812">
        <v>1088.502242</v>
      </c>
      <c r="B1812" s="1">
        <f>DATE(2013,4,23) + TIME(12,3,13)</f>
        <v>41387.502233796295</v>
      </c>
      <c r="C1812">
        <v>1326.0178223</v>
      </c>
      <c r="D1812">
        <v>1323.6513672000001</v>
      </c>
      <c r="E1812">
        <v>1337.8492432</v>
      </c>
      <c r="F1812">
        <v>1335.6597899999999</v>
      </c>
      <c r="G1812">
        <v>80</v>
      </c>
      <c r="H1812">
        <v>66.416061400999993</v>
      </c>
      <c r="I1812">
        <v>50</v>
      </c>
      <c r="J1812">
        <v>49.978614807</v>
      </c>
      <c r="K1812">
        <v>0</v>
      </c>
      <c r="L1812">
        <v>2400</v>
      </c>
      <c r="M1812">
        <v>2400</v>
      </c>
      <c r="N1812">
        <v>0</v>
      </c>
    </row>
    <row r="1813" spans="1:14" x14ac:dyDescent="0.25">
      <c r="A1813">
        <v>1093.276057</v>
      </c>
      <c r="B1813" s="1">
        <f>DATE(2013,4,28) + TIME(6,37,31)</f>
        <v>41392.276053240741</v>
      </c>
      <c r="C1813">
        <v>1325.9759521000001</v>
      </c>
      <c r="D1813">
        <v>1323.5968018000001</v>
      </c>
      <c r="E1813">
        <v>1337.8432617000001</v>
      </c>
      <c r="F1813">
        <v>1335.6569824000001</v>
      </c>
      <c r="G1813">
        <v>80</v>
      </c>
      <c r="H1813">
        <v>66.019416809000006</v>
      </c>
      <c r="I1813">
        <v>50</v>
      </c>
      <c r="J1813">
        <v>49.978633881</v>
      </c>
      <c r="K1813">
        <v>0</v>
      </c>
      <c r="L1813">
        <v>2400</v>
      </c>
      <c r="M1813">
        <v>2400</v>
      </c>
      <c r="N1813">
        <v>0</v>
      </c>
    </row>
    <row r="1814" spans="1:14" x14ac:dyDescent="0.25">
      <c r="A1814">
        <v>1096</v>
      </c>
      <c r="B1814" s="1">
        <f>DATE(2013,5,1) + TIME(0,0,0)</f>
        <v>41395</v>
      </c>
      <c r="C1814">
        <v>1325.9348144999999</v>
      </c>
      <c r="D1814">
        <v>1323.5435791</v>
      </c>
      <c r="E1814">
        <v>1337.8374022999999</v>
      </c>
      <c r="F1814">
        <v>1335.6540527</v>
      </c>
      <c r="G1814">
        <v>80</v>
      </c>
      <c r="H1814">
        <v>65.612419127999999</v>
      </c>
      <c r="I1814">
        <v>50</v>
      </c>
      <c r="J1814">
        <v>49.978630066000001</v>
      </c>
      <c r="K1814">
        <v>0</v>
      </c>
      <c r="L1814">
        <v>2400</v>
      </c>
      <c r="M1814">
        <v>2400</v>
      </c>
      <c r="N1814">
        <v>0</v>
      </c>
    </row>
    <row r="1815" spans="1:14" x14ac:dyDescent="0.25">
      <c r="A1815">
        <v>1096.0000010000001</v>
      </c>
      <c r="B1815" s="1">
        <f>DATE(2013,5,1) + TIME(0,0,0)</f>
        <v>41395</v>
      </c>
      <c r="C1815">
        <v>1329.2022704999999</v>
      </c>
      <c r="D1815">
        <v>1326.8912353999999</v>
      </c>
      <c r="E1815">
        <v>1334.9993896000001</v>
      </c>
      <c r="F1815">
        <v>1333.3476562000001</v>
      </c>
      <c r="G1815">
        <v>80</v>
      </c>
      <c r="H1815">
        <v>65.612571716000005</v>
      </c>
      <c r="I1815">
        <v>50</v>
      </c>
      <c r="J1815">
        <v>49.978549956999998</v>
      </c>
      <c r="K1815">
        <v>2400</v>
      </c>
      <c r="L1815">
        <v>0</v>
      </c>
      <c r="M1815">
        <v>0</v>
      </c>
      <c r="N1815">
        <v>2400</v>
      </c>
    </row>
    <row r="1816" spans="1:14" x14ac:dyDescent="0.25">
      <c r="A1816">
        <v>1096.000004</v>
      </c>
      <c r="B1816" s="1">
        <f>DATE(2013,5,1) + TIME(0,0,0)</f>
        <v>41395</v>
      </c>
      <c r="C1816">
        <v>1330.4049072</v>
      </c>
      <c r="D1816">
        <v>1328.2106934000001</v>
      </c>
      <c r="E1816">
        <v>1333.9766846</v>
      </c>
      <c r="F1816">
        <v>1332.3251952999999</v>
      </c>
      <c r="G1816">
        <v>80</v>
      </c>
      <c r="H1816">
        <v>65.612823485999996</v>
      </c>
      <c r="I1816">
        <v>50</v>
      </c>
      <c r="J1816">
        <v>49.978420258</v>
      </c>
      <c r="K1816">
        <v>2400</v>
      </c>
      <c r="L1816">
        <v>0</v>
      </c>
      <c r="M1816">
        <v>0</v>
      </c>
      <c r="N1816">
        <v>2400</v>
      </c>
    </row>
    <row r="1817" spans="1:14" x14ac:dyDescent="0.25">
      <c r="A1817">
        <v>1096.0000130000001</v>
      </c>
      <c r="B1817" s="1">
        <f>DATE(2013,5,1) + TIME(0,0,1)</f>
        <v>41395.000011574077</v>
      </c>
      <c r="C1817">
        <v>1331.8507079999999</v>
      </c>
      <c r="D1817">
        <v>1329.6278076000001</v>
      </c>
      <c r="E1817">
        <v>1332.8175048999999</v>
      </c>
      <c r="F1817">
        <v>1331.1662598</v>
      </c>
      <c r="G1817">
        <v>80</v>
      </c>
      <c r="H1817">
        <v>65.613250731999997</v>
      </c>
      <c r="I1817">
        <v>50</v>
      </c>
      <c r="J1817">
        <v>49.978275299000003</v>
      </c>
      <c r="K1817">
        <v>2400</v>
      </c>
      <c r="L1817">
        <v>0</v>
      </c>
      <c r="M1817">
        <v>0</v>
      </c>
      <c r="N1817">
        <v>2400</v>
      </c>
    </row>
    <row r="1818" spans="1:14" x14ac:dyDescent="0.25">
      <c r="A1818">
        <v>1096.0000399999999</v>
      </c>
      <c r="B1818" s="1">
        <f>DATE(2013,5,1) + TIME(0,0,3)</f>
        <v>41395.000034722223</v>
      </c>
      <c r="C1818">
        <v>1333.3139647999999</v>
      </c>
      <c r="D1818">
        <v>1331.0274658000001</v>
      </c>
      <c r="E1818">
        <v>1331.6821289</v>
      </c>
      <c r="F1818">
        <v>1330.0306396000001</v>
      </c>
      <c r="G1818">
        <v>80</v>
      </c>
      <c r="H1818">
        <v>65.614143372000001</v>
      </c>
      <c r="I1818">
        <v>50</v>
      </c>
      <c r="J1818">
        <v>49.978130341000004</v>
      </c>
      <c r="K1818">
        <v>2400</v>
      </c>
      <c r="L1818">
        <v>0</v>
      </c>
      <c r="M1818">
        <v>0</v>
      </c>
      <c r="N1818">
        <v>2400</v>
      </c>
    </row>
    <row r="1819" spans="1:14" x14ac:dyDescent="0.25">
      <c r="A1819">
        <v>1096.000121</v>
      </c>
      <c r="B1819" s="1">
        <f>DATE(2013,5,1) + TIME(0,0,10)</f>
        <v>41395.000115740739</v>
      </c>
      <c r="C1819">
        <v>1334.7474365</v>
      </c>
      <c r="D1819">
        <v>1332.4008789</v>
      </c>
      <c r="E1819">
        <v>1330.5635986</v>
      </c>
      <c r="F1819">
        <v>1328.9045410000001</v>
      </c>
      <c r="G1819">
        <v>80</v>
      </c>
      <c r="H1819">
        <v>65.616516113000003</v>
      </c>
      <c r="I1819">
        <v>50</v>
      </c>
      <c r="J1819">
        <v>49.977981567</v>
      </c>
      <c r="K1819">
        <v>2400</v>
      </c>
      <c r="L1819">
        <v>0</v>
      </c>
      <c r="M1819">
        <v>0</v>
      </c>
      <c r="N1819">
        <v>2400</v>
      </c>
    </row>
    <row r="1820" spans="1:14" x14ac:dyDescent="0.25">
      <c r="A1820">
        <v>1096.000364</v>
      </c>
      <c r="B1820" s="1">
        <f>DATE(2013,5,1) + TIME(0,0,31)</f>
        <v>41395.000358796293</v>
      </c>
      <c r="C1820">
        <v>1336.1524658000001</v>
      </c>
      <c r="D1820">
        <v>1333.7448730000001</v>
      </c>
      <c r="E1820">
        <v>1329.4248047000001</v>
      </c>
      <c r="F1820">
        <v>1327.7395019999999</v>
      </c>
      <c r="G1820">
        <v>80</v>
      </c>
      <c r="H1820">
        <v>65.623428344999994</v>
      </c>
      <c r="I1820">
        <v>50</v>
      </c>
      <c r="J1820">
        <v>49.977813720999997</v>
      </c>
      <c r="K1820">
        <v>2400</v>
      </c>
      <c r="L1820">
        <v>0</v>
      </c>
      <c r="M1820">
        <v>0</v>
      </c>
      <c r="N1820">
        <v>2400</v>
      </c>
    </row>
    <row r="1821" spans="1:14" x14ac:dyDescent="0.25">
      <c r="A1821">
        <v>1096.0010930000001</v>
      </c>
      <c r="B1821" s="1">
        <f>DATE(2013,5,1) + TIME(0,1,34)</f>
        <v>41395.001087962963</v>
      </c>
      <c r="C1821">
        <v>1337.4177245999999</v>
      </c>
      <c r="D1821">
        <v>1334.9527588000001</v>
      </c>
      <c r="E1821">
        <v>1328.315918</v>
      </c>
      <c r="F1821">
        <v>1326.5926514</v>
      </c>
      <c r="G1821">
        <v>80</v>
      </c>
      <c r="H1821">
        <v>65.644226074000002</v>
      </c>
      <c r="I1821">
        <v>50</v>
      </c>
      <c r="J1821">
        <v>49.977603911999999</v>
      </c>
      <c r="K1821">
        <v>2400</v>
      </c>
      <c r="L1821">
        <v>0</v>
      </c>
      <c r="M1821">
        <v>0</v>
      </c>
      <c r="N1821">
        <v>2400</v>
      </c>
    </row>
    <row r="1822" spans="1:14" x14ac:dyDescent="0.25">
      <c r="A1822">
        <v>1096.0032799999999</v>
      </c>
      <c r="B1822" s="1">
        <f>DATE(2013,5,1) + TIME(0,4,43)</f>
        <v>41395.003275462965</v>
      </c>
      <c r="C1822">
        <v>1338.2977295000001</v>
      </c>
      <c r="D1822">
        <v>1335.7973632999999</v>
      </c>
      <c r="E1822">
        <v>1327.4764404</v>
      </c>
      <c r="F1822">
        <v>1325.7280272999999</v>
      </c>
      <c r="G1822">
        <v>80</v>
      </c>
      <c r="H1822">
        <v>65.706909179999997</v>
      </c>
      <c r="I1822">
        <v>50</v>
      </c>
      <c r="J1822">
        <v>49.977287292</v>
      </c>
      <c r="K1822">
        <v>2400</v>
      </c>
      <c r="L1822">
        <v>0</v>
      </c>
      <c r="M1822">
        <v>0</v>
      </c>
      <c r="N1822">
        <v>2400</v>
      </c>
    </row>
    <row r="1823" spans="1:14" x14ac:dyDescent="0.25">
      <c r="A1823">
        <v>1096.0098410000001</v>
      </c>
      <c r="B1823" s="1">
        <f>DATE(2013,5,1) + TIME(0,14,10)</f>
        <v>41395.009837962964</v>
      </c>
      <c r="C1823">
        <v>1338.6639404</v>
      </c>
      <c r="D1823">
        <v>1336.1580810999999</v>
      </c>
      <c r="E1823">
        <v>1327.1134033000001</v>
      </c>
      <c r="F1823">
        <v>1325.3565673999999</v>
      </c>
      <c r="G1823">
        <v>80</v>
      </c>
      <c r="H1823">
        <v>65.893104553000001</v>
      </c>
      <c r="I1823">
        <v>50</v>
      </c>
      <c r="J1823">
        <v>49.976604461999997</v>
      </c>
      <c r="K1823">
        <v>2400</v>
      </c>
      <c r="L1823">
        <v>0</v>
      </c>
      <c r="M1823">
        <v>0</v>
      </c>
      <c r="N1823">
        <v>2400</v>
      </c>
    </row>
    <row r="1824" spans="1:14" x14ac:dyDescent="0.25">
      <c r="A1824">
        <v>1096.0293810000001</v>
      </c>
      <c r="B1824" s="1">
        <f>DATE(2013,5,1) + TIME(0,42,18)</f>
        <v>41395.029374999998</v>
      </c>
      <c r="C1824">
        <v>1338.7023925999999</v>
      </c>
      <c r="D1824">
        <v>1336.2181396000001</v>
      </c>
      <c r="E1824">
        <v>1327.0488281</v>
      </c>
      <c r="F1824">
        <v>1325.2906493999999</v>
      </c>
      <c r="G1824">
        <v>80</v>
      </c>
      <c r="H1824">
        <v>66.425773621000005</v>
      </c>
      <c r="I1824">
        <v>50</v>
      </c>
      <c r="J1824">
        <v>49.974727631</v>
      </c>
      <c r="K1824">
        <v>2400</v>
      </c>
      <c r="L1824">
        <v>0</v>
      </c>
      <c r="M1824">
        <v>0</v>
      </c>
      <c r="N1824">
        <v>2400</v>
      </c>
    </row>
    <row r="1825" spans="1:14" x14ac:dyDescent="0.25">
      <c r="A1825">
        <v>1096.0492819999999</v>
      </c>
      <c r="B1825" s="1">
        <f>DATE(2013,5,1) + TIME(1,10,57)</f>
        <v>41395.049270833333</v>
      </c>
      <c r="C1825">
        <v>1338.7073975000001</v>
      </c>
      <c r="D1825">
        <v>1336.2305908000001</v>
      </c>
      <c r="E1825">
        <v>1327.0452881000001</v>
      </c>
      <c r="F1825">
        <v>1325.2869873</v>
      </c>
      <c r="G1825">
        <v>80</v>
      </c>
      <c r="H1825">
        <v>66.949577332000004</v>
      </c>
      <c r="I1825">
        <v>50</v>
      </c>
      <c r="J1825">
        <v>49.972839354999998</v>
      </c>
      <c r="K1825">
        <v>2400</v>
      </c>
      <c r="L1825">
        <v>0</v>
      </c>
      <c r="M1825">
        <v>0</v>
      </c>
      <c r="N1825">
        <v>2400</v>
      </c>
    </row>
    <row r="1826" spans="1:14" x14ac:dyDescent="0.25">
      <c r="A1826">
        <v>1096.0695840000001</v>
      </c>
      <c r="B1826" s="1">
        <f>DATE(2013,5,1) + TIME(1,40,12)</f>
        <v>41395.06958333333</v>
      </c>
      <c r="C1826">
        <v>1338.7089844</v>
      </c>
      <c r="D1826">
        <v>1336.2386475000001</v>
      </c>
      <c r="E1826">
        <v>1327.0451660000001</v>
      </c>
      <c r="F1826">
        <v>1325.2868652</v>
      </c>
      <c r="G1826">
        <v>80</v>
      </c>
      <c r="H1826">
        <v>67.465164185000006</v>
      </c>
      <c r="I1826">
        <v>50</v>
      </c>
      <c r="J1826">
        <v>49.970928192000002</v>
      </c>
      <c r="K1826">
        <v>2400</v>
      </c>
      <c r="L1826">
        <v>0</v>
      </c>
      <c r="M1826">
        <v>0</v>
      </c>
      <c r="N1826">
        <v>2400</v>
      </c>
    </row>
    <row r="1827" spans="1:14" x14ac:dyDescent="0.25">
      <c r="A1827">
        <v>1096.0903060000001</v>
      </c>
      <c r="B1827" s="1">
        <f>DATE(2013,5,1) + TIME(2,10,2)</f>
        <v>41395.090300925927</v>
      </c>
      <c r="C1827">
        <v>1338.7124022999999</v>
      </c>
      <c r="D1827">
        <v>1336.2475586</v>
      </c>
      <c r="E1827">
        <v>1327.0451660000001</v>
      </c>
      <c r="F1827">
        <v>1325.2867432</v>
      </c>
      <c r="G1827">
        <v>80</v>
      </c>
      <c r="H1827">
        <v>67.972503661999994</v>
      </c>
      <c r="I1827">
        <v>50</v>
      </c>
      <c r="J1827">
        <v>49.968990325999997</v>
      </c>
      <c r="K1827">
        <v>2400</v>
      </c>
      <c r="L1827">
        <v>0</v>
      </c>
      <c r="M1827">
        <v>0</v>
      </c>
      <c r="N1827">
        <v>2400</v>
      </c>
    </row>
    <row r="1828" spans="1:14" x14ac:dyDescent="0.25">
      <c r="A1828">
        <v>1096.1114669999999</v>
      </c>
      <c r="B1828" s="1">
        <f>DATE(2013,5,1) + TIME(2,40,30)</f>
        <v>41395.111458333333</v>
      </c>
      <c r="C1828">
        <v>1338.7178954999999</v>
      </c>
      <c r="D1828">
        <v>1336.2575684000001</v>
      </c>
      <c r="E1828">
        <v>1327.0452881000001</v>
      </c>
      <c r="F1828">
        <v>1325.2867432</v>
      </c>
      <c r="G1828">
        <v>80</v>
      </c>
      <c r="H1828">
        <v>68.471595764</v>
      </c>
      <c r="I1828">
        <v>50</v>
      </c>
      <c r="J1828">
        <v>49.967025757000002</v>
      </c>
      <c r="K1828">
        <v>2400</v>
      </c>
      <c r="L1828">
        <v>0</v>
      </c>
      <c r="M1828">
        <v>0</v>
      </c>
      <c r="N1828">
        <v>2400</v>
      </c>
    </row>
    <row r="1829" spans="1:14" x14ac:dyDescent="0.25">
      <c r="A1829">
        <v>1096.13309</v>
      </c>
      <c r="B1829" s="1">
        <f>DATE(2013,5,1) + TIME(3,11,38)</f>
        <v>41395.1330787037</v>
      </c>
      <c r="C1829">
        <v>1338.7254639</v>
      </c>
      <c r="D1829">
        <v>1336.2686768000001</v>
      </c>
      <c r="E1829">
        <v>1327.0452881000001</v>
      </c>
      <c r="F1829">
        <v>1325.2867432</v>
      </c>
      <c r="G1829">
        <v>80</v>
      </c>
      <c r="H1829">
        <v>68.962371825999995</v>
      </c>
      <c r="I1829">
        <v>50</v>
      </c>
      <c r="J1829">
        <v>49.965030669999997</v>
      </c>
      <c r="K1829">
        <v>2400</v>
      </c>
      <c r="L1829">
        <v>0</v>
      </c>
      <c r="M1829">
        <v>0</v>
      </c>
      <c r="N1829">
        <v>2400</v>
      </c>
    </row>
    <row r="1830" spans="1:14" x14ac:dyDescent="0.25">
      <c r="A1830">
        <v>1096.1551939999999</v>
      </c>
      <c r="B1830" s="1">
        <f>DATE(2013,5,1) + TIME(3,43,28)</f>
        <v>41395.155185185184</v>
      </c>
      <c r="C1830">
        <v>1338.7349853999999</v>
      </c>
      <c r="D1830">
        <v>1336.2810059000001</v>
      </c>
      <c r="E1830">
        <v>1327.0452881000001</v>
      </c>
      <c r="F1830">
        <v>1325.2866211</v>
      </c>
      <c r="G1830">
        <v>80</v>
      </c>
      <c r="H1830">
        <v>69.444778442</v>
      </c>
      <c r="I1830">
        <v>50</v>
      </c>
      <c r="J1830">
        <v>49.963008881</v>
      </c>
      <c r="K1830">
        <v>2400</v>
      </c>
      <c r="L1830">
        <v>0</v>
      </c>
      <c r="M1830">
        <v>0</v>
      </c>
      <c r="N1830">
        <v>2400</v>
      </c>
    </row>
    <row r="1831" spans="1:14" x14ac:dyDescent="0.25">
      <c r="A1831">
        <v>1096.1778039999999</v>
      </c>
      <c r="B1831" s="1">
        <f>DATE(2013,5,1) + TIME(4,16,2)</f>
        <v>41395.177800925929</v>
      </c>
      <c r="C1831">
        <v>1338.746582</v>
      </c>
      <c r="D1831">
        <v>1336.2943115</v>
      </c>
      <c r="E1831">
        <v>1327.0452881000001</v>
      </c>
      <c r="F1831">
        <v>1325.2866211</v>
      </c>
      <c r="G1831">
        <v>80</v>
      </c>
      <c r="H1831">
        <v>69.918724060000002</v>
      </c>
      <c r="I1831">
        <v>50</v>
      </c>
      <c r="J1831">
        <v>49.960956572999997</v>
      </c>
      <c r="K1831">
        <v>2400</v>
      </c>
      <c r="L1831">
        <v>0</v>
      </c>
      <c r="M1831">
        <v>0</v>
      </c>
      <c r="N1831">
        <v>2400</v>
      </c>
    </row>
    <row r="1832" spans="1:14" x14ac:dyDescent="0.25">
      <c r="A1832">
        <v>1096.2009430000001</v>
      </c>
      <c r="B1832" s="1">
        <f>DATE(2013,5,1) + TIME(4,49,21)</f>
        <v>41395.200937499998</v>
      </c>
      <c r="C1832">
        <v>1338.7600098</v>
      </c>
      <c r="D1832">
        <v>1336.3087158000001</v>
      </c>
      <c r="E1832">
        <v>1327.0451660000001</v>
      </c>
      <c r="F1832">
        <v>1325.286499</v>
      </c>
      <c r="G1832">
        <v>80</v>
      </c>
      <c r="H1832">
        <v>70.383758545000006</v>
      </c>
      <c r="I1832">
        <v>50</v>
      </c>
      <c r="J1832">
        <v>49.958869933999999</v>
      </c>
      <c r="K1832">
        <v>2400</v>
      </c>
      <c r="L1832">
        <v>0</v>
      </c>
      <c r="M1832">
        <v>0</v>
      </c>
      <c r="N1832">
        <v>2400</v>
      </c>
    </row>
    <row r="1833" spans="1:14" x14ac:dyDescent="0.25">
      <c r="A1833">
        <v>1096.2246359999999</v>
      </c>
      <c r="B1833" s="1">
        <f>DATE(2013,5,1) + TIME(5,23,28)</f>
        <v>41395.224629629629</v>
      </c>
      <c r="C1833">
        <v>1338.7752685999999</v>
      </c>
      <c r="D1833">
        <v>1336.3240966999999</v>
      </c>
      <c r="E1833">
        <v>1327.0451660000001</v>
      </c>
      <c r="F1833">
        <v>1325.2863769999999</v>
      </c>
      <c r="G1833">
        <v>80</v>
      </c>
      <c r="H1833">
        <v>70.839965820000003</v>
      </c>
      <c r="I1833">
        <v>50</v>
      </c>
      <c r="J1833">
        <v>49.956752776999998</v>
      </c>
      <c r="K1833">
        <v>2400</v>
      </c>
      <c r="L1833">
        <v>0</v>
      </c>
      <c r="M1833">
        <v>0</v>
      </c>
      <c r="N1833">
        <v>2400</v>
      </c>
    </row>
    <row r="1834" spans="1:14" x14ac:dyDescent="0.25">
      <c r="A1834">
        <v>1096.248914</v>
      </c>
      <c r="B1834" s="1">
        <f>DATE(2013,5,1) + TIME(5,58,26)</f>
        <v>41395.248912037037</v>
      </c>
      <c r="C1834">
        <v>1338.7921143000001</v>
      </c>
      <c r="D1834">
        <v>1336.340332</v>
      </c>
      <c r="E1834">
        <v>1327.0451660000001</v>
      </c>
      <c r="F1834">
        <v>1325.2862548999999</v>
      </c>
      <c r="G1834">
        <v>80</v>
      </c>
      <c r="H1834">
        <v>71.287315368999998</v>
      </c>
      <c r="I1834">
        <v>50</v>
      </c>
      <c r="J1834">
        <v>49.954597473</v>
      </c>
      <c r="K1834">
        <v>2400</v>
      </c>
      <c r="L1834">
        <v>0</v>
      </c>
      <c r="M1834">
        <v>0</v>
      </c>
      <c r="N1834">
        <v>2400</v>
      </c>
    </row>
    <row r="1835" spans="1:14" x14ac:dyDescent="0.25">
      <c r="A1835">
        <v>1096.273809</v>
      </c>
      <c r="B1835" s="1">
        <f>DATE(2013,5,1) + TIME(6,34,17)</f>
        <v>41395.27380787037</v>
      </c>
      <c r="C1835">
        <v>1338.8106689000001</v>
      </c>
      <c r="D1835">
        <v>1336.3575439000001</v>
      </c>
      <c r="E1835">
        <v>1327.0451660000001</v>
      </c>
      <c r="F1835">
        <v>1325.2861327999999</v>
      </c>
      <c r="G1835">
        <v>80</v>
      </c>
      <c r="H1835">
        <v>71.725639342999997</v>
      </c>
      <c r="I1835">
        <v>50</v>
      </c>
      <c r="J1835">
        <v>49.952404022000003</v>
      </c>
      <c r="K1835">
        <v>2400</v>
      </c>
      <c r="L1835">
        <v>0</v>
      </c>
      <c r="M1835">
        <v>0</v>
      </c>
      <c r="N1835">
        <v>2400</v>
      </c>
    </row>
    <row r="1836" spans="1:14" x14ac:dyDescent="0.25">
      <c r="A1836">
        <v>1096.2993530000001</v>
      </c>
      <c r="B1836" s="1">
        <f>DATE(2013,5,1) + TIME(7,11,4)</f>
        <v>41395.299351851849</v>
      </c>
      <c r="C1836">
        <v>1338.8308105000001</v>
      </c>
      <c r="D1836">
        <v>1336.3756103999999</v>
      </c>
      <c r="E1836">
        <v>1327.0450439000001</v>
      </c>
      <c r="F1836">
        <v>1325.2860106999999</v>
      </c>
      <c r="G1836">
        <v>80</v>
      </c>
      <c r="H1836">
        <v>72.154762267999999</v>
      </c>
      <c r="I1836">
        <v>50</v>
      </c>
      <c r="J1836">
        <v>49.950172424000002</v>
      </c>
      <c r="K1836">
        <v>2400</v>
      </c>
      <c r="L1836">
        <v>0</v>
      </c>
      <c r="M1836">
        <v>0</v>
      </c>
      <c r="N1836">
        <v>2400</v>
      </c>
    </row>
    <row r="1837" spans="1:14" x14ac:dyDescent="0.25">
      <c r="A1837">
        <v>1096.3255819999999</v>
      </c>
      <c r="B1837" s="1">
        <f>DATE(2013,5,1) + TIME(7,48,50)</f>
        <v>41395.325578703705</v>
      </c>
      <c r="C1837">
        <v>1338.8525391000001</v>
      </c>
      <c r="D1837">
        <v>1336.3945312000001</v>
      </c>
      <c r="E1837">
        <v>1327.0450439000001</v>
      </c>
      <c r="F1837">
        <v>1325.2858887</v>
      </c>
      <c r="G1837">
        <v>80</v>
      </c>
      <c r="H1837">
        <v>72.574485779</v>
      </c>
      <c r="I1837">
        <v>50</v>
      </c>
      <c r="J1837">
        <v>49.947898864999999</v>
      </c>
      <c r="K1837">
        <v>2400</v>
      </c>
      <c r="L1837">
        <v>0</v>
      </c>
      <c r="M1837">
        <v>0</v>
      </c>
      <c r="N1837">
        <v>2400</v>
      </c>
    </row>
    <row r="1838" spans="1:14" x14ac:dyDescent="0.25">
      <c r="A1838">
        <v>1096.3525340000001</v>
      </c>
      <c r="B1838" s="1">
        <f>DATE(2013,5,1) + TIME(8,27,38)</f>
        <v>41395.352523148147</v>
      </c>
      <c r="C1838">
        <v>1338.8756103999999</v>
      </c>
      <c r="D1838">
        <v>1336.4141846</v>
      </c>
      <c r="E1838">
        <v>1327.0449219</v>
      </c>
      <c r="F1838">
        <v>1325.2856445</v>
      </c>
      <c r="G1838">
        <v>80</v>
      </c>
      <c r="H1838">
        <v>72.984603882000002</v>
      </c>
      <c r="I1838">
        <v>50</v>
      </c>
      <c r="J1838">
        <v>49.945583343999999</v>
      </c>
      <c r="K1838">
        <v>2400</v>
      </c>
      <c r="L1838">
        <v>0</v>
      </c>
      <c r="M1838">
        <v>0</v>
      </c>
      <c r="N1838">
        <v>2400</v>
      </c>
    </row>
    <row r="1839" spans="1:14" x14ac:dyDescent="0.25">
      <c r="A1839">
        <v>1096.380249</v>
      </c>
      <c r="B1839" s="1">
        <f>DATE(2013,5,1) + TIME(9,7,33)</f>
        <v>41395.380243055559</v>
      </c>
      <c r="C1839">
        <v>1338.9000243999999</v>
      </c>
      <c r="D1839">
        <v>1336.4346923999999</v>
      </c>
      <c r="E1839">
        <v>1327.0447998</v>
      </c>
      <c r="F1839">
        <v>1325.2855225000001</v>
      </c>
      <c r="G1839">
        <v>80</v>
      </c>
      <c r="H1839">
        <v>73.384910583000007</v>
      </c>
      <c r="I1839">
        <v>50</v>
      </c>
      <c r="J1839">
        <v>49.943218231000003</v>
      </c>
      <c r="K1839">
        <v>2400</v>
      </c>
      <c r="L1839">
        <v>0</v>
      </c>
      <c r="M1839">
        <v>0</v>
      </c>
      <c r="N1839">
        <v>2400</v>
      </c>
    </row>
    <row r="1840" spans="1:14" x14ac:dyDescent="0.25">
      <c r="A1840">
        <v>1096.4087280000001</v>
      </c>
      <c r="B1840" s="1">
        <f>DATE(2013,5,1) + TIME(9,48,34)</f>
        <v>41395.408726851849</v>
      </c>
      <c r="C1840">
        <v>1338.9257812000001</v>
      </c>
      <c r="D1840">
        <v>1336.4558105000001</v>
      </c>
      <c r="E1840">
        <v>1327.0447998</v>
      </c>
      <c r="F1840">
        <v>1325.2854004000001</v>
      </c>
      <c r="G1840">
        <v>80</v>
      </c>
      <c r="H1840">
        <v>73.774566649999997</v>
      </c>
      <c r="I1840">
        <v>50</v>
      </c>
      <c r="J1840">
        <v>49.940811156999999</v>
      </c>
      <c r="K1840">
        <v>2400</v>
      </c>
      <c r="L1840">
        <v>0</v>
      </c>
      <c r="M1840">
        <v>0</v>
      </c>
      <c r="N1840">
        <v>2400</v>
      </c>
    </row>
    <row r="1841" spans="1:14" x14ac:dyDescent="0.25">
      <c r="A1841">
        <v>1096.438005</v>
      </c>
      <c r="B1841" s="1">
        <f>DATE(2013,5,1) + TIME(10,30,43)</f>
        <v>41395.437997685185</v>
      </c>
      <c r="C1841">
        <v>1338.9526367000001</v>
      </c>
      <c r="D1841">
        <v>1336.4775391000001</v>
      </c>
      <c r="E1841">
        <v>1327.0446777</v>
      </c>
      <c r="F1841">
        <v>1325.2851562000001</v>
      </c>
      <c r="G1841">
        <v>80</v>
      </c>
      <c r="H1841">
        <v>74.153282165999997</v>
      </c>
      <c r="I1841">
        <v>50</v>
      </c>
      <c r="J1841">
        <v>49.938354492000002</v>
      </c>
      <c r="K1841">
        <v>2400</v>
      </c>
      <c r="L1841">
        <v>0</v>
      </c>
      <c r="M1841">
        <v>0</v>
      </c>
      <c r="N1841">
        <v>2400</v>
      </c>
    </row>
    <row r="1842" spans="1:14" x14ac:dyDescent="0.25">
      <c r="A1842">
        <v>1096.4681230000001</v>
      </c>
      <c r="B1842" s="1">
        <f>DATE(2013,5,1) + TIME(11,14,5)</f>
        <v>41395.468113425923</v>
      </c>
      <c r="C1842">
        <v>1338.9807129000001</v>
      </c>
      <c r="D1842">
        <v>1336.4998779</v>
      </c>
      <c r="E1842">
        <v>1327.0445557</v>
      </c>
      <c r="F1842">
        <v>1325.2849120999999</v>
      </c>
      <c r="G1842">
        <v>80</v>
      </c>
      <c r="H1842">
        <v>74.520843506000006</v>
      </c>
      <c r="I1842">
        <v>50</v>
      </c>
      <c r="J1842">
        <v>49.935848235999998</v>
      </c>
      <c r="K1842">
        <v>2400</v>
      </c>
      <c r="L1842">
        <v>0</v>
      </c>
      <c r="M1842">
        <v>0</v>
      </c>
      <c r="N1842">
        <v>2400</v>
      </c>
    </row>
    <row r="1843" spans="1:14" x14ac:dyDescent="0.25">
      <c r="A1843">
        <v>1096.4991319999999</v>
      </c>
      <c r="B1843" s="1">
        <f>DATE(2013,5,1) + TIME(11,58,45)</f>
        <v>41395.499131944445</v>
      </c>
      <c r="C1843">
        <v>1339.0096435999999</v>
      </c>
      <c r="D1843">
        <v>1336.5227050999999</v>
      </c>
      <c r="E1843">
        <v>1327.0444336</v>
      </c>
      <c r="F1843">
        <v>1325.2847899999999</v>
      </c>
      <c r="G1843">
        <v>80</v>
      </c>
      <c r="H1843">
        <v>74.877021790000001</v>
      </c>
      <c r="I1843">
        <v>50</v>
      </c>
      <c r="J1843">
        <v>49.933288574000002</v>
      </c>
      <c r="K1843">
        <v>2400</v>
      </c>
      <c r="L1843">
        <v>0</v>
      </c>
      <c r="M1843">
        <v>0</v>
      </c>
      <c r="N1843">
        <v>2400</v>
      </c>
    </row>
    <row r="1844" spans="1:14" x14ac:dyDescent="0.25">
      <c r="A1844">
        <v>1096.5310830000001</v>
      </c>
      <c r="B1844" s="1">
        <f>DATE(2013,5,1) + TIME(12,44,45)</f>
        <v>41395.531076388892</v>
      </c>
      <c r="C1844">
        <v>1339.0396728999999</v>
      </c>
      <c r="D1844">
        <v>1336.5460204999999</v>
      </c>
      <c r="E1844">
        <v>1327.0443115</v>
      </c>
      <c r="F1844">
        <v>1325.2845459</v>
      </c>
      <c r="G1844">
        <v>80</v>
      </c>
      <c r="H1844">
        <v>75.221435546999999</v>
      </c>
      <c r="I1844">
        <v>50</v>
      </c>
      <c r="J1844">
        <v>49.930675506999997</v>
      </c>
      <c r="K1844">
        <v>2400</v>
      </c>
      <c r="L1844">
        <v>0</v>
      </c>
      <c r="M1844">
        <v>0</v>
      </c>
      <c r="N1844">
        <v>2400</v>
      </c>
    </row>
    <row r="1845" spans="1:14" x14ac:dyDescent="0.25">
      <c r="A1845">
        <v>1096.56403</v>
      </c>
      <c r="B1845" s="1">
        <f>DATE(2013,5,1) + TIME(13,32,12)</f>
        <v>41395.564027777778</v>
      </c>
      <c r="C1845">
        <v>1339.0703125</v>
      </c>
      <c r="D1845">
        <v>1336.5697021000001</v>
      </c>
      <c r="E1845">
        <v>1327.0441894999999</v>
      </c>
      <c r="F1845">
        <v>1325.2843018000001</v>
      </c>
      <c r="G1845">
        <v>80</v>
      </c>
      <c r="H1845">
        <v>75.553947449000006</v>
      </c>
      <c r="I1845">
        <v>50</v>
      </c>
      <c r="J1845">
        <v>49.928001404</v>
      </c>
      <c r="K1845">
        <v>2400</v>
      </c>
      <c r="L1845">
        <v>0</v>
      </c>
      <c r="M1845">
        <v>0</v>
      </c>
      <c r="N1845">
        <v>2400</v>
      </c>
    </row>
    <row r="1846" spans="1:14" x14ac:dyDescent="0.25">
      <c r="A1846">
        <v>1096.598035</v>
      </c>
      <c r="B1846" s="1">
        <f>DATE(2013,5,1) + TIME(14,21,10)</f>
        <v>41395.598032407404</v>
      </c>
      <c r="C1846">
        <v>1339.1019286999999</v>
      </c>
      <c r="D1846">
        <v>1336.5938721</v>
      </c>
      <c r="E1846">
        <v>1327.0440673999999</v>
      </c>
      <c r="F1846">
        <v>1325.2840576000001</v>
      </c>
      <c r="G1846">
        <v>80</v>
      </c>
      <c r="H1846">
        <v>75.874420165999993</v>
      </c>
      <c r="I1846">
        <v>50</v>
      </c>
      <c r="J1846">
        <v>49.925270081000001</v>
      </c>
      <c r="K1846">
        <v>2400</v>
      </c>
      <c r="L1846">
        <v>0</v>
      </c>
      <c r="M1846">
        <v>0</v>
      </c>
      <c r="N1846">
        <v>2400</v>
      </c>
    </row>
    <row r="1847" spans="1:14" x14ac:dyDescent="0.25">
      <c r="A1847">
        <v>1096.6331620000001</v>
      </c>
      <c r="B1847" s="1">
        <f>DATE(2013,5,1) + TIME(15,11,45)</f>
        <v>41395.633159722223</v>
      </c>
      <c r="C1847">
        <v>1339.1340332</v>
      </c>
      <c r="D1847">
        <v>1336.6182861</v>
      </c>
      <c r="E1847">
        <v>1327.0439452999999</v>
      </c>
      <c r="F1847">
        <v>1325.2838135</v>
      </c>
      <c r="G1847">
        <v>80</v>
      </c>
      <c r="H1847">
        <v>76.182662964000002</v>
      </c>
      <c r="I1847">
        <v>50</v>
      </c>
      <c r="J1847">
        <v>49.922470093000001</v>
      </c>
      <c r="K1847">
        <v>2400</v>
      </c>
      <c r="L1847">
        <v>0</v>
      </c>
      <c r="M1847">
        <v>0</v>
      </c>
      <c r="N1847">
        <v>2400</v>
      </c>
    </row>
    <row r="1848" spans="1:14" x14ac:dyDescent="0.25">
      <c r="A1848">
        <v>1096.6694809999999</v>
      </c>
      <c r="B1848" s="1">
        <f>DATE(2013,5,1) + TIME(16,4,3)</f>
        <v>41395.669479166667</v>
      </c>
      <c r="C1848">
        <v>1339.1668701000001</v>
      </c>
      <c r="D1848">
        <v>1336.6429443</v>
      </c>
      <c r="E1848">
        <v>1327.0437012</v>
      </c>
      <c r="F1848">
        <v>1325.2835693</v>
      </c>
      <c r="G1848">
        <v>80</v>
      </c>
      <c r="H1848">
        <v>76.478485106999997</v>
      </c>
      <c r="I1848">
        <v>50</v>
      </c>
      <c r="J1848">
        <v>49.919601440000001</v>
      </c>
      <c r="K1848">
        <v>2400</v>
      </c>
      <c r="L1848">
        <v>0</v>
      </c>
      <c r="M1848">
        <v>0</v>
      </c>
      <c r="N1848">
        <v>2400</v>
      </c>
    </row>
    <row r="1849" spans="1:14" x14ac:dyDescent="0.25">
      <c r="A1849">
        <v>1096.707069</v>
      </c>
      <c r="B1849" s="1">
        <f>DATE(2013,5,1) + TIME(16,58,10)</f>
        <v>41395.707060185188</v>
      </c>
      <c r="C1849">
        <v>1339.2001952999999</v>
      </c>
      <c r="D1849">
        <v>1336.6677245999999</v>
      </c>
      <c r="E1849">
        <v>1327.0435791</v>
      </c>
      <c r="F1849">
        <v>1325.2833252</v>
      </c>
      <c r="G1849">
        <v>80</v>
      </c>
      <c r="H1849">
        <v>76.761711121000005</v>
      </c>
      <c r="I1849">
        <v>50</v>
      </c>
      <c r="J1849">
        <v>49.916656494000001</v>
      </c>
      <c r="K1849">
        <v>2400</v>
      </c>
      <c r="L1849">
        <v>0</v>
      </c>
      <c r="M1849">
        <v>0</v>
      </c>
      <c r="N1849">
        <v>2400</v>
      </c>
    </row>
    <row r="1850" spans="1:14" x14ac:dyDescent="0.25">
      <c r="A1850">
        <v>1096.746024</v>
      </c>
      <c r="B1850" s="1">
        <f>DATE(2013,5,1) + TIME(17,54,16)</f>
        <v>41395.746018518519</v>
      </c>
      <c r="C1850">
        <v>1339.2338867000001</v>
      </c>
      <c r="D1850">
        <v>1336.692749</v>
      </c>
      <c r="E1850">
        <v>1327.043457</v>
      </c>
      <c r="F1850">
        <v>1325.2829589999999</v>
      </c>
      <c r="G1850">
        <v>80</v>
      </c>
      <c r="H1850">
        <v>77.032287597999996</v>
      </c>
      <c r="I1850">
        <v>50</v>
      </c>
      <c r="J1850">
        <v>49.913635253999999</v>
      </c>
      <c r="K1850">
        <v>2400</v>
      </c>
      <c r="L1850">
        <v>0</v>
      </c>
      <c r="M1850">
        <v>0</v>
      </c>
      <c r="N1850">
        <v>2400</v>
      </c>
    </row>
    <row r="1851" spans="1:14" x14ac:dyDescent="0.25">
      <c r="A1851">
        <v>1096.786429</v>
      </c>
      <c r="B1851" s="1">
        <f>DATE(2013,5,1) + TIME(18,52,27)</f>
        <v>41395.786423611113</v>
      </c>
      <c r="C1851">
        <v>1339.2679443</v>
      </c>
      <c r="D1851">
        <v>1336.7178954999999</v>
      </c>
      <c r="E1851">
        <v>1327.0432129000001</v>
      </c>
      <c r="F1851">
        <v>1325.2827147999999</v>
      </c>
      <c r="G1851">
        <v>80</v>
      </c>
      <c r="H1851">
        <v>77.290000915999997</v>
      </c>
      <c r="I1851">
        <v>50</v>
      </c>
      <c r="J1851">
        <v>49.910530090000002</v>
      </c>
      <c r="K1851">
        <v>2400</v>
      </c>
      <c r="L1851">
        <v>0</v>
      </c>
      <c r="M1851">
        <v>0</v>
      </c>
      <c r="N1851">
        <v>2400</v>
      </c>
    </row>
    <row r="1852" spans="1:14" x14ac:dyDescent="0.25">
      <c r="A1852">
        <v>1096.8283799999999</v>
      </c>
      <c r="B1852" s="1">
        <f>DATE(2013,5,1) + TIME(19,52,52)</f>
        <v>41395.828379629631</v>
      </c>
      <c r="C1852">
        <v>1339.3023682</v>
      </c>
      <c r="D1852">
        <v>1336.7430420000001</v>
      </c>
      <c r="E1852">
        <v>1327.0430908000001</v>
      </c>
      <c r="F1852">
        <v>1325.2823486</v>
      </c>
      <c r="G1852">
        <v>80</v>
      </c>
      <c r="H1852">
        <v>77.534729003999999</v>
      </c>
      <c r="I1852">
        <v>50</v>
      </c>
      <c r="J1852">
        <v>49.907337189000003</v>
      </c>
      <c r="K1852">
        <v>2400</v>
      </c>
      <c r="L1852">
        <v>0</v>
      </c>
      <c r="M1852">
        <v>0</v>
      </c>
      <c r="N1852">
        <v>2400</v>
      </c>
    </row>
    <row r="1853" spans="1:14" x14ac:dyDescent="0.25">
      <c r="A1853">
        <v>1096.871989</v>
      </c>
      <c r="B1853" s="1">
        <f>DATE(2013,5,1) + TIME(20,55,39)</f>
        <v>41395.871979166666</v>
      </c>
      <c r="C1853">
        <v>1339.3367920000001</v>
      </c>
      <c r="D1853">
        <v>1336.7681885</v>
      </c>
      <c r="E1853">
        <v>1327.0428466999999</v>
      </c>
      <c r="F1853">
        <v>1325.2821045000001</v>
      </c>
      <c r="G1853">
        <v>80</v>
      </c>
      <c r="H1853">
        <v>77.766403198000006</v>
      </c>
      <c r="I1853">
        <v>50</v>
      </c>
      <c r="J1853">
        <v>49.904048920000001</v>
      </c>
      <c r="K1853">
        <v>2400</v>
      </c>
      <c r="L1853">
        <v>0</v>
      </c>
      <c r="M1853">
        <v>0</v>
      </c>
      <c r="N1853">
        <v>2400</v>
      </c>
    </row>
    <row r="1854" spans="1:14" x14ac:dyDescent="0.25">
      <c r="A1854">
        <v>1096.9173760000001</v>
      </c>
      <c r="B1854" s="1">
        <f>DATE(2013,5,1) + TIME(22,1,1)</f>
        <v>41395.917372685188</v>
      </c>
      <c r="C1854">
        <v>1339.3714600000001</v>
      </c>
      <c r="D1854">
        <v>1336.7933350000001</v>
      </c>
      <c r="E1854">
        <v>1327.0426024999999</v>
      </c>
      <c r="F1854">
        <v>1325.2817382999999</v>
      </c>
      <c r="G1854">
        <v>80</v>
      </c>
      <c r="H1854">
        <v>77.984970093000001</v>
      </c>
      <c r="I1854">
        <v>50</v>
      </c>
      <c r="J1854">
        <v>49.900657654</v>
      </c>
      <c r="K1854">
        <v>2400</v>
      </c>
      <c r="L1854">
        <v>0</v>
      </c>
      <c r="M1854">
        <v>0</v>
      </c>
      <c r="N1854">
        <v>2400</v>
      </c>
    </row>
    <row r="1855" spans="1:14" x14ac:dyDescent="0.25">
      <c r="A1855">
        <v>1096.964678</v>
      </c>
      <c r="B1855" s="1">
        <f>DATE(2013,5,1) + TIME(23,9,8)</f>
        <v>41395.964675925927</v>
      </c>
      <c r="C1855">
        <v>1339.4061279</v>
      </c>
      <c r="D1855">
        <v>1336.8183594</v>
      </c>
      <c r="E1855">
        <v>1327.0424805</v>
      </c>
      <c r="F1855">
        <v>1325.2813721</v>
      </c>
      <c r="G1855">
        <v>80</v>
      </c>
      <c r="H1855">
        <v>78.190437317000004</v>
      </c>
      <c r="I1855">
        <v>50</v>
      </c>
      <c r="J1855">
        <v>49.897159576</v>
      </c>
      <c r="K1855">
        <v>2400</v>
      </c>
      <c r="L1855">
        <v>0</v>
      </c>
      <c r="M1855">
        <v>0</v>
      </c>
      <c r="N1855">
        <v>2400</v>
      </c>
    </row>
    <row r="1856" spans="1:14" x14ac:dyDescent="0.25">
      <c r="A1856">
        <v>1097.014044</v>
      </c>
      <c r="B1856" s="1">
        <f>DATE(2013,5,2) + TIME(0,20,13)</f>
        <v>41396.014039351852</v>
      </c>
      <c r="C1856">
        <v>1339.4406738</v>
      </c>
      <c r="D1856">
        <v>1336.8432617000001</v>
      </c>
      <c r="E1856">
        <v>1327.0422363</v>
      </c>
      <c r="F1856">
        <v>1325.2810059000001</v>
      </c>
      <c r="G1856">
        <v>80</v>
      </c>
      <c r="H1856">
        <v>78.382843018000003</v>
      </c>
      <c r="I1856">
        <v>50</v>
      </c>
      <c r="J1856">
        <v>49.893547058000003</v>
      </c>
      <c r="K1856">
        <v>2400</v>
      </c>
      <c r="L1856">
        <v>0</v>
      </c>
      <c r="M1856">
        <v>0</v>
      </c>
      <c r="N1856">
        <v>2400</v>
      </c>
    </row>
    <row r="1857" spans="1:14" x14ac:dyDescent="0.25">
      <c r="A1857">
        <v>1097.0656429999999</v>
      </c>
      <c r="B1857" s="1">
        <f>DATE(2013,5,2) + TIME(1,34,31)</f>
        <v>41396.065636574072</v>
      </c>
      <c r="C1857">
        <v>1339.4750977000001</v>
      </c>
      <c r="D1857">
        <v>1336.8679199000001</v>
      </c>
      <c r="E1857">
        <v>1327.0419922000001</v>
      </c>
      <c r="F1857">
        <v>1325.2806396000001</v>
      </c>
      <c r="G1857">
        <v>80</v>
      </c>
      <c r="H1857">
        <v>78.562263489000003</v>
      </c>
      <c r="I1857">
        <v>50</v>
      </c>
      <c r="J1857">
        <v>49.889804839999996</v>
      </c>
      <c r="K1857">
        <v>2400</v>
      </c>
      <c r="L1857">
        <v>0</v>
      </c>
      <c r="M1857">
        <v>0</v>
      </c>
      <c r="N1857">
        <v>2400</v>
      </c>
    </row>
    <row r="1858" spans="1:14" x14ac:dyDescent="0.25">
      <c r="A1858">
        <v>1097.1196649999999</v>
      </c>
      <c r="B1858" s="1">
        <f>DATE(2013,5,2) + TIME(2,52,19)</f>
        <v>41396.119664351849</v>
      </c>
      <c r="C1858">
        <v>1339.5091553</v>
      </c>
      <c r="D1858">
        <v>1336.8923339999999</v>
      </c>
      <c r="E1858">
        <v>1327.0417480000001</v>
      </c>
      <c r="F1858">
        <v>1325.2802733999999</v>
      </c>
      <c r="G1858">
        <v>80</v>
      </c>
      <c r="H1858">
        <v>78.728843689000001</v>
      </c>
      <c r="I1858">
        <v>50</v>
      </c>
      <c r="J1858">
        <v>49.885929107999999</v>
      </c>
      <c r="K1858">
        <v>2400</v>
      </c>
      <c r="L1858">
        <v>0</v>
      </c>
      <c r="M1858">
        <v>0</v>
      </c>
      <c r="N1858">
        <v>2400</v>
      </c>
    </row>
    <row r="1859" spans="1:14" x14ac:dyDescent="0.25">
      <c r="A1859">
        <v>1097.1763209999999</v>
      </c>
      <c r="B1859" s="1">
        <f>DATE(2013,5,2) + TIME(4,13,54)</f>
        <v>41396.176319444443</v>
      </c>
      <c r="C1859">
        <v>1339.5429687999999</v>
      </c>
      <c r="D1859">
        <v>1336.9163818</v>
      </c>
      <c r="E1859">
        <v>1327.0415039</v>
      </c>
      <c r="F1859">
        <v>1325.2799072</v>
      </c>
      <c r="G1859">
        <v>80</v>
      </c>
      <c r="H1859">
        <v>78.882743834999999</v>
      </c>
      <c r="I1859">
        <v>50</v>
      </c>
      <c r="J1859">
        <v>49.881904601999999</v>
      </c>
      <c r="K1859">
        <v>2400</v>
      </c>
      <c r="L1859">
        <v>0</v>
      </c>
      <c r="M1859">
        <v>0</v>
      </c>
      <c r="N1859">
        <v>2400</v>
      </c>
    </row>
    <row r="1860" spans="1:14" x14ac:dyDescent="0.25">
      <c r="A1860">
        <v>1097.235872</v>
      </c>
      <c r="B1860" s="1">
        <f>DATE(2013,5,2) + TIME(5,39,39)</f>
        <v>41396.235868055555</v>
      </c>
      <c r="C1860">
        <v>1339.5764160000001</v>
      </c>
      <c r="D1860">
        <v>1336.9401855000001</v>
      </c>
      <c r="E1860">
        <v>1327.0411377</v>
      </c>
      <c r="F1860">
        <v>1325.2795410000001</v>
      </c>
      <c r="G1860">
        <v>80</v>
      </c>
      <c r="H1860">
        <v>79.024238585999996</v>
      </c>
      <c r="I1860">
        <v>50</v>
      </c>
      <c r="J1860">
        <v>49.877719878999997</v>
      </c>
      <c r="K1860">
        <v>2400</v>
      </c>
      <c r="L1860">
        <v>0</v>
      </c>
      <c r="M1860">
        <v>0</v>
      </c>
      <c r="N1860">
        <v>2400</v>
      </c>
    </row>
    <row r="1861" spans="1:14" x14ac:dyDescent="0.25">
      <c r="A1861">
        <v>1097.2986069999999</v>
      </c>
      <c r="B1861" s="1">
        <f>DATE(2013,5,2) + TIME(7,9,59)</f>
        <v>41396.29859953704</v>
      </c>
      <c r="C1861">
        <v>1339.6092529</v>
      </c>
      <c r="D1861">
        <v>1336.963501</v>
      </c>
      <c r="E1861">
        <v>1327.0408935999999</v>
      </c>
      <c r="F1861">
        <v>1325.2790527</v>
      </c>
      <c r="G1861">
        <v>80</v>
      </c>
      <c r="H1861">
        <v>79.153610228999995</v>
      </c>
      <c r="I1861">
        <v>50</v>
      </c>
      <c r="J1861">
        <v>49.87335968</v>
      </c>
      <c r="K1861">
        <v>2400</v>
      </c>
      <c r="L1861">
        <v>0</v>
      </c>
      <c r="M1861">
        <v>0</v>
      </c>
      <c r="N1861">
        <v>2400</v>
      </c>
    </row>
    <row r="1862" spans="1:14" x14ac:dyDescent="0.25">
      <c r="A1862">
        <v>1097.3648229999999</v>
      </c>
      <c r="B1862" s="1">
        <f>DATE(2013,5,2) + TIME(8,45,20)</f>
        <v>41396.364814814813</v>
      </c>
      <c r="C1862">
        <v>1339.6416016000001</v>
      </c>
      <c r="D1862">
        <v>1336.9863281</v>
      </c>
      <c r="E1862">
        <v>1327.0405272999999</v>
      </c>
      <c r="F1862">
        <v>1325.2785644999999</v>
      </c>
      <c r="G1862">
        <v>80</v>
      </c>
      <c r="H1862">
        <v>79.271141052000004</v>
      </c>
      <c r="I1862">
        <v>50</v>
      </c>
      <c r="J1862">
        <v>49.868808745999999</v>
      </c>
      <c r="K1862">
        <v>2400</v>
      </c>
      <c r="L1862">
        <v>0</v>
      </c>
      <c r="M1862">
        <v>0</v>
      </c>
      <c r="N1862">
        <v>2400</v>
      </c>
    </row>
    <row r="1863" spans="1:14" x14ac:dyDescent="0.25">
      <c r="A1863">
        <v>1097.4348869999999</v>
      </c>
      <c r="B1863" s="1">
        <f>DATE(2013,5,2) + TIME(10,26,14)</f>
        <v>41396.434884259259</v>
      </c>
      <c r="C1863">
        <v>1339.6732178</v>
      </c>
      <c r="D1863">
        <v>1337.0087891000001</v>
      </c>
      <c r="E1863">
        <v>1327.0402832</v>
      </c>
      <c r="F1863">
        <v>1325.2781981999999</v>
      </c>
      <c r="G1863">
        <v>80</v>
      </c>
      <c r="H1863">
        <v>79.377204895000006</v>
      </c>
      <c r="I1863">
        <v>50</v>
      </c>
      <c r="J1863">
        <v>49.864048003999997</v>
      </c>
      <c r="K1863">
        <v>2400</v>
      </c>
      <c r="L1863">
        <v>0</v>
      </c>
      <c r="M1863">
        <v>0</v>
      </c>
      <c r="N1863">
        <v>2400</v>
      </c>
    </row>
    <row r="1864" spans="1:14" x14ac:dyDescent="0.25">
      <c r="A1864">
        <v>1097.509233</v>
      </c>
      <c r="B1864" s="1">
        <f>DATE(2013,5,2) + TIME(12,13,17)</f>
        <v>41396.50922453704</v>
      </c>
      <c r="C1864">
        <v>1339.7041016000001</v>
      </c>
      <c r="D1864">
        <v>1337.0306396000001</v>
      </c>
      <c r="E1864">
        <v>1327.0399170000001</v>
      </c>
      <c r="F1864">
        <v>1325.2777100000001</v>
      </c>
      <c r="G1864">
        <v>80</v>
      </c>
      <c r="H1864">
        <v>79.472229003999999</v>
      </c>
      <c r="I1864">
        <v>50</v>
      </c>
      <c r="J1864">
        <v>49.859050750999998</v>
      </c>
      <c r="K1864">
        <v>2400</v>
      </c>
      <c r="L1864">
        <v>0</v>
      </c>
      <c r="M1864">
        <v>0</v>
      </c>
      <c r="N1864">
        <v>2400</v>
      </c>
    </row>
    <row r="1865" spans="1:14" x14ac:dyDescent="0.25">
      <c r="A1865">
        <v>1097.588366</v>
      </c>
      <c r="B1865" s="1">
        <f>DATE(2013,5,2) + TIME(14,7,14)</f>
        <v>41396.588356481479</v>
      </c>
      <c r="C1865">
        <v>1339.7341309000001</v>
      </c>
      <c r="D1865">
        <v>1337.0518798999999</v>
      </c>
      <c r="E1865">
        <v>1327.0395507999999</v>
      </c>
      <c r="F1865">
        <v>1325.2770995999999</v>
      </c>
      <c r="G1865">
        <v>80</v>
      </c>
      <c r="H1865">
        <v>79.556694031000006</v>
      </c>
      <c r="I1865">
        <v>50</v>
      </c>
      <c r="J1865">
        <v>49.853797913000001</v>
      </c>
      <c r="K1865">
        <v>2400</v>
      </c>
      <c r="L1865">
        <v>0</v>
      </c>
      <c r="M1865">
        <v>0</v>
      </c>
      <c r="N1865">
        <v>2400</v>
      </c>
    </row>
    <row r="1866" spans="1:14" x14ac:dyDescent="0.25">
      <c r="A1866">
        <v>1097.669928</v>
      </c>
      <c r="B1866" s="1">
        <f>DATE(2013,5,2) + TIME(16,4,41)</f>
        <v>41396.669918981483</v>
      </c>
      <c r="C1866">
        <v>1339.7636719</v>
      </c>
      <c r="D1866">
        <v>1337.0727539</v>
      </c>
      <c r="E1866">
        <v>1327.0391846</v>
      </c>
      <c r="F1866">
        <v>1325.2766113</v>
      </c>
      <c r="G1866">
        <v>80</v>
      </c>
      <c r="H1866">
        <v>79.628974915000001</v>
      </c>
      <c r="I1866">
        <v>50</v>
      </c>
      <c r="J1866">
        <v>49.848434447999999</v>
      </c>
      <c r="K1866">
        <v>2400</v>
      </c>
      <c r="L1866">
        <v>0</v>
      </c>
      <c r="M1866">
        <v>0</v>
      </c>
      <c r="N1866">
        <v>2400</v>
      </c>
    </row>
    <row r="1867" spans="1:14" x14ac:dyDescent="0.25">
      <c r="A1867">
        <v>1097.752933</v>
      </c>
      <c r="B1867" s="1">
        <f>DATE(2013,5,2) + TIME(18,4,13)</f>
        <v>41396.752928240741</v>
      </c>
      <c r="C1867">
        <v>1339.7912598</v>
      </c>
      <c r="D1867">
        <v>1337.0922852000001</v>
      </c>
      <c r="E1867">
        <v>1327.0386963000001</v>
      </c>
      <c r="F1867">
        <v>1325.276001</v>
      </c>
      <c r="G1867">
        <v>80</v>
      </c>
      <c r="H1867">
        <v>79.689804077000005</v>
      </c>
      <c r="I1867">
        <v>50</v>
      </c>
      <c r="J1867">
        <v>49.843017578000001</v>
      </c>
      <c r="K1867">
        <v>2400</v>
      </c>
      <c r="L1867">
        <v>0</v>
      </c>
      <c r="M1867">
        <v>0</v>
      </c>
      <c r="N1867">
        <v>2400</v>
      </c>
    </row>
    <row r="1868" spans="1:14" x14ac:dyDescent="0.25">
      <c r="A1868">
        <v>1097.836665</v>
      </c>
      <c r="B1868" s="1">
        <f>DATE(2013,5,2) + TIME(20,4,47)</f>
        <v>41396.836655092593</v>
      </c>
      <c r="C1868">
        <v>1339.8167725000001</v>
      </c>
      <c r="D1868">
        <v>1337.1103516000001</v>
      </c>
      <c r="E1868">
        <v>1327.0383300999999</v>
      </c>
      <c r="F1868">
        <v>1325.2755127</v>
      </c>
      <c r="G1868">
        <v>80</v>
      </c>
      <c r="H1868">
        <v>79.740432738999999</v>
      </c>
      <c r="I1868">
        <v>50</v>
      </c>
      <c r="J1868">
        <v>49.837593079000001</v>
      </c>
      <c r="K1868">
        <v>2400</v>
      </c>
      <c r="L1868">
        <v>0</v>
      </c>
      <c r="M1868">
        <v>0</v>
      </c>
      <c r="N1868">
        <v>2400</v>
      </c>
    </row>
    <row r="1869" spans="1:14" x14ac:dyDescent="0.25">
      <c r="A1869">
        <v>1097.920934</v>
      </c>
      <c r="B1869" s="1">
        <f>DATE(2013,5,2) + TIME(22,6,8)</f>
        <v>41396.920925925922</v>
      </c>
      <c r="C1869">
        <v>1339.8399658000001</v>
      </c>
      <c r="D1869">
        <v>1337.1268310999999</v>
      </c>
      <c r="E1869">
        <v>1327.0379639</v>
      </c>
      <c r="F1869">
        <v>1325.2749022999999</v>
      </c>
      <c r="G1869">
        <v>80</v>
      </c>
      <c r="H1869">
        <v>79.782402039000004</v>
      </c>
      <c r="I1869">
        <v>50</v>
      </c>
      <c r="J1869">
        <v>49.832172393999997</v>
      </c>
      <c r="K1869">
        <v>2400</v>
      </c>
      <c r="L1869">
        <v>0</v>
      </c>
      <c r="M1869">
        <v>0</v>
      </c>
      <c r="N1869">
        <v>2400</v>
      </c>
    </row>
    <row r="1870" spans="1:14" x14ac:dyDescent="0.25">
      <c r="A1870">
        <v>1098.005948</v>
      </c>
      <c r="B1870" s="1">
        <f>DATE(2013,5,3) + TIME(0,8,33)</f>
        <v>41397.005937499998</v>
      </c>
      <c r="C1870">
        <v>1339.8609618999999</v>
      </c>
      <c r="D1870">
        <v>1337.1418457</v>
      </c>
      <c r="E1870">
        <v>1327.0374756000001</v>
      </c>
      <c r="F1870">
        <v>1325.2742920000001</v>
      </c>
      <c r="G1870">
        <v>80</v>
      </c>
      <c r="H1870">
        <v>79.817199707</v>
      </c>
      <c r="I1870">
        <v>50</v>
      </c>
      <c r="J1870">
        <v>49.826736449999999</v>
      </c>
      <c r="K1870">
        <v>2400</v>
      </c>
      <c r="L1870">
        <v>0</v>
      </c>
      <c r="M1870">
        <v>0</v>
      </c>
      <c r="N1870">
        <v>2400</v>
      </c>
    </row>
    <row r="1871" spans="1:14" x14ac:dyDescent="0.25">
      <c r="A1871">
        <v>1098.091915</v>
      </c>
      <c r="B1871" s="1">
        <f>DATE(2013,5,3) + TIME(2,12,21)</f>
        <v>41397.091909722221</v>
      </c>
      <c r="C1871">
        <v>1339.8798827999999</v>
      </c>
      <c r="D1871">
        <v>1337.1555175999999</v>
      </c>
      <c r="E1871">
        <v>1327.0371094</v>
      </c>
      <c r="F1871">
        <v>1325.2738036999999</v>
      </c>
      <c r="G1871">
        <v>80</v>
      </c>
      <c r="H1871">
        <v>79.846046447999996</v>
      </c>
      <c r="I1871">
        <v>50</v>
      </c>
      <c r="J1871">
        <v>49.821277618000003</v>
      </c>
      <c r="K1871">
        <v>2400</v>
      </c>
      <c r="L1871">
        <v>0</v>
      </c>
      <c r="M1871">
        <v>0</v>
      </c>
      <c r="N1871">
        <v>2400</v>
      </c>
    </row>
    <row r="1872" spans="1:14" x14ac:dyDescent="0.25">
      <c r="A1872">
        <v>1098.179038</v>
      </c>
      <c r="B1872" s="1">
        <f>DATE(2013,5,3) + TIME(4,17,48)</f>
        <v>41397.179027777776</v>
      </c>
      <c r="C1872">
        <v>1339.8968506000001</v>
      </c>
      <c r="D1872">
        <v>1337.1679687999999</v>
      </c>
      <c r="E1872">
        <v>1327.0366211</v>
      </c>
      <c r="F1872">
        <v>1325.2731934000001</v>
      </c>
      <c r="G1872">
        <v>80</v>
      </c>
      <c r="H1872">
        <v>79.869949340999995</v>
      </c>
      <c r="I1872">
        <v>50</v>
      </c>
      <c r="J1872">
        <v>49.81578064</v>
      </c>
      <c r="K1872">
        <v>2400</v>
      </c>
      <c r="L1872">
        <v>0</v>
      </c>
      <c r="M1872">
        <v>0</v>
      </c>
      <c r="N1872">
        <v>2400</v>
      </c>
    </row>
    <row r="1873" spans="1:14" x14ac:dyDescent="0.25">
      <c r="A1873">
        <v>1098.2674979999999</v>
      </c>
      <c r="B1873" s="1">
        <f>DATE(2013,5,3) + TIME(6,25,11)</f>
        <v>41397.267488425925</v>
      </c>
      <c r="C1873">
        <v>1339.9121094</v>
      </c>
      <c r="D1873">
        <v>1337.1791992000001</v>
      </c>
      <c r="E1873">
        <v>1327.0361327999999</v>
      </c>
      <c r="F1873">
        <v>1325.2725829999999</v>
      </c>
      <c r="G1873">
        <v>80</v>
      </c>
      <c r="H1873">
        <v>79.889732361</v>
      </c>
      <c r="I1873">
        <v>50</v>
      </c>
      <c r="J1873">
        <v>49.810237884999999</v>
      </c>
      <c r="K1873">
        <v>2400</v>
      </c>
      <c r="L1873">
        <v>0</v>
      </c>
      <c r="M1873">
        <v>0</v>
      </c>
      <c r="N1873">
        <v>2400</v>
      </c>
    </row>
    <row r="1874" spans="1:14" x14ac:dyDescent="0.25">
      <c r="A1874">
        <v>1098.3575040000001</v>
      </c>
      <c r="B1874" s="1">
        <f>DATE(2013,5,3) + TIME(8,34,48)</f>
        <v>41397.357499999998</v>
      </c>
      <c r="C1874">
        <v>1339.9259033000001</v>
      </c>
      <c r="D1874">
        <v>1337.1894531</v>
      </c>
      <c r="E1874">
        <v>1327.0357666</v>
      </c>
      <c r="F1874">
        <v>1325.2719727000001</v>
      </c>
      <c r="G1874">
        <v>80</v>
      </c>
      <c r="H1874">
        <v>79.906082153</v>
      </c>
      <c r="I1874">
        <v>50</v>
      </c>
      <c r="J1874">
        <v>49.804637909</v>
      </c>
      <c r="K1874">
        <v>2400</v>
      </c>
      <c r="L1874">
        <v>0</v>
      </c>
      <c r="M1874">
        <v>0</v>
      </c>
      <c r="N1874">
        <v>2400</v>
      </c>
    </row>
    <row r="1875" spans="1:14" x14ac:dyDescent="0.25">
      <c r="A1875">
        <v>1098.4492749999999</v>
      </c>
      <c r="B1875" s="1">
        <f>DATE(2013,5,3) + TIME(10,46,57)</f>
        <v>41397.449270833335</v>
      </c>
      <c r="C1875">
        <v>1339.9383545000001</v>
      </c>
      <c r="D1875">
        <v>1337.1988524999999</v>
      </c>
      <c r="E1875">
        <v>1327.0352783000001</v>
      </c>
      <c r="F1875">
        <v>1325.2713623</v>
      </c>
      <c r="G1875">
        <v>80</v>
      </c>
      <c r="H1875">
        <v>79.919570922999995</v>
      </c>
      <c r="I1875">
        <v>50</v>
      </c>
      <c r="J1875">
        <v>49.798961638999998</v>
      </c>
      <c r="K1875">
        <v>2400</v>
      </c>
      <c r="L1875">
        <v>0</v>
      </c>
      <c r="M1875">
        <v>0</v>
      </c>
      <c r="N1875">
        <v>2400</v>
      </c>
    </row>
    <row r="1876" spans="1:14" x14ac:dyDescent="0.25">
      <c r="A1876">
        <v>1098.543046</v>
      </c>
      <c r="B1876" s="1">
        <f>DATE(2013,5,3) + TIME(13,1,59)</f>
        <v>41397.543043981481</v>
      </c>
      <c r="C1876">
        <v>1339.9493408000001</v>
      </c>
      <c r="D1876">
        <v>1337.2073975000001</v>
      </c>
      <c r="E1876">
        <v>1327.0347899999999</v>
      </c>
      <c r="F1876">
        <v>1325.2707519999999</v>
      </c>
      <c r="G1876">
        <v>80</v>
      </c>
      <c r="H1876">
        <v>79.930686950999998</v>
      </c>
      <c r="I1876">
        <v>50</v>
      </c>
      <c r="J1876">
        <v>49.793205260999997</v>
      </c>
      <c r="K1876">
        <v>2400</v>
      </c>
      <c r="L1876">
        <v>0</v>
      </c>
      <c r="M1876">
        <v>0</v>
      </c>
      <c r="N1876">
        <v>2400</v>
      </c>
    </row>
    <row r="1877" spans="1:14" x14ac:dyDescent="0.25">
      <c r="A1877">
        <v>1098.6390690000001</v>
      </c>
      <c r="B1877" s="1">
        <f>DATE(2013,5,3) + TIME(15,20,15)</f>
        <v>41397.639062499999</v>
      </c>
      <c r="C1877">
        <v>1339.9591064000001</v>
      </c>
      <c r="D1877">
        <v>1337.2150879000001</v>
      </c>
      <c r="E1877">
        <v>1327.0343018000001</v>
      </c>
      <c r="F1877">
        <v>1325.2701416</v>
      </c>
      <c r="G1877">
        <v>80</v>
      </c>
      <c r="H1877">
        <v>79.939819335999999</v>
      </c>
      <c r="I1877">
        <v>50</v>
      </c>
      <c r="J1877">
        <v>49.787345885999997</v>
      </c>
      <c r="K1877">
        <v>2400</v>
      </c>
      <c r="L1877">
        <v>0</v>
      </c>
      <c r="M1877">
        <v>0</v>
      </c>
      <c r="N1877">
        <v>2400</v>
      </c>
    </row>
    <row r="1878" spans="1:14" x14ac:dyDescent="0.25">
      <c r="A1878">
        <v>1098.7377080000001</v>
      </c>
      <c r="B1878" s="1">
        <f>DATE(2013,5,3) + TIME(17,42,17)</f>
        <v>41397.737696759257</v>
      </c>
      <c r="C1878">
        <v>1339.9666748</v>
      </c>
      <c r="D1878">
        <v>1337.2214355000001</v>
      </c>
      <c r="E1878">
        <v>1327.0338135</v>
      </c>
      <c r="F1878">
        <v>1325.2694091999999</v>
      </c>
      <c r="G1878">
        <v>80</v>
      </c>
      <c r="H1878">
        <v>79.947311400999993</v>
      </c>
      <c r="I1878">
        <v>50</v>
      </c>
      <c r="J1878">
        <v>49.781372070000003</v>
      </c>
      <c r="K1878">
        <v>2400</v>
      </c>
      <c r="L1878">
        <v>0</v>
      </c>
      <c r="M1878">
        <v>0</v>
      </c>
      <c r="N1878">
        <v>2400</v>
      </c>
    </row>
    <row r="1879" spans="1:14" x14ac:dyDescent="0.25">
      <c r="A1879">
        <v>1098.8393679999999</v>
      </c>
      <c r="B1879" s="1">
        <f>DATE(2013,5,3) + TIME(20,8,41)</f>
        <v>41397.839363425926</v>
      </c>
      <c r="C1879">
        <v>1339.9722899999999</v>
      </c>
      <c r="D1879">
        <v>1337.2264404</v>
      </c>
      <c r="E1879">
        <v>1327.0333252</v>
      </c>
      <c r="F1879">
        <v>1325.2687988</v>
      </c>
      <c r="G1879">
        <v>80</v>
      </c>
      <c r="H1879">
        <v>79.953445435000006</v>
      </c>
      <c r="I1879">
        <v>50</v>
      </c>
      <c r="J1879">
        <v>49.775257111000002</v>
      </c>
      <c r="K1879">
        <v>2400</v>
      </c>
      <c r="L1879">
        <v>0</v>
      </c>
      <c r="M1879">
        <v>0</v>
      </c>
      <c r="N1879">
        <v>2400</v>
      </c>
    </row>
    <row r="1880" spans="1:14" x14ac:dyDescent="0.25">
      <c r="A1880">
        <v>1098.9444430000001</v>
      </c>
      <c r="B1880" s="1">
        <f>DATE(2013,5,3) + TIME(22,39,59)</f>
        <v>41397.944432870368</v>
      </c>
      <c r="C1880">
        <v>1339.9769286999999</v>
      </c>
      <c r="D1880">
        <v>1337.2308350000001</v>
      </c>
      <c r="E1880">
        <v>1327.0327147999999</v>
      </c>
      <c r="F1880">
        <v>1325.2680664</v>
      </c>
      <c r="G1880">
        <v>80</v>
      </c>
      <c r="H1880">
        <v>79.958442688000005</v>
      </c>
      <c r="I1880">
        <v>50</v>
      </c>
      <c r="J1880">
        <v>49.768981934000003</v>
      </c>
      <c r="K1880">
        <v>2400</v>
      </c>
      <c r="L1880">
        <v>0</v>
      </c>
      <c r="M1880">
        <v>0</v>
      </c>
      <c r="N1880">
        <v>2400</v>
      </c>
    </row>
    <row r="1881" spans="1:14" x14ac:dyDescent="0.25">
      <c r="A1881">
        <v>1099.0533600000001</v>
      </c>
      <c r="B1881" s="1">
        <f>DATE(2013,5,4) + TIME(1,16,50)</f>
        <v>41398.053356481483</v>
      </c>
      <c r="C1881">
        <v>1339.9807129000001</v>
      </c>
      <c r="D1881">
        <v>1337.2347411999999</v>
      </c>
      <c r="E1881">
        <v>1327.0322266000001</v>
      </c>
      <c r="F1881">
        <v>1325.2674560999999</v>
      </c>
      <c r="G1881">
        <v>80</v>
      </c>
      <c r="H1881">
        <v>79.962509155000006</v>
      </c>
      <c r="I1881">
        <v>50</v>
      </c>
      <c r="J1881">
        <v>49.762527466000002</v>
      </c>
      <c r="K1881">
        <v>2400</v>
      </c>
      <c r="L1881">
        <v>0</v>
      </c>
      <c r="M1881">
        <v>0</v>
      </c>
      <c r="N1881">
        <v>2400</v>
      </c>
    </row>
    <row r="1882" spans="1:14" x14ac:dyDescent="0.25">
      <c r="A1882">
        <v>1099.1660589999999</v>
      </c>
      <c r="B1882" s="1">
        <f>DATE(2013,5,4) + TIME(3,59,7)</f>
        <v>41398.16605324074</v>
      </c>
      <c r="C1882">
        <v>1339.9838867000001</v>
      </c>
      <c r="D1882">
        <v>1337.2382812000001</v>
      </c>
      <c r="E1882">
        <v>1327.0316161999999</v>
      </c>
      <c r="F1882">
        <v>1325.2667236</v>
      </c>
      <c r="G1882">
        <v>80</v>
      </c>
      <c r="H1882">
        <v>79.965782165999997</v>
      </c>
      <c r="I1882">
        <v>50</v>
      </c>
      <c r="J1882">
        <v>49.755897521999998</v>
      </c>
      <c r="K1882">
        <v>2400</v>
      </c>
      <c r="L1882">
        <v>0</v>
      </c>
      <c r="M1882">
        <v>0</v>
      </c>
      <c r="N1882">
        <v>2400</v>
      </c>
    </row>
    <row r="1883" spans="1:14" x14ac:dyDescent="0.25">
      <c r="A1883">
        <v>1099.2809629999999</v>
      </c>
      <c r="B1883" s="1">
        <f>DATE(2013,5,4) + TIME(6,44,35)</f>
        <v>41398.280960648146</v>
      </c>
      <c r="C1883">
        <v>1339.9862060999999</v>
      </c>
      <c r="D1883">
        <v>1337.2413329999999</v>
      </c>
      <c r="E1883">
        <v>1327.0310059000001</v>
      </c>
      <c r="F1883">
        <v>1325.2659911999999</v>
      </c>
      <c r="G1883">
        <v>80</v>
      </c>
      <c r="H1883">
        <v>79.968376160000005</v>
      </c>
      <c r="I1883">
        <v>50</v>
      </c>
      <c r="J1883">
        <v>49.749172211000001</v>
      </c>
      <c r="K1883">
        <v>2400</v>
      </c>
      <c r="L1883">
        <v>0</v>
      </c>
      <c r="M1883">
        <v>0</v>
      </c>
      <c r="N1883">
        <v>2400</v>
      </c>
    </row>
    <row r="1884" spans="1:14" x14ac:dyDescent="0.25">
      <c r="A1884">
        <v>1099.3982100000001</v>
      </c>
      <c r="B1884" s="1">
        <f>DATE(2013,5,4) + TIME(9,33,25)</f>
        <v>41398.398206018515</v>
      </c>
      <c r="C1884">
        <v>1339.987793</v>
      </c>
      <c r="D1884">
        <v>1337.2438964999999</v>
      </c>
      <c r="E1884">
        <v>1327.0303954999999</v>
      </c>
      <c r="F1884">
        <v>1325.2651367000001</v>
      </c>
      <c r="G1884">
        <v>80</v>
      </c>
      <c r="H1884">
        <v>79.970428467000005</v>
      </c>
      <c r="I1884">
        <v>50</v>
      </c>
      <c r="J1884">
        <v>49.742347717000001</v>
      </c>
      <c r="K1884">
        <v>2400</v>
      </c>
      <c r="L1884">
        <v>0</v>
      </c>
      <c r="M1884">
        <v>0</v>
      </c>
      <c r="N1884">
        <v>2400</v>
      </c>
    </row>
    <row r="1885" spans="1:14" x14ac:dyDescent="0.25">
      <c r="A1885">
        <v>1099.518018</v>
      </c>
      <c r="B1885" s="1">
        <f>DATE(2013,5,4) + TIME(12,25,56)</f>
        <v>41398.518009259256</v>
      </c>
      <c r="C1885">
        <v>1339.9885254000001</v>
      </c>
      <c r="D1885">
        <v>1337.2459716999999</v>
      </c>
      <c r="E1885">
        <v>1327.0297852000001</v>
      </c>
      <c r="F1885">
        <v>1325.2644043</v>
      </c>
      <c r="G1885">
        <v>80</v>
      </c>
      <c r="H1885">
        <v>79.972045898000005</v>
      </c>
      <c r="I1885">
        <v>50</v>
      </c>
      <c r="J1885">
        <v>49.735412598000003</v>
      </c>
      <c r="K1885">
        <v>2400</v>
      </c>
      <c r="L1885">
        <v>0</v>
      </c>
      <c r="M1885">
        <v>0</v>
      </c>
      <c r="N1885">
        <v>2400</v>
      </c>
    </row>
    <row r="1886" spans="1:14" x14ac:dyDescent="0.25">
      <c r="A1886">
        <v>1099.640631</v>
      </c>
      <c r="B1886" s="1">
        <f>DATE(2013,5,4) + TIME(15,22,30)</f>
        <v>41398.640625</v>
      </c>
      <c r="C1886">
        <v>1339.9887695</v>
      </c>
      <c r="D1886">
        <v>1337.2478027</v>
      </c>
      <c r="E1886">
        <v>1327.0290527</v>
      </c>
      <c r="F1886">
        <v>1325.2635498</v>
      </c>
      <c r="G1886">
        <v>80</v>
      </c>
      <c r="H1886">
        <v>79.973327636999997</v>
      </c>
      <c r="I1886">
        <v>50</v>
      </c>
      <c r="J1886">
        <v>49.728355407999999</v>
      </c>
      <c r="K1886">
        <v>2400</v>
      </c>
      <c r="L1886">
        <v>0</v>
      </c>
      <c r="M1886">
        <v>0</v>
      </c>
      <c r="N1886">
        <v>2400</v>
      </c>
    </row>
    <row r="1887" spans="1:14" x14ac:dyDescent="0.25">
      <c r="A1887">
        <v>1099.7663210000001</v>
      </c>
      <c r="B1887" s="1">
        <f>DATE(2013,5,4) + TIME(18,23,30)</f>
        <v>41398.766319444447</v>
      </c>
      <c r="C1887">
        <v>1339.9884033000001</v>
      </c>
      <c r="D1887">
        <v>1337.2491454999999</v>
      </c>
      <c r="E1887">
        <v>1327.0284423999999</v>
      </c>
      <c r="F1887">
        <v>1325.2626952999999</v>
      </c>
      <c r="G1887">
        <v>80</v>
      </c>
      <c r="H1887">
        <v>79.974327087000006</v>
      </c>
      <c r="I1887">
        <v>50</v>
      </c>
      <c r="J1887">
        <v>49.721160888999997</v>
      </c>
      <c r="K1887">
        <v>2400</v>
      </c>
      <c r="L1887">
        <v>0</v>
      </c>
      <c r="M1887">
        <v>0</v>
      </c>
      <c r="N1887">
        <v>2400</v>
      </c>
    </row>
    <row r="1888" spans="1:14" x14ac:dyDescent="0.25">
      <c r="A1888">
        <v>1099.895385</v>
      </c>
      <c r="B1888" s="1">
        <f>DATE(2013,5,4) + TIME(21,29,21)</f>
        <v>41398.895381944443</v>
      </c>
      <c r="C1888">
        <v>1339.9874268000001</v>
      </c>
      <c r="D1888">
        <v>1337.2502440999999</v>
      </c>
      <c r="E1888">
        <v>1327.0277100000001</v>
      </c>
      <c r="F1888">
        <v>1325.2618408000001</v>
      </c>
      <c r="G1888">
        <v>80</v>
      </c>
      <c r="H1888">
        <v>79.975120544000006</v>
      </c>
      <c r="I1888">
        <v>50</v>
      </c>
      <c r="J1888">
        <v>49.713821410999998</v>
      </c>
      <c r="K1888">
        <v>2400</v>
      </c>
      <c r="L1888">
        <v>0</v>
      </c>
      <c r="M1888">
        <v>0</v>
      </c>
      <c r="N1888">
        <v>2400</v>
      </c>
    </row>
    <row r="1889" spans="1:14" x14ac:dyDescent="0.25">
      <c r="A1889">
        <v>1100.0281540000001</v>
      </c>
      <c r="B1889" s="1">
        <f>DATE(2013,5,5) + TIME(0,40,32)</f>
        <v>41399.028148148151</v>
      </c>
      <c r="C1889">
        <v>1339.9859618999999</v>
      </c>
      <c r="D1889">
        <v>1337.2509766000001</v>
      </c>
      <c r="E1889">
        <v>1327.0269774999999</v>
      </c>
      <c r="F1889">
        <v>1325.2608643000001</v>
      </c>
      <c r="G1889">
        <v>80</v>
      </c>
      <c r="H1889">
        <v>79.975738524999997</v>
      </c>
      <c r="I1889">
        <v>50</v>
      </c>
      <c r="J1889">
        <v>49.706314087000003</v>
      </c>
      <c r="K1889">
        <v>2400</v>
      </c>
      <c r="L1889">
        <v>0</v>
      </c>
      <c r="M1889">
        <v>0</v>
      </c>
      <c r="N1889">
        <v>2400</v>
      </c>
    </row>
    <row r="1890" spans="1:14" x14ac:dyDescent="0.25">
      <c r="A1890">
        <v>1100.164992</v>
      </c>
      <c r="B1890" s="1">
        <f>DATE(2013,5,5) + TIME(3,57,35)</f>
        <v>41399.164988425924</v>
      </c>
      <c r="C1890">
        <v>1339.9840088000001</v>
      </c>
      <c r="D1890">
        <v>1337.2514647999999</v>
      </c>
      <c r="E1890">
        <v>1327.0262451000001</v>
      </c>
      <c r="F1890">
        <v>1325.2600098</v>
      </c>
      <c r="G1890">
        <v>80</v>
      </c>
      <c r="H1890">
        <v>79.976219177000004</v>
      </c>
      <c r="I1890">
        <v>50</v>
      </c>
      <c r="J1890">
        <v>49.698623656999999</v>
      </c>
      <c r="K1890">
        <v>2400</v>
      </c>
      <c r="L1890">
        <v>0</v>
      </c>
      <c r="M1890">
        <v>0</v>
      </c>
      <c r="N1890">
        <v>2400</v>
      </c>
    </row>
    <row r="1891" spans="1:14" x14ac:dyDescent="0.25">
      <c r="A1891">
        <v>1100.3063050000001</v>
      </c>
      <c r="B1891" s="1">
        <f>DATE(2013,5,5) + TIME(7,21,4)</f>
        <v>41399.306296296294</v>
      </c>
      <c r="C1891">
        <v>1339.9815673999999</v>
      </c>
      <c r="D1891">
        <v>1337.2517089999999</v>
      </c>
      <c r="E1891">
        <v>1327.0255127</v>
      </c>
      <c r="F1891">
        <v>1325.2590332</v>
      </c>
      <c r="G1891">
        <v>80</v>
      </c>
      <c r="H1891">
        <v>79.976600646999998</v>
      </c>
      <c r="I1891">
        <v>50</v>
      </c>
      <c r="J1891">
        <v>49.690731049</v>
      </c>
      <c r="K1891">
        <v>2400</v>
      </c>
      <c r="L1891">
        <v>0</v>
      </c>
      <c r="M1891">
        <v>0</v>
      </c>
      <c r="N1891">
        <v>2400</v>
      </c>
    </row>
    <row r="1892" spans="1:14" x14ac:dyDescent="0.25">
      <c r="A1892">
        <v>1100.4528319999999</v>
      </c>
      <c r="B1892" s="1">
        <f>DATE(2013,5,5) + TIME(10,52,4)</f>
        <v>41399.452824074076</v>
      </c>
      <c r="C1892">
        <v>1339.9774170000001</v>
      </c>
      <c r="D1892">
        <v>1337.2508545000001</v>
      </c>
      <c r="E1892">
        <v>1327.0246582</v>
      </c>
      <c r="F1892">
        <v>1325.2580565999999</v>
      </c>
      <c r="G1892">
        <v>80</v>
      </c>
      <c r="H1892">
        <v>79.976890564000001</v>
      </c>
      <c r="I1892">
        <v>50</v>
      </c>
      <c r="J1892">
        <v>49.682609558000003</v>
      </c>
      <c r="K1892">
        <v>2400</v>
      </c>
      <c r="L1892">
        <v>0</v>
      </c>
      <c r="M1892">
        <v>0</v>
      </c>
      <c r="N1892">
        <v>2400</v>
      </c>
    </row>
    <row r="1893" spans="1:14" x14ac:dyDescent="0.25">
      <c r="A1893">
        <v>1100.604439</v>
      </c>
      <c r="B1893" s="1">
        <f>DATE(2013,5,5) + TIME(14,30,23)</f>
        <v>41399.604432870372</v>
      </c>
      <c r="C1893">
        <v>1339.9726562000001</v>
      </c>
      <c r="D1893">
        <v>1337.2496338000001</v>
      </c>
      <c r="E1893">
        <v>1327.0239257999999</v>
      </c>
      <c r="F1893">
        <v>1325.2569579999999</v>
      </c>
      <c r="G1893">
        <v>80</v>
      </c>
      <c r="H1893">
        <v>79.977119446000003</v>
      </c>
      <c r="I1893">
        <v>50</v>
      </c>
      <c r="J1893">
        <v>49.674255371000001</v>
      </c>
      <c r="K1893">
        <v>2400</v>
      </c>
      <c r="L1893">
        <v>0</v>
      </c>
      <c r="M1893">
        <v>0</v>
      </c>
      <c r="N1893">
        <v>2400</v>
      </c>
    </row>
    <row r="1894" spans="1:14" x14ac:dyDescent="0.25">
      <c r="A1894">
        <v>1100.7602039999999</v>
      </c>
      <c r="B1894" s="1">
        <f>DATE(2013,5,5) + TIME(18,14,41)</f>
        <v>41399.760196759256</v>
      </c>
      <c r="C1894">
        <v>1339.9675293</v>
      </c>
      <c r="D1894">
        <v>1337.2481689000001</v>
      </c>
      <c r="E1894">
        <v>1327.0229492000001</v>
      </c>
      <c r="F1894">
        <v>1325.2558594</v>
      </c>
      <c r="G1894">
        <v>80</v>
      </c>
      <c r="H1894">
        <v>79.977287292</v>
      </c>
      <c r="I1894">
        <v>50</v>
      </c>
      <c r="J1894">
        <v>49.665721892999997</v>
      </c>
      <c r="K1894">
        <v>2400</v>
      </c>
      <c r="L1894">
        <v>0</v>
      </c>
      <c r="M1894">
        <v>0</v>
      </c>
      <c r="N1894">
        <v>2400</v>
      </c>
    </row>
    <row r="1895" spans="1:14" x14ac:dyDescent="0.25">
      <c r="A1895">
        <v>1100.92057</v>
      </c>
      <c r="B1895" s="1">
        <f>DATE(2013,5,5) + TIME(22,5,37)</f>
        <v>41399.920567129629</v>
      </c>
      <c r="C1895">
        <v>1339.9621582</v>
      </c>
      <c r="D1895">
        <v>1337.2467041</v>
      </c>
      <c r="E1895">
        <v>1327.0220947</v>
      </c>
      <c r="F1895">
        <v>1325.2547606999999</v>
      </c>
      <c r="G1895">
        <v>80</v>
      </c>
      <c r="H1895">
        <v>79.977416992000002</v>
      </c>
      <c r="I1895">
        <v>50</v>
      </c>
      <c r="J1895">
        <v>49.656986236999998</v>
      </c>
      <c r="K1895">
        <v>2400</v>
      </c>
      <c r="L1895">
        <v>0</v>
      </c>
      <c r="M1895">
        <v>0</v>
      </c>
      <c r="N1895">
        <v>2400</v>
      </c>
    </row>
    <row r="1896" spans="1:14" x14ac:dyDescent="0.25">
      <c r="A1896">
        <v>1101.085967</v>
      </c>
      <c r="B1896" s="1">
        <f>DATE(2013,5,6) + TIME(2,3,47)</f>
        <v>41400.085960648146</v>
      </c>
      <c r="C1896">
        <v>1339.956543</v>
      </c>
      <c r="D1896">
        <v>1337.2451172000001</v>
      </c>
      <c r="E1896">
        <v>1327.0211182</v>
      </c>
      <c r="F1896">
        <v>1325.2535399999999</v>
      </c>
      <c r="G1896">
        <v>80</v>
      </c>
      <c r="H1896">
        <v>79.977508545000006</v>
      </c>
      <c r="I1896">
        <v>50</v>
      </c>
      <c r="J1896">
        <v>49.648029327000003</v>
      </c>
      <c r="K1896">
        <v>2400</v>
      </c>
      <c r="L1896">
        <v>0</v>
      </c>
      <c r="M1896">
        <v>0</v>
      </c>
      <c r="N1896">
        <v>2400</v>
      </c>
    </row>
    <row r="1897" spans="1:14" x14ac:dyDescent="0.25">
      <c r="A1897">
        <v>1101.2551229999999</v>
      </c>
      <c r="B1897" s="1">
        <f>DATE(2013,5,6) + TIME(6,7,22)</f>
        <v>41400.255115740743</v>
      </c>
      <c r="C1897">
        <v>1339.9506836</v>
      </c>
      <c r="D1897">
        <v>1337.2432861</v>
      </c>
      <c r="E1897">
        <v>1327.0201416</v>
      </c>
      <c r="F1897">
        <v>1325.2523193</v>
      </c>
      <c r="G1897">
        <v>80</v>
      </c>
      <c r="H1897">
        <v>79.977577209000003</v>
      </c>
      <c r="I1897">
        <v>50</v>
      </c>
      <c r="J1897">
        <v>49.638908385999997</v>
      </c>
      <c r="K1897">
        <v>2400</v>
      </c>
      <c r="L1897">
        <v>0</v>
      </c>
      <c r="M1897">
        <v>0</v>
      </c>
      <c r="N1897">
        <v>2400</v>
      </c>
    </row>
    <row r="1898" spans="1:14" x14ac:dyDescent="0.25">
      <c r="A1898">
        <v>1101.4267580000001</v>
      </c>
      <c r="B1898" s="1">
        <f>DATE(2013,5,6) + TIME(10,14,31)</f>
        <v>41400.426747685182</v>
      </c>
      <c r="C1898">
        <v>1339.9447021000001</v>
      </c>
      <c r="D1898">
        <v>1337.2415771000001</v>
      </c>
      <c r="E1898">
        <v>1327.0191649999999</v>
      </c>
      <c r="F1898">
        <v>1325.2510986</v>
      </c>
      <c r="G1898">
        <v>80</v>
      </c>
      <c r="H1898">
        <v>79.977630614999995</v>
      </c>
      <c r="I1898">
        <v>50</v>
      </c>
      <c r="J1898">
        <v>49.629692077999998</v>
      </c>
      <c r="K1898">
        <v>2400</v>
      </c>
      <c r="L1898">
        <v>0</v>
      </c>
      <c r="M1898">
        <v>0</v>
      </c>
      <c r="N1898">
        <v>2400</v>
      </c>
    </row>
    <row r="1899" spans="1:14" x14ac:dyDescent="0.25">
      <c r="A1899">
        <v>1101.6013760000001</v>
      </c>
      <c r="B1899" s="1">
        <f>DATE(2013,5,6) + TIME(14,25,58)</f>
        <v>41400.601365740738</v>
      </c>
      <c r="C1899">
        <v>1339.9384766000001</v>
      </c>
      <c r="D1899">
        <v>1337.239624</v>
      </c>
      <c r="E1899">
        <v>1327.0181885</v>
      </c>
      <c r="F1899">
        <v>1325.2497559000001</v>
      </c>
      <c r="G1899">
        <v>80</v>
      </c>
      <c r="H1899">
        <v>79.977661132999998</v>
      </c>
      <c r="I1899">
        <v>50</v>
      </c>
      <c r="J1899">
        <v>49.620349883999999</v>
      </c>
      <c r="K1899">
        <v>2400</v>
      </c>
      <c r="L1899">
        <v>0</v>
      </c>
      <c r="M1899">
        <v>0</v>
      </c>
      <c r="N1899">
        <v>2400</v>
      </c>
    </row>
    <row r="1900" spans="1:14" x14ac:dyDescent="0.25">
      <c r="A1900">
        <v>1101.77928</v>
      </c>
      <c r="B1900" s="1">
        <f>DATE(2013,5,6) + TIME(18,42,9)</f>
        <v>41400.779270833336</v>
      </c>
      <c r="C1900">
        <v>1339.932251</v>
      </c>
      <c r="D1900">
        <v>1337.237793</v>
      </c>
      <c r="E1900">
        <v>1327.0170897999999</v>
      </c>
      <c r="F1900">
        <v>1325.2484131000001</v>
      </c>
      <c r="G1900">
        <v>80</v>
      </c>
      <c r="H1900">
        <v>79.977676392000006</v>
      </c>
      <c r="I1900">
        <v>50</v>
      </c>
      <c r="J1900">
        <v>49.610877991000002</v>
      </c>
      <c r="K1900">
        <v>2400</v>
      </c>
      <c r="L1900">
        <v>0</v>
      </c>
      <c r="M1900">
        <v>0</v>
      </c>
      <c r="N1900">
        <v>2400</v>
      </c>
    </row>
    <row r="1901" spans="1:14" x14ac:dyDescent="0.25">
      <c r="A1901">
        <v>1101.9596770000001</v>
      </c>
      <c r="B1901" s="1">
        <f>DATE(2013,5,6) + TIME(23,1,56)</f>
        <v>41400.959675925929</v>
      </c>
      <c r="C1901">
        <v>1339.9260254000001</v>
      </c>
      <c r="D1901">
        <v>1337.2358397999999</v>
      </c>
      <c r="E1901">
        <v>1327.0159911999999</v>
      </c>
      <c r="F1901">
        <v>1325.2470702999999</v>
      </c>
      <c r="G1901">
        <v>80</v>
      </c>
      <c r="H1901">
        <v>79.977684021000002</v>
      </c>
      <c r="I1901">
        <v>50</v>
      </c>
      <c r="J1901">
        <v>49.601310730000002</v>
      </c>
      <c r="K1901">
        <v>2400</v>
      </c>
      <c r="L1901">
        <v>0</v>
      </c>
      <c r="M1901">
        <v>0</v>
      </c>
      <c r="N1901">
        <v>2400</v>
      </c>
    </row>
    <row r="1902" spans="1:14" x14ac:dyDescent="0.25">
      <c r="A1902">
        <v>1102.1430459999999</v>
      </c>
      <c r="B1902" s="1">
        <f>DATE(2013,5,7) + TIME(3,25,59)</f>
        <v>41401.143043981479</v>
      </c>
      <c r="C1902">
        <v>1339.9195557</v>
      </c>
      <c r="D1902">
        <v>1337.2337646000001</v>
      </c>
      <c r="E1902">
        <v>1327.0148925999999</v>
      </c>
      <c r="F1902">
        <v>1325.2456055</v>
      </c>
      <c r="G1902">
        <v>80</v>
      </c>
      <c r="H1902">
        <v>79.977684021000002</v>
      </c>
      <c r="I1902">
        <v>50</v>
      </c>
      <c r="J1902">
        <v>49.591632842999999</v>
      </c>
      <c r="K1902">
        <v>2400</v>
      </c>
      <c r="L1902">
        <v>0</v>
      </c>
      <c r="M1902">
        <v>0</v>
      </c>
      <c r="N1902">
        <v>2400</v>
      </c>
    </row>
    <row r="1903" spans="1:14" x14ac:dyDescent="0.25">
      <c r="A1903">
        <v>1102.3298560000001</v>
      </c>
      <c r="B1903" s="1">
        <f>DATE(2013,5,7) + TIME(7,54,59)</f>
        <v>41401.32984953704</v>
      </c>
      <c r="C1903">
        <v>1339.9132079999999</v>
      </c>
      <c r="D1903">
        <v>1337.2318115</v>
      </c>
      <c r="E1903">
        <v>1327.0136719</v>
      </c>
      <c r="F1903">
        <v>1325.2441406</v>
      </c>
      <c r="G1903">
        <v>80</v>
      </c>
      <c r="H1903">
        <v>79.977684021000002</v>
      </c>
      <c r="I1903">
        <v>50</v>
      </c>
      <c r="J1903">
        <v>49.581817627</v>
      </c>
      <c r="K1903">
        <v>2400</v>
      </c>
      <c r="L1903">
        <v>0</v>
      </c>
      <c r="M1903">
        <v>0</v>
      </c>
      <c r="N1903">
        <v>2400</v>
      </c>
    </row>
    <row r="1904" spans="1:14" x14ac:dyDescent="0.25">
      <c r="A1904">
        <v>1102.5205980000001</v>
      </c>
      <c r="B1904" s="1">
        <f>DATE(2013,5,7) + TIME(12,29,39)</f>
        <v>41401.520590277774</v>
      </c>
      <c r="C1904">
        <v>1339.9066161999999</v>
      </c>
      <c r="D1904">
        <v>1337.2297363</v>
      </c>
      <c r="E1904">
        <v>1327.0125731999999</v>
      </c>
      <c r="F1904">
        <v>1325.2426757999999</v>
      </c>
      <c r="G1904">
        <v>80</v>
      </c>
      <c r="H1904">
        <v>79.977668761999993</v>
      </c>
      <c r="I1904">
        <v>50</v>
      </c>
      <c r="J1904">
        <v>49.571857452000003</v>
      </c>
      <c r="K1904">
        <v>2400</v>
      </c>
      <c r="L1904">
        <v>0</v>
      </c>
      <c r="M1904">
        <v>0</v>
      </c>
      <c r="N1904">
        <v>2400</v>
      </c>
    </row>
    <row r="1905" spans="1:14" x14ac:dyDescent="0.25">
      <c r="A1905">
        <v>1102.7157999999999</v>
      </c>
      <c r="B1905" s="1">
        <f>DATE(2013,5,7) + TIME(17,10,45)</f>
        <v>41401.715798611112</v>
      </c>
      <c r="C1905">
        <v>1339.9000243999999</v>
      </c>
      <c r="D1905">
        <v>1337.2277832</v>
      </c>
      <c r="E1905">
        <v>1327.0113524999999</v>
      </c>
      <c r="F1905">
        <v>1325.2410889</v>
      </c>
      <c r="G1905">
        <v>80</v>
      </c>
      <c r="H1905">
        <v>79.977653502999999</v>
      </c>
      <c r="I1905">
        <v>50</v>
      </c>
      <c r="J1905">
        <v>49.561721802000001</v>
      </c>
      <c r="K1905">
        <v>2400</v>
      </c>
      <c r="L1905">
        <v>0</v>
      </c>
      <c r="M1905">
        <v>0</v>
      </c>
      <c r="N1905">
        <v>2400</v>
      </c>
    </row>
    <row r="1906" spans="1:14" x14ac:dyDescent="0.25">
      <c r="A1906">
        <v>1102.916031</v>
      </c>
      <c r="B1906" s="1">
        <f>DATE(2013,5,7) + TIME(21,59,5)</f>
        <v>41401.916030092594</v>
      </c>
      <c r="C1906">
        <v>1339.8934326000001</v>
      </c>
      <c r="D1906">
        <v>1337.2257079999999</v>
      </c>
      <c r="E1906">
        <v>1327.0100098</v>
      </c>
      <c r="F1906">
        <v>1325.2395019999999</v>
      </c>
      <c r="G1906">
        <v>80</v>
      </c>
      <c r="H1906">
        <v>79.977630614999995</v>
      </c>
      <c r="I1906">
        <v>50</v>
      </c>
      <c r="J1906">
        <v>49.551387787000003</v>
      </c>
      <c r="K1906">
        <v>2400</v>
      </c>
      <c r="L1906">
        <v>0</v>
      </c>
      <c r="M1906">
        <v>0</v>
      </c>
      <c r="N1906">
        <v>2400</v>
      </c>
    </row>
    <row r="1907" spans="1:14" x14ac:dyDescent="0.25">
      <c r="A1907">
        <v>1103.1226979999999</v>
      </c>
      <c r="B1907" s="1">
        <f>DATE(2013,5,8) + TIME(2,56,41)</f>
        <v>41402.122696759259</v>
      </c>
      <c r="C1907">
        <v>1339.8867187999999</v>
      </c>
      <c r="D1907">
        <v>1337.2236327999999</v>
      </c>
      <c r="E1907">
        <v>1327.0087891000001</v>
      </c>
      <c r="F1907">
        <v>1325.237793</v>
      </c>
      <c r="G1907">
        <v>80</v>
      </c>
      <c r="H1907">
        <v>79.977607727000006</v>
      </c>
      <c r="I1907">
        <v>50</v>
      </c>
      <c r="J1907">
        <v>49.540805816999999</v>
      </c>
      <c r="K1907">
        <v>2400</v>
      </c>
      <c r="L1907">
        <v>0</v>
      </c>
      <c r="M1907">
        <v>0</v>
      </c>
      <c r="N1907">
        <v>2400</v>
      </c>
    </row>
    <row r="1908" spans="1:14" x14ac:dyDescent="0.25">
      <c r="A1908">
        <v>1103.3337799999999</v>
      </c>
      <c r="B1908" s="1">
        <f>DATE(2013,5,8) + TIME(8,0,38)</f>
        <v>41402.333773148152</v>
      </c>
      <c r="C1908">
        <v>1339.8798827999999</v>
      </c>
      <c r="D1908">
        <v>1337.2214355000001</v>
      </c>
      <c r="E1908">
        <v>1327.0074463000001</v>
      </c>
      <c r="F1908">
        <v>1325.2359618999999</v>
      </c>
      <c r="G1908">
        <v>80</v>
      </c>
      <c r="H1908">
        <v>79.977584839000002</v>
      </c>
      <c r="I1908">
        <v>50</v>
      </c>
      <c r="J1908">
        <v>49.530048370000003</v>
      </c>
      <c r="K1908">
        <v>2400</v>
      </c>
      <c r="L1908">
        <v>0</v>
      </c>
      <c r="M1908">
        <v>0</v>
      </c>
      <c r="N1908">
        <v>2400</v>
      </c>
    </row>
    <row r="1909" spans="1:14" x14ac:dyDescent="0.25">
      <c r="A1909">
        <v>1103.547581</v>
      </c>
      <c r="B1909" s="1">
        <f>DATE(2013,5,8) + TIME(13,8,31)</f>
        <v>41402.547581018516</v>
      </c>
      <c r="C1909">
        <v>1339.8729248</v>
      </c>
      <c r="D1909">
        <v>1337.2193603999999</v>
      </c>
      <c r="E1909">
        <v>1327.0059814000001</v>
      </c>
      <c r="F1909">
        <v>1325.2341309000001</v>
      </c>
      <c r="G1909">
        <v>80</v>
      </c>
      <c r="H1909">
        <v>79.977554321</v>
      </c>
      <c r="I1909">
        <v>50</v>
      </c>
      <c r="J1909">
        <v>49.519195557000003</v>
      </c>
      <c r="K1909">
        <v>2400</v>
      </c>
      <c r="L1909">
        <v>0</v>
      </c>
      <c r="M1909">
        <v>0</v>
      </c>
      <c r="N1909">
        <v>2400</v>
      </c>
    </row>
    <row r="1910" spans="1:14" x14ac:dyDescent="0.25">
      <c r="A1910">
        <v>1103.7645439999999</v>
      </c>
      <c r="B1910" s="1">
        <f>DATE(2013,5,8) + TIME(18,20,56)</f>
        <v>41402.764537037037</v>
      </c>
      <c r="C1910">
        <v>1339.8660889</v>
      </c>
      <c r="D1910">
        <v>1337.2171631000001</v>
      </c>
      <c r="E1910">
        <v>1327.0045166</v>
      </c>
      <c r="F1910">
        <v>1325.2322998</v>
      </c>
      <c r="G1910">
        <v>80</v>
      </c>
      <c r="H1910">
        <v>79.977523804</v>
      </c>
      <c r="I1910">
        <v>50</v>
      </c>
      <c r="J1910">
        <v>49.508228301999999</v>
      </c>
      <c r="K1910">
        <v>2400</v>
      </c>
      <c r="L1910">
        <v>0</v>
      </c>
      <c r="M1910">
        <v>0</v>
      </c>
      <c r="N1910">
        <v>2400</v>
      </c>
    </row>
    <row r="1911" spans="1:14" x14ac:dyDescent="0.25">
      <c r="A1911">
        <v>1103.9851630000001</v>
      </c>
      <c r="B1911" s="1">
        <f>DATE(2013,5,8) + TIME(23,38,38)</f>
        <v>41402.985162037039</v>
      </c>
      <c r="C1911">
        <v>1339.8592529</v>
      </c>
      <c r="D1911">
        <v>1337.2150879000001</v>
      </c>
      <c r="E1911">
        <v>1327.0030518000001</v>
      </c>
      <c r="F1911">
        <v>1325.2303466999999</v>
      </c>
      <c r="G1911">
        <v>80</v>
      </c>
      <c r="H1911">
        <v>79.977493285999998</v>
      </c>
      <c r="I1911">
        <v>50</v>
      </c>
      <c r="J1911">
        <v>49.497135161999999</v>
      </c>
      <c r="K1911">
        <v>2400</v>
      </c>
      <c r="L1911">
        <v>0</v>
      </c>
      <c r="M1911">
        <v>0</v>
      </c>
      <c r="N1911">
        <v>2400</v>
      </c>
    </row>
    <row r="1912" spans="1:14" x14ac:dyDescent="0.25">
      <c r="A1912">
        <v>1104.209961</v>
      </c>
      <c r="B1912" s="1">
        <f>DATE(2013,5,9) + TIME(5,2,20)</f>
        <v>41403.209953703707</v>
      </c>
      <c r="C1912">
        <v>1339.8524170000001</v>
      </c>
      <c r="D1912">
        <v>1337.2130127</v>
      </c>
      <c r="E1912">
        <v>1327.0014647999999</v>
      </c>
      <c r="F1912">
        <v>1325.2283935999999</v>
      </c>
      <c r="G1912">
        <v>80</v>
      </c>
      <c r="H1912">
        <v>79.977462768999999</v>
      </c>
      <c r="I1912">
        <v>50</v>
      </c>
      <c r="J1912">
        <v>49.485893249999997</v>
      </c>
      <c r="K1912">
        <v>2400</v>
      </c>
      <c r="L1912">
        <v>0</v>
      </c>
      <c r="M1912">
        <v>0</v>
      </c>
      <c r="N1912">
        <v>2400</v>
      </c>
    </row>
    <row r="1913" spans="1:14" x14ac:dyDescent="0.25">
      <c r="A1913">
        <v>1104.4394970000001</v>
      </c>
      <c r="B1913" s="1">
        <f>DATE(2013,5,9) + TIME(10,32,52)</f>
        <v>41403.43949074074</v>
      </c>
      <c r="C1913">
        <v>1339.8454589999999</v>
      </c>
      <c r="D1913">
        <v>1337.2109375</v>
      </c>
      <c r="E1913">
        <v>1327</v>
      </c>
      <c r="F1913">
        <v>1325.2263184000001</v>
      </c>
      <c r="G1913">
        <v>80</v>
      </c>
      <c r="H1913">
        <v>79.977424622000001</v>
      </c>
      <c r="I1913">
        <v>50</v>
      </c>
      <c r="J1913">
        <v>49.474479674999998</v>
      </c>
      <c r="K1913">
        <v>2400</v>
      </c>
      <c r="L1913">
        <v>0</v>
      </c>
      <c r="M1913">
        <v>0</v>
      </c>
      <c r="N1913">
        <v>2400</v>
      </c>
    </row>
    <row r="1914" spans="1:14" x14ac:dyDescent="0.25">
      <c r="A1914">
        <v>1104.6743750000001</v>
      </c>
      <c r="B1914" s="1">
        <f>DATE(2013,5,9) + TIME(16,11,5)</f>
        <v>41403.674363425926</v>
      </c>
      <c r="C1914">
        <v>1339.8386230000001</v>
      </c>
      <c r="D1914">
        <v>1337.2088623</v>
      </c>
      <c r="E1914">
        <v>1326.9982910000001</v>
      </c>
      <c r="F1914">
        <v>1325.2242432</v>
      </c>
      <c r="G1914">
        <v>80</v>
      </c>
      <c r="H1914">
        <v>79.977394103999998</v>
      </c>
      <c r="I1914">
        <v>50</v>
      </c>
      <c r="J1914">
        <v>49.462879180999998</v>
      </c>
      <c r="K1914">
        <v>2400</v>
      </c>
      <c r="L1914">
        <v>0</v>
      </c>
      <c r="M1914">
        <v>0</v>
      </c>
      <c r="N1914">
        <v>2400</v>
      </c>
    </row>
    <row r="1915" spans="1:14" x14ac:dyDescent="0.25">
      <c r="A1915">
        <v>1104.91525</v>
      </c>
      <c r="B1915" s="1">
        <f>DATE(2013,5,9) + TIME(21,57,57)</f>
        <v>41403.915243055555</v>
      </c>
      <c r="C1915">
        <v>1339.8316649999999</v>
      </c>
      <c r="D1915">
        <v>1337.2067870999999</v>
      </c>
      <c r="E1915">
        <v>1326.996582</v>
      </c>
      <c r="F1915">
        <v>1325.2220459</v>
      </c>
      <c r="G1915">
        <v>80</v>
      </c>
      <c r="H1915">
        <v>79.977355957</v>
      </c>
      <c r="I1915">
        <v>50</v>
      </c>
      <c r="J1915">
        <v>49.451061248999999</v>
      </c>
      <c r="K1915">
        <v>2400</v>
      </c>
      <c r="L1915">
        <v>0</v>
      </c>
      <c r="M1915">
        <v>0</v>
      </c>
      <c r="N1915">
        <v>2400</v>
      </c>
    </row>
    <row r="1916" spans="1:14" x14ac:dyDescent="0.25">
      <c r="A1916">
        <v>1105.1628820000001</v>
      </c>
      <c r="B1916" s="1">
        <f>DATE(2013,5,10) + TIME(3,54,32)</f>
        <v>41404.162870370368</v>
      </c>
      <c r="C1916">
        <v>1339.824707</v>
      </c>
      <c r="D1916">
        <v>1337.2047118999999</v>
      </c>
      <c r="E1916">
        <v>1326.9948730000001</v>
      </c>
      <c r="F1916">
        <v>1325.2197266000001</v>
      </c>
      <c r="G1916">
        <v>80</v>
      </c>
      <c r="H1916">
        <v>79.977317810000002</v>
      </c>
      <c r="I1916">
        <v>50</v>
      </c>
      <c r="J1916">
        <v>49.438999176000003</v>
      </c>
      <c r="K1916">
        <v>2400</v>
      </c>
      <c r="L1916">
        <v>0</v>
      </c>
      <c r="M1916">
        <v>0</v>
      </c>
      <c r="N1916">
        <v>2400</v>
      </c>
    </row>
    <row r="1917" spans="1:14" x14ac:dyDescent="0.25">
      <c r="A1917">
        <v>1105.4150930000001</v>
      </c>
      <c r="B1917" s="1">
        <f>DATE(2013,5,10) + TIME(9,57,44)</f>
        <v>41404.415092592593</v>
      </c>
      <c r="C1917">
        <v>1339.817749</v>
      </c>
      <c r="D1917">
        <v>1337.2026367000001</v>
      </c>
      <c r="E1917">
        <v>1326.9930420000001</v>
      </c>
      <c r="F1917">
        <v>1325.2172852000001</v>
      </c>
      <c r="G1917">
        <v>80</v>
      </c>
      <c r="H1917">
        <v>79.977279663000004</v>
      </c>
      <c r="I1917">
        <v>50</v>
      </c>
      <c r="J1917">
        <v>49.426773071</v>
      </c>
      <c r="K1917">
        <v>2400</v>
      </c>
      <c r="L1917">
        <v>0</v>
      </c>
      <c r="M1917">
        <v>0</v>
      </c>
      <c r="N1917">
        <v>2400</v>
      </c>
    </row>
    <row r="1918" spans="1:14" x14ac:dyDescent="0.25">
      <c r="A1918">
        <v>1105.671832</v>
      </c>
      <c r="B1918" s="1">
        <f>DATE(2013,5,10) + TIME(16,7,26)</f>
        <v>41404.6718287037</v>
      </c>
      <c r="C1918">
        <v>1339.8107910000001</v>
      </c>
      <c r="D1918">
        <v>1337.2005615</v>
      </c>
      <c r="E1918">
        <v>1326.9912108999999</v>
      </c>
      <c r="F1918">
        <v>1325.2148437999999</v>
      </c>
      <c r="G1918">
        <v>80</v>
      </c>
      <c r="H1918">
        <v>79.977241516000007</v>
      </c>
      <c r="I1918">
        <v>50</v>
      </c>
      <c r="J1918">
        <v>49.414390564000001</v>
      </c>
      <c r="K1918">
        <v>2400</v>
      </c>
      <c r="L1918">
        <v>0</v>
      </c>
      <c r="M1918">
        <v>0</v>
      </c>
      <c r="N1918">
        <v>2400</v>
      </c>
    </row>
    <row r="1919" spans="1:14" x14ac:dyDescent="0.25">
      <c r="A1919">
        <v>1105.9337</v>
      </c>
      <c r="B1919" s="1">
        <f>DATE(2013,5,10) + TIME(22,24,31)</f>
        <v>41404.933692129627</v>
      </c>
      <c r="C1919">
        <v>1339.8038329999999</v>
      </c>
      <c r="D1919">
        <v>1337.1986084</v>
      </c>
      <c r="E1919">
        <v>1326.9892577999999</v>
      </c>
      <c r="F1919">
        <v>1325.2122803</v>
      </c>
      <c r="G1919">
        <v>80</v>
      </c>
      <c r="H1919">
        <v>79.977203368999994</v>
      </c>
      <c r="I1919">
        <v>50</v>
      </c>
      <c r="J1919">
        <v>49.401832581000001</v>
      </c>
      <c r="K1919">
        <v>2400</v>
      </c>
      <c r="L1919">
        <v>0</v>
      </c>
      <c r="M1919">
        <v>0</v>
      </c>
      <c r="N1919">
        <v>2400</v>
      </c>
    </row>
    <row r="1920" spans="1:14" x14ac:dyDescent="0.25">
      <c r="A1920">
        <v>1106.201313</v>
      </c>
      <c r="B1920" s="1">
        <f>DATE(2013,5,11) + TIME(4,49,53)</f>
        <v>41405.201307870368</v>
      </c>
      <c r="C1920">
        <v>1339.796875</v>
      </c>
      <c r="D1920">
        <v>1337.1965332</v>
      </c>
      <c r="E1920">
        <v>1326.9873047000001</v>
      </c>
      <c r="F1920">
        <v>1325.2095947</v>
      </c>
      <c r="G1920">
        <v>80</v>
      </c>
      <c r="H1920">
        <v>79.977165221999996</v>
      </c>
      <c r="I1920">
        <v>50</v>
      </c>
      <c r="J1920">
        <v>49.389080047999997</v>
      </c>
      <c r="K1920">
        <v>2400</v>
      </c>
      <c r="L1920">
        <v>0</v>
      </c>
      <c r="M1920">
        <v>0</v>
      </c>
      <c r="N1920">
        <v>2400</v>
      </c>
    </row>
    <row r="1921" spans="1:14" x14ac:dyDescent="0.25">
      <c r="A1921">
        <v>1106.4753490000001</v>
      </c>
      <c r="B1921" s="1">
        <f>DATE(2013,5,11) + TIME(11,24,30)</f>
        <v>41405.475347222222</v>
      </c>
      <c r="C1921">
        <v>1339.7899170000001</v>
      </c>
      <c r="D1921">
        <v>1337.1945800999999</v>
      </c>
      <c r="E1921">
        <v>1326.9852295000001</v>
      </c>
      <c r="F1921">
        <v>1325.2069091999999</v>
      </c>
      <c r="G1921">
        <v>80</v>
      </c>
      <c r="H1921">
        <v>79.977119446000003</v>
      </c>
      <c r="I1921">
        <v>50</v>
      </c>
      <c r="J1921">
        <v>49.376106262</v>
      </c>
      <c r="K1921">
        <v>2400</v>
      </c>
      <c r="L1921">
        <v>0</v>
      </c>
      <c r="M1921">
        <v>0</v>
      </c>
      <c r="N1921">
        <v>2400</v>
      </c>
    </row>
    <row r="1922" spans="1:14" x14ac:dyDescent="0.25">
      <c r="A1922">
        <v>1106.7565540000001</v>
      </c>
      <c r="B1922" s="1">
        <f>DATE(2013,5,11) + TIME(18,9,26)</f>
        <v>41405.756550925929</v>
      </c>
      <c r="C1922">
        <v>1339.7829589999999</v>
      </c>
      <c r="D1922">
        <v>1337.1926269999999</v>
      </c>
      <c r="E1922">
        <v>1326.9830322</v>
      </c>
      <c r="F1922">
        <v>1325.2039795000001</v>
      </c>
      <c r="G1922">
        <v>80</v>
      </c>
      <c r="H1922">
        <v>79.977081299000005</v>
      </c>
      <c r="I1922">
        <v>50</v>
      </c>
      <c r="J1922">
        <v>49.362888335999997</v>
      </c>
      <c r="K1922">
        <v>2400</v>
      </c>
      <c r="L1922">
        <v>0</v>
      </c>
      <c r="M1922">
        <v>0</v>
      </c>
      <c r="N1922">
        <v>2400</v>
      </c>
    </row>
    <row r="1923" spans="1:14" x14ac:dyDescent="0.25">
      <c r="A1923">
        <v>1107.0457590000001</v>
      </c>
      <c r="B1923" s="1">
        <f>DATE(2013,5,12) + TIME(1,5,53)</f>
        <v>41406.045752314814</v>
      </c>
      <c r="C1923">
        <v>1339.7758789</v>
      </c>
      <c r="D1923">
        <v>1337.1905518000001</v>
      </c>
      <c r="E1923">
        <v>1326.9808350000001</v>
      </c>
      <c r="F1923">
        <v>1325.2010498</v>
      </c>
      <c r="G1923">
        <v>80</v>
      </c>
      <c r="H1923">
        <v>79.977043151999993</v>
      </c>
      <c r="I1923">
        <v>50</v>
      </c>
      <c r="J1923">
        <v>49.349395752</v>
      </c>
      <c r="K1923">
        <v>2400</v>
      </c>
      <c r="L1923">
        <v>0</v>
      </c>
      <c r="M1923">
        <v>0</v>
      </c>
      <c r="N1923">
        <v>2400</v>
      </c>
    </row>
    <row r="1924" spans="1:14" x14ac:dyDescent="0.25">
      <c r="A1924">
        <v>1107.3433110000001</v>
      </c>
      <c r="B1924" s="1">
        <f>DATE(2013,5,12) + TIME(8,14,22)</f>
        <v>41406.343310185184</v>
      </c>
      <c r="C1924">
        <v>1339.7687988</v>
      </c>
      <c r="D1924">
        <v>1337.1885986</v>
      </c>
      <c r="E1924">
        <v>1326.9785156</v>
      </c>
      <c r="F1924">
        <v>1325.197876</v>
      </c>
      <c r="G1924">
        <v>80</v>
      </c>
      <c r="H1924">
        <v>79.976997374999996</v>
      </c>
      <c r="I1924">
        <v>50</v>
      </c>
      <c r="J1924">
        <v>49.335613250999998</v>
      </c>
      <c r="K1924">
        <v>2400</v>
      </c>
      <c r="L1924">
        <v>0</v>
      </c>
      <c r="M1924">
        <v>0</v>
      </c>
      <c r="N1924">
        <v>2400</v>
      </c>
    </row>
    <row r="1925" spans="1:14" x14ac:dyDescent="0.25">
      <c r="A1925">
        <v>1107.645665</v>
      </c>
      <c r="B1925" s="1">
        <f>DATE(2013,5,12) + TIME(15,29,45)</f>
        <v>41406.64565972222</v>
      </c>
      <c r="C1925">
        <v>1339.7617187999999</v>
      </c>
      <c r="D1925">
        <v>1337.1866454999999</v>
      </c>
      <c r="E1925">
        <v>1326.9760742000001</v>
      </c>
      <c r="F1925">
        <v>1325.1947021000001</v>
      </c>
      <c r="G1925">
        <v>80</v>
      </c>
      <c r="H1925">
        <v>79.976959229000002</v>
      </c>
      <c r="I1925">
        <v>50</v>
      </c>
      <c r="J1925">
        <v>49.321666718000003</v>
      </c>
      <c r="K1925">
        <v>2400</v>
      </c>
      <c r="L1925">
        <v>0</v>
      </c>
      <c r="M1925">
        <v>0</v>
      </c>
      <c r="N1925">
        <v>2400</v>
      </c>
    </row>
    <row r="1926" spans="1:14" x14ac:dyDescent="0.25">
      <c r="A1926">
        <v>1107.953739</v>
      </c>
      <c r="B1926" s="1">
        <f>DATE(2013,5,12) + TIME(22,53,23)</f>
        <v>41406.953738425924</v>
      </c>
      <c r="C1926">
        <v>1339.7546387</v>
      </c>
      <c r="D1926">
        <v>1337.1846923999999</v>
      </c>
      <c r="E1926">
        <v>1326.9735106999999</v>
      </c>
      <c r="F1926">
        <v>1325.1912841999999</v>
      </c>
      <c r="G1926">
        <v>80</v>
      </c>
      <c r="H1926">
        <v>79.976913452000005</v>
      </c>
      <c r="I1926">
        <v>50</v>
      </c>
      <c r="J1926">
        <v>49.307533264</v>
      </c>
      <c r="K1926">
        <v>2400</v>
      </c>
      <c r="L1926">
        <v>0</v>
      </c>
      <c r="M1926">
        <v>0</v>
      </c>
      <c r="N1926">
        <v>2400</v>
      </c>
    </row>
    <row r="1927" spans="1:14" x14ac:dyDescent="0.25">
      <c r="A1927">
        <v>1108.2684509999999</v>
      </c>
      <c r="B1927" s="1">
        <f>DATE(2013,5,13) + TIME(6,26,34)</f>
        <v>41407.268449074072</v>
      </c>
      <c r="C1927">
        <v>1339.7475586</v>
      </c>
      <c r="D1927">
        <v>1337.1827393000001</v>
      </c>
      <c r="E1927">
        <v>1326.9709473</v>
      </c>
      <c r="F1927">
        <v>1325.1878661999999</v>
      </c>
      <c r="G1927">
        <v>80</v>
      </c>
      <c r="H1927">
        <v>79.976867675999998</v>
      </c>
      <c r="I1927">
        <v>50</v>
      </c>
      <c r="J1927">
        <v>49.293186188</v>
      </c>
      <c r="K1927">
        <v>2400</v>
      </c>
      <c r="L1927">
        <v>0</v>
      </c>
      <c r="M1927">
        <v>0</v>
      </c>
      <c r="N1927">
        <v>2400</v>
      </c>
    </row>
    <row r="1928" spans="1:14" x14ac:dyDescent="0.25">
      <c r="A1928">
        <v>1108.592549</v>
      </c>
      <c r="B1928" s="1">
        <f>DATE(2013,5,13) + TIME(14,13,16)</f>
        <v>41407.592546296299</v>
      </c>
      <c r="C1928">
        <v>1339.7406006000001</v>
      </c>
      <c r="D1928">
        <v>1337.1809082</v>
      </c>
      <c r="E1928">
        <v>1326.9682617000001</v>
      </c>
      <c r="F1928">
        <v>1325.1843262</v>
      </c>
      <c r="G1928">
        <v>80</v>
      </c>
      <c r="H1928">
        <v>79.976829529</v>
      </c>
      <c r="I1928">
        <v>50</v>
      </c>
      <c r="J1928">
        <v>49.278537749999998</v>
      </c>
      <c r="K1928">
        <v>2400</v>
      </c>
      <c r="L1928">
        <v>0</v>
      </c>
      <c r="M1928">
        <v>0</v>
      </c>
      <c r="N1928">
        <v>2400</v>
      </c>
    </row>
    <row r="1929" spans="1:14" x14ac:dyDescent="0.25">
      <c r="A1929">
        <v>1108.9247640000001</v>
      </c>
      <c r="B1929" s="1">
        <f>DATE(2013,5,13) + TIME(22,11,39)</f>
        <v>41407.924756944441</v>
      </c>
      <c r="C1929">
        <v>1339.7335204999999</v>
      </c>
      <c r="D1929">
        <v>1337.1789550999999</v>
      </c>
      <c r="E1929">
        <v>1326.9655762</v>
      </c>
      <c r="F1929">
        <v>1325.1805420000001</v>
      </c>
      <c r="G1929">
        <v>80</v>
      </c>
      <c r="H1929">
        <v>79.976783752000003</v>
      </c>
      <c r="I1929">
        <v>50</v>
      </c>
      <c r="J1929">
        <v>49.263622284</v>
      </c>
      <c r="K1929">
        <v>2400</v>
      </c>
      <c r="L1929">
        <v>0</v>
      </c>
      <c r="M1929">
        <v>0</v>
      </c>
      <c r="N1929">
        <v>2400</v>
      </c>
    </row>
    <row r="1930" spans="1:14" x14ac:dyDescent="0.25">
      <c r="A1930">
        <v>1109.260405</v>
      </c>
      <c r="B1930" s="1">
        <f>DATE(2013,5,14) + TIME(6,14,58)</f>
        <v>41408.260393518518</v>
      </c>
      <c r="C1930">
        <v>1339.7264404</v>
      </c>
      <c r="D1930">
        <v>1337.1770019999999</v>
      </c>
      <c r="E1930">
        <v>1326.9626464999999</v>
      </c>
      <c r="F1930">
        <v>1325.1766356999999</v>
      </c>
      <c r="G1930">
        <v>80</v>
      </c>
      <c r="H1930">
        <v>79.976737975999995</v>
      </c>
      <c r="I1930">
        <v>50</v>
      </c>
      <c r="J1930">
        <v>49.248596190999997</v>
      </c>
      <c r="K1930">
        <v>2400</v>
      </c>
      <c r="L1930">
        <v>0</v>
      </c>
      <c r="M1930">
        <v>0</v>
      </c>
      <c r="N1930">
        <v>2400</v>
      </c>
    </row>
    <row r="1931" spans="1:14" x14ac:dyDescent="0.25">
      <c r="A1931">
        <v>1109.600293</v>
      </c>
      <c r="B1931" s="1">
        <f>DATE(2013,5,14) + TIME(14,24,25)</f>
        <v>41408.600289351853</v>
      </c>
      <c r="C1931">
        <v>1339.7193603999999</v>
      </c>
      <c r="D1931">
        <v>1337.1751709</v>
      </c>
      <c r="E1931">
        <v>1326.9597168</v>
      </c>
      <c r="F1931">
        <v>1325.1726074000001</v>
      </c>
      <c r="G1931">
        <v>80</v>
      </c>
      <c r="H1931">
        <v>79.976699828999998</v>
      </c>
      <c r="I1931">
        <v>50</v>
      </c>
      <c r="J1931">
        <v>49.233451842999997</v>
      </c>
      <c r="K1931">
        <v>2400</v>
      </c>
      <c r="L1931">
        <v>0</v>
      </c>
      <c r="M1931">
        <v>0</v>
      </c>
      <c r="N1931">
        <v>2400</v>
      </c>
    </row>
    <row r="1932" spans="1:14" x14ac:dyDescent="0.25">
      <c r="A1932">
        <v>1109.9453430000001</v>
      </c>
      <c r="B1932" s="1">
        <f>DATE(2013,5,14) + TIME(22,41,17)</f>
        <v>41408.945335648146</v>
      </c>
      <c r="C1932">
        <v>1339.7125243999999</v>
      </c>
      <c r="D1932">
        <v>1337.1733397999999</v>
      </c>
      <c r="E1932">
        <v>1326.9566649999999</v>
      </c>
      <c r="F1932">
        <v>1325.168457</v>
      </c>
      <c r="G1932">
        <v>80</v>
      </c>
      <c r="H1932">
        <v>79.976654053000004</v>
      </c>
      <c r="I1932">
        <v>50</v>
      </c>
      <c r="J1932">
        <v>49.218166351000001</v>
      </c>
      <c r="K1932">
        <v>2400</v>
      </c>
      <c r="L1932">
        <v>0</v>
      </c>
      <c r="M1932">
        <v>0</v>
      </c>
      <c r="N1932">
        <v>2400</v>
      </c>
    </row>
    <row r="1933" spans="1:14" x14ac:dyDescent="0.25">
      <c r="A1933">
        <v>1110.2965059999999</v>
      </c>
      <c r="B1933" s="1">
        <f>DATE(2013,5,15) + TIME(7,6,58)</f>
        <v>41409.29650462963</v>
      </c>
      <c r="C1933">
        <v>1339.7056885</v>
      </c>
      <c r="D1933">
        <v>1337.1716309000001</v>
      </c>
      <c r="E1933">
        <v>1326.9536132999999</v>
      </c>
      <c r="F1933">
        <v>1325.1641846</v>
      </c>
      <c r="G1933">
        <v>80</v>
      </c>
      <c r="H1933">
        <v>79.976615906000006</v>
      </c>
      <c r="I1933">
        <v>50</v>
      </c>
      <c r="J1933">
        <v>49.202716827000003</v>
      </c>
      <c r="K1933">
        <v>2400</v>
      </c>
      <c r="L1933">
        <v>0</v>
      </c>
      <c r="M1933">
        <v>0</v>
      </c>
      <c r="N1933">
        <v>2400</v>
      </c>
    </row>
    <row r="1934" spans="1:14" x14ac:dyDescent="0.25">
      <c r="A1934">
        <v>1110.654798</v>
      </c>
      <c r="B1934" s="1">
        <f>DATE(2013,5,15) + TIME(15,42,54)</f>
        <v>41409.654791666668</v>
      </c>
      <c r="C1934">
        <v>1339.6988524999999</v>
      </c>
      <c r="D1934">
        <v>1337.1697998</v>
      </c>
      <c r="E1934">
        <v>1326.9503173999999</v>
      </c>
      <c r="F1934">
        <v>1325.1599120999999</v>
      </c>
      <c r="G1934">
        <v>80</v>
      </c>
      <c r="H1934">
        <v>79.976570128999995</v>
      </c>
      <c r="I1934">
        <v>50</v>
      </c>
      <c r="J1934">
        <v>49.187068939</v>
      </c>
      <c r="K1934">
        <v>2400</v>
      </c>
      <c r="L1934">
        <v>0</v>
      </c>
      <c r="M1934">
        <v>0</v>
      </c>
      <c r="N1934">
        <v>2400</v>
      </c>
    </row>
    <row r="1935" spans="1:14" x14ac:dyDescent="0.25">
      <c r="A1935">
        <v>1111.0216339999999</v>
      </c>
      <c r="B1935" s="1">
        <f>DATE(2013,5,16) + TIME(0,31,9)</f>
        <v>41410.021631944444</v>
      </c>
      <c r="C1935">
        <v>1339.6920166</v>
      </c>
      <c r="D1935">
        <v>1337.1680908000001</v>
      </c>
      <c r="E1935">
        <v>1326.9470214999999</v>
      </c>
      <c r="F1935">
        <v>1325.1552733999999</v>
      </c>
      <c r="G1935">
        <v>80</v>
      </c>
      <c r="H1935">
        <v>79.976524353000002</v>
      </c>
      <c r="I1935">
        <v>50</v>
      </c>
      <c r="J1935">
        <v>49.171180724999999</v>
      </c>
      <c r="K1935">
        <v>2400</v>
      </c>
      <c r="L1935">
        <v>0</v>
      </c>
      <c r="M1935">
        <v>0</v>
      </c>
      <c r="N1935">
        <v>2400</v>
      </c>
    </row>
    <row r="1936" spans="1:14" x14ac:dyDescent="0.25">
      <c r="A1936">
        <v>1111.3963920000001</v>
      </c>
      <c r="B1936" s="1">
        <f>DATE(2013,5,16) + TIME(9,30,48)</f>
        <v>41410.39638888889</v>
      </c>
      <c r="C1936">
        <v>1339.6851807</v>
      </c>
      <c r="D1936">
        <v>1337.1663818</v>
      </c>
      <c r="E1936">
        <v>1326.9436035000001</v>
      </c>
      <c r="F1936">
        <v>1325.1506348</v>
      </c>
      <c r="G1936">
        <v>80</v>
      </c>
      <c r="H1936">
        <v>79.976486206000004</v>
      </c>
      <c r="I1936">
        <v>50</v>
      </c>
      <c r="J1936">
        <v>49.155071259000003</v>
      </c>
      <c r="K1936">
        <v>2400</v>
      </c>
      <c r="L1936">
        <v>0</v>
      </c>
      <c r="M1936">
        <v>0</v>
      </c>
      <c r="N1936">
        <v>2400</v>
      </c>
    </row>
    <row r="1937" spans="1:14" x14ac:dyDescent="0.25">
      <c r="A1937">
        <v>1111.781839</v>
      </c>
      <c r="B1937" s="1">
        <f>DATE(2013,5,16) + TIME(18,45,50)</f>
        <v>41410.781828703701</v>
      </c>
      <c r="C1937">
        <v>1339.6783447</v>
      </c>
      <c r="D1937">
        <v>1337.1646728999999</v>
      </c>
      <c r="E1937">
        <v>1326.9400635</v>
      </c>
      <c r="F1937">
        <v>1325.1457519999999</v>
      </c>
      <c r="G1937">
        <v>80</v>
      </c>
      <c r="H1937">
        <v>79.976440429999997</v>
      </c>
      <c r="I1937">
        <v>50</v>
      </c>
      <c r="J1937">
        <v>49.138652802000003</v>
      </c>
      <c r="K1937">
        <v>2400</v>
      </c>
      <c r="L1937">
        <v>0</v>
      </c>
      <c r="M1937">
        <v>0</v>
      </c>
      <c r="N1937">
        <v>2400</v>
      </c>
    </row>
    <row r="1938" spans="1:14" x14ac:dyDescent="0.25">
      <c r="A1938">
        <v>1112.1812809999999</v>
      </c>
      <c r="B1938" s="1">
        <f>DATE(2013,5,17) + TIME(4,21,2)</f>
        <v>41411.181273148148</v>
      </c>
      <c r="C1938">
        <v>1339.6716309000001</v>
      </c>
      <c r="D1938">
        <v>1337.1629639</v>
      </c>
      <c r="E1938">
        <v>1326.9364014</v>
      </c>
      <c r="F1938">
        <v>1325.140625</v>
      </c>
      <c r="G1938">
        <v>80</v>
      </c>
      <c r="H1938">
        <v>79.976394653</v>
      </c>
      <c r="I1938">
        <v>50</v>
      </c>
      <c r="J1938">
        <v>49.121829986999998</v>
      </c>
      <c r="K1938">
        <v>2400</v>
      </c>
      <c r="L1938">
        <v>0</v>
      </c>
      <c r="M1938">
        <v>0</v>
      </c>
      <c r="N1938">
        <v>2400</v>
      </c>
    </row>
    <row r="1939" spans="1:14" x14ac:dyDescent="0.25">
      <c r="A1939">
        <v>1112.5886479999999</v>
      </c>
      <c r="B1939" s="1">
        <f>DATE(2013,5,17) + TIME(14,7,39)</f>
        <v>41411.588645833333</v>
      </c>
      <c r="C1939">
        <v>1339.6646728999999</v>
      </c>
      <c r="D1939">
        <v>1337.1612548999999</v>
      </c>
      <c r="E1939">
        <v>1326.9324951000001</v>
      </c>
      <c r="F1939">
        <v>1325.135376</v>
      </c>
      <c r="G1939">
        <v>80</v>
      </c>
      <c r="H1939">
        <v>79.976356506000002</v>
      </c>
      <c r="I1939">
        <v>50</v>
      </c>
      <c r="J1939">
        <v>49.104759215999998</v>
      </c>
      <c r="K1939">
        <v>2400</v>
      </c>
      <c r="L1939">
        <v>0</v>
      </c>
      <c r="M1939">
        <v>0</v>
      </c>
      <c r="N1939">
        <v>2400</v>
      </c>
    </row>
    <row r="1940" spans="1:14" x14ac:dyDescent="0.25">
      <c r="A1940">
        <v>1112.999579</v>
      </c>
      <c r="B1940" s="1">
        <f>DATE(2013,5,17) + TIME(23,59,23)</f>
        <v>41411.999571759261</v>
      </c>
      <c r="C1940">
        <v>1339.6578368999999</v>
      </c>
      <c r="D1940">
        <v>1337.1595459</v>
      </c>
      <c r="E1940">
        <v>1326.9285889</v>
      </c>
      <c r="F1940">
        <v>1325.1298827999999</v>
      </c>
      <c r="G1940">
        <v>80</v>
      </c>
      <c r="H1940">
        <v>79.976310729999994</v>
      </c>
      <c r="I1940">
        <v>50</v>
      </c>
      <c r="J1940">
        <v>49.08757782</v>
      </c>
      <c r="K1940">
        <v>2400</v>
      </c>
      <c r="L1940">
        <v>0</v>
      </c>
      <c r="M1940">
        <v>0</v>
      </c>
      <c r="N1940">
        <v>2400</v>
      </c>
    </row>
    <row r="1941" spans="1:14" x14ac:dyDescent="0.25">
      <c r="A1941">
        <v>1113.4151449999999</v>
      </c>
      <c r="B1941" s="1">
        <f>DATE(2013,5,18) + TIME(9,57,48)</f>
        <v>41412.415138888886</v>
      </c>
      <c r="C1941">
        <v>1339.651001</v>
      </c>
      <c r="D1941">
        <v>1337.1578368999999</v>
      </c>
      <c r="E1941">
        <v>1326.9244385</v>
      </c>
      <c r="F1941">
        <v>1325.1242675999999</v>
      </c>
      <c r="G1941">
        <v>80</v>
      </c>
      <c r="H1941">
        <v>79.976264954000001</v>
      </c>
      <c r="I1941">
        <v>50</v>
      </c>
      <c r="J1941">
        <v>49.070285796999997</v>
      </c>
      <c r="K1941">
        <v>2400</v>
      </c>
      <c r="L1941">
        <v>0</v>
      </c>
      <c r="M1941">
        <v>0</v>
      </c>
      <c r="N1941">
        <v>2400</v>
      </c>
    </row>
    <row r="1942" spans="1:14" x14ac:dyDescent="0.25">
      <c r="A1942">
        <v>1113.8364710000001</v>
      </c>
      <c r="B1942" s="1">
        <f>DATE(2013,5,18) + TIME(20,4,31)</f>
        <v>41412.836469907408</v>
      </c>
      <c r="C1942">
        <v>1339.6442870999999</v>
      </c>
      <c r="D1942">
        <v>1337.15625</v>
      </c>
      <c r="E1942">
        <v>1326.9202881000001</v>
      </c>
      <c r="F1942">
        <v>1325.1184082</v>
      </c>
      <c r="G1942">
        <v>80</v>
      </c>
      <c r="H1942">
        <v>79.976226807000003</v>
      </c>
      <c r="I1942">
        <v>50</v>
      </c>
      <c r="J1942">
        <v>49.052867888999998</v>
      </c>
      <c r="K1942">
        <v>2400</v>
      </c>
      <c r="L1942">
        <v>0</v>
      </c>
      <c r="M1942">
        <v>0</v>
      </c>
      <c r="N1942">
        <v>2400</v>
      </c>
    </row>
    <row r="1943" spans="1:14" x14ac:dyDescent="0.25">
      <c r="A1943">
        <v>1114.2644929999999</v>
      </c>
      <c r="B1943" s="1">
        <f>DATE(2013,5,19) + TIME(6,20,52)</f>
        <v>41413.264490740738</v>
      </c>
      <c r="C1943">
        <v>1339.6376952999999</v>
      </c>
      <c r="D1943">
        <v>1337.1546631000001</v>
      </c>
      <c r="E1943">
        <v>1326.9160156</v>
      </c>
      <c r="F1943">
        <v>1325.1125488</v>
      </c>
      <c r="G1943">
        <v>80</v>
      </c>
      <c r="H1943">
        <v>79.976181030000006</v>
      </c>
      <c r="I1943">
        <v>50</v>
      </c>
      <c r="J1943">
        <v>49.035301208</v>
      </c>
      <c r="K1943">
        <v>2400</v>
      </c>
      <c r="L1943">
        <v>0</v>
      </c>
      <c r="M1943">
        <v>0</v>
      </c>
      <c r="N1943">
        <v>2400</v>
      </c>
    </row>
    <row r="1944" spans="1:14" x14ac:dyDescent="0.25">
      <c r="A1944">
        <v>1114.700368</v>
      </c>
      <c r="B1944" s="1">
        <f>DATE(2013,5,19) + TIME(16,48,31)</f>
        <v>41413.700358796297</v>
      </c>
      <c r="C1944">
        <v>1339.6311035000001</v>
      </c>
      <c r="D1944">
        <v>1337.1530762</v>
      </c>
      <c r="E1944">
        <v>1326.9117432</v>
      </c>
      <c r="F1944">
        <v>1325.1064452999999</v>
      </c>
      <c r="G1944">
        <v>80</v>
      </c>
      <c r="H1944">
        <v>79.976142882999994</v>
      </c>
      <c r="I1944">
        <v>50</v>
      </c>
      <c r="J1944">
        <v>49.017555237000003</v>
      </c>
      <c r="K1944">
        <v>2400</v>
      </c>
      <c r="L1944">
        <v>0</v>
      </c>
      <c r="M1944">
        <v>0</v>
      </c>
      <c r="N1944">
        <v>2400</v>
      </c>
    </row>
    <row r="1945" spans="1:14" x14ac:dyDescent="0.25">
      <c r="A1945">
        <v>1115.1453349999999</v>
      </c>
      <c r="B1945" s="1">
        <f>DATE(2013,5,20) + TIME(3,29,16)</f>
        <v>41414.145324074074</v>
      </c>
      <c r="C1945">
        <v>1339.6245117000001</v>
      </c>
      <c r="D1945">
        <v>1337.1514893000001</v>
      </c>
      <c r="E1945">
        <v>1326.9072266000001</v>
      </c>
      <c r="F1945">
        <v>1325.1000977000001</v>
      </c>
      <c r="G1945">
        <v>80</v>
      </c>
      <c r="H1945">
        <v>79.976097107000001</v>
      </c>
      <c r="I1945">
        <v>50</v>
      </c>
      <c r="J1945">
        <v>48.999599457000002</v>
      </c>
      <c r="K1945">
        <v>2400</v>
      </c>
      <c r="L1945">
        <v>0</v>
      </c>
      <c r="M1945">
        <v>0</v>
      </c>
      <c r="N1945">
        <v>2400</v>
      </c>
    </row>
    <row r="1946" spans="1:14" x14ac:dyDescent="0.25">
      <c r="A1946">
        <v>1115.600868</v>
      </c>
      <c r="B1946" s="1">
        <f>DATE(2013,5,20) + TIME(14,25,14)</f>
        <v>41414.600856481484</v>
      </c>
      <c r="C1946">
        <v>1339.6180420000001</v>
      </c>
      <c r="D1946">
        <v>1337.1499022999999</v>
      </c>
      <c r="E1946">
        <v>1326.9025879000001</v>
      </c>
      <c r="F1946">
        <v>1325.0936279</v>
      </c>
      <c r="G1946">
        <v>80</v>
      </c>
      <c r="H1946">
        <v>79.976058960000003</v>
      </c>
      <c r="I1946">
        <v>50</v>
      </c>
      <c r="J1946">
        <v>48.981391907000003</v>
      </c>
      <c r="K1946">
        <v>2400</v>
      </c>
      <c r="L1946">
        <v>0</v>
      </c>
      <c r="M1946">
        <v>0</v>
      </c>
      <c r="N1946">
        <v>2400</v>
      </c>
    </row>
    <row r="1947" spans="1:14" x14ac:dyDescent="0.25">
      <c r="A1947">
        <v>1116.0684980000001</v>
      </c>
      <c r="B1947" s="1">
        <f>DATE(2013,5,21) + TIME(1,38,38)</f>
        <v>41415.068495370368</v>
      </c>
      <c r="C1947">
        <v>1339.6114502</v>
      </c>
      <c r="D1947">
        <v>1337.1483154</v>
      </c>
      <c r="E1947">
        <v>1326.8977050999999</v>
      </c>
      <c r="F1947">
        <v>1325.0869141000001</v>
      </c>
      <c r="G1947">
        <v>80</v>
      </c>
      <c r="H1947">
        <v>79.976013183999996</v>
      </c>
      <c r="I1947">
        <v>50</v>
      </c>
      <c r="J1947">
        <v>48.962879180999998</v>
      </c>
      <c r="K1947">
        <v>2400</v>
      </c>
      <c r="L1947">
        <v>0</v>
      </c>
      <c r="M1947">
        <v>0</v>
      </c>
      <c r="N1947">
        <v>2400</v>
      </c>
    </row>
    <row r="1948" spans="1:14" x14ac:dyDescent="0.25">
      <c r="A1948">
        <v>1116.5496350000001</v>
      </c>
      <c r="B1948" s="1">
        <f>DATE(2013,5,21) + TIME(13,11,28)</f>
        <v>41415.549629629626</v>
      </c>
      <c r="C1948">
        <v>1339.6048584</v>
      </c>
      <c r="D1948">
        <v>1337.1467285000001</v>
      </c>
      <c r="E1948">
        <v>1326.8928223</v>
      </c>
      <c r="F1948">
        <v>1325.0799560999999</v>
      </c>
      <c r="G1948">
        <v>80</v>
      </c>
      <c r="H1948">
        <v>79.975967406999999</v>
      </c>
      <c r="I1948">
        <v>50</v>
      </c>
      <c r="J1948">
        <v>48.944026946999998</v>
      </c>
      <c r="K1948">
        <v>2400</v>
      </c>
      <c r="L1948">
        <v>0</v>
      </c>
      <c r="M1948">
        <v>0</v>
      </c>
      <c r="N1948">
        <v>2400</v>
      </c>
    </row>
    <row r="1949" spans="1:14" x14ac:dyDescent="0.25">
      <c r="A1949">
        <v>1117.035106</v>
      </c>
      <c r="B1949" s="1">
        <f>DATE(2013,5,22) + TIME(0,50,33)</f>
        <v>41416.035104166665</v>
      </c>
      <c r="C1949">
        <v>1339.5982666</v>
      </c>
      <c r="D1949">
        <v>1337.1452637</v>
      </c>
      <c r="E1949">
        <v>1326.8875731999999</v>
      </c>
      <c r="F1949">
        <v>1325.0727539</v>
      </c>
      <c r="G1949">
        <v>80</v>
      </c>
      <c r="H1949">
        <v>79.975929260000001</v>
      </c>
      <c r="I1949">
        <v>50</v>
      </c>
      <c r="J1949">
        <v>48.925052643000001</v>
      </c>
      <c r="K1949">
        <v>2400</v>
      </c>
      <c r="L1949">
        <v>0</v>
      </c>
      <c r="M1949">
        <v>0</v>
      </c>
      <c r="N1949">
        <v>2400</v>
      </c>
    </row>
    <row r="1950" spans="1:14" x14ac:dyDescent="0.25">
      <c r="A1950">
        <v>1117.526566</v>
      </c>
      <c r="B1950" s="1">
        <f>DATE(2013,5,22) + TIME(12,38,15)</f>
        <v>41416.526562500003</v>
      </c>
      <c r="C1950">
        <v>1339.5917969</v>
      </c>
      <c r="D1950">
        <v>1337.1436768000001</v>
      </c>
      <c r="E1950">
        <v>1326.8823242000001</v>
      </c>
      <c r="F1950">
        <v>1325.0654297000001</v>
      </c>
      <c r="G1950">
        <v>80</v>
      </c>
      <c r="H1950">
        <v>79.975883483999993</v>
      </c>
      <c r="I1950">
        <v>50</v>
      </c>
      <c r="J1950">
        <v>48.905948639000002</v>
      </c>
      <c r="K1950">
        <v>2400</v>
      </c>
      <c r="L1950">
        <v>0</v>
      </c>
      <c r="M1950">
        <v>0</v>
      </c>
      <c r="N1950">
        <v>2400</v>
      </c>
    </row>
    <row r="1951" spans="1:14" x14ac:dyDescent="0.25">
      <c r="A1951">
        <v>1118.025519</v>
      </c>
      <c r="B1951" s="1">
        <f>DATE(2013,5,23) + TIME(0,36,44)</f>
        <v>41417.025509259256</v>
      </c>
      <c r="C1951">
        <v>1339.5853271000001</v>
      </c>
      <c r="D1951">
        <v>1337.1422118999999</v>
      </c>
      <c r="E1951">
        <v>1326.8769531</v>
      </c>
      <c r="F1951">
        <v>1325.0578613</v>
      </c>
      <c r="G1951">
        <v>80</v>
      </c>
      <c r="H1951">
        <v>79.975845336999996</v>
      </c>
      <c r="I1951">
        <v>50</v>
      </c>
      <c r="J1951">
        <v>48.886699677000003</v>
      </c>
      <c r="K1951">
        <v>2400</v>
      </c>
      <c r="L1951">
        <v>0</v>
      </c>
      <c r="M1951">
        <v>0</v>
      </c>
      <c r="N1951">
        <v>2400</v>
      </c>
    </row>
    <row r="1952" spans="1:14" x14ac:dyDescent="0.25">
      <c r="A1952">
        <v>1118.533799</v>
      </c>
      <c r="B1952" s="1">
        <f>DATE(2013,5,23) + TIME(12,48,40)</f>
        <v>41417.533796296295</v>
      </c>
      <c r="C1952">
        <v>1339.5789795000001</v>
      </c>
      <c r="D1952">
        <v>1337.140625</v>
      </c>
      <c r="E1952">
        <v>1326.8714600000001</v>
      </c>
      <c r="F1952">
        <v>1325.0500488</v>
      </c>
      <c r="G1952">
        <v>80</v>
      </c>
      <c r="H1952">
        <v>79.975807189999998</v>
      </c>
      <c r="I1952">
        <v>50</v>
      </c>
      <c r="J1952">
        <v>48.867263794000003</v>
      </c>
      <c r="K1952">
        <v>2400</v>
      </c>
      <c r="L1952">
        <v>0</v>
      </c>
      <c r="M1952">
        <v>0</v>
      </c>
      <c r="N1952">
        <v>2400</v>
      </c>
    </row>
    <row r="1953" spans="1:14" x14ac:dyDescent="0.25">
      <c r="A1953">
        <v>1119.0534259999999</v>
      </c>
      <c r="B1953" s="1">
        <f>DATE(2013,5,24) + TIME(1,16,56)</f>
        <v>41418.053425925929</v>
      </c>
      <c r="C1953">
        <v>1339.5725098</v>
      </c>
      <c r="D1953">
        <v>1337.1391602000001</v>
      </c>
      <c r="E1953">
        <v>1326.8658447</v>
      </c>
      <c r="F1953">
        <v>1325.0421143000001</v>
      </c>
      <c r="G1953">
        <v>80</v>
      </c>
      <c r="H1953">
        <v>79.975761414000004</v>
      </c>
      <c r="I1953">
        <v>50</v>
      </c>
      <c r="J1953">
        <v>48.847591399999999</v>
      </c>
      <c r="K1953">
        <v>2400</v>
      </c>
      <c r="L1953">
        <v>0</v>
      </c>
      <c r="M1953">
        <v>0</v>
      </c>
      <c r="N1953">
        <v>2400</v>
      </c>
    </row>
    <row r="1954" spans="1:14" x14ac:dyDescent="0.25">
      <c r="A1954">
        <v>1119.5920060000001</v>
      </c>
      <c r="B1954" s="1">
        <f>DATE(2013,5,24) + TIME(14,12,29)</f>
        <v>41418.592002314814</v>
      </c>
      <c r="C1954">
        <v>1339.5661620999999</v>
      </c>
      <c r="D1954">
        <v>1337.1375731999999</v>
      </c>
      <c r="E1954">
        <v>1326.8599853999999</v>
      </c>
      <c r="F1954">
        <v>1325.0338135</v>
      </c>
      <c r="G1954">
        <v>80</v>
      </c>
      <c r="H1954">
        <v>79.975723267000006</v>
      </c>
      <c r="I1954">
        <v>50</v>
      </c>
      <c r="J1954">
        <v>48.827495575</v>
      </c>
      <c r="K1954">
        <v>2400</v>
      </c>
      <c r="L1954">
        <v>0</v>
      </c>
      <c r="M1954">
        <v>0</v>
      </c>
      <c r="N1954">
        <v>2400</v>
      </c>
    </row>
    <row r="1955" spans="1:14" x14ac:dyDescent="0.25">
      <c r="A1955">
        <v>1120.1525999999999</v>
      </c>
      <c r="B1955" s="1">
        <f>DATE(2013,5,25) + TIME(3,39,44)</f>
        <v>41419.152592592596</v>
      </c>
      <c r="C1955">
        <v>1339.5596923999999</v>
      </c>
      <c r="D1955">
        <v>1337.1361084</v>
      </c>
      <c r="E1955">
        <v>1326.8538818</v>
      </c>
      <c r="F1955">
        <v>1325.0251464999999</v>
      </c>
      <c r="G1955">
        <v>80</v>
      </c>
      <c r="H1955">
        <v>79.975677489999995</v>
      </c>
      <c r="I1955">
        <v>50</v>
      </c>
      <c r="J1955">
        <v>48.806869507000002</v>
      </c>
      <c r="K1955">
        <v>2400</v>
      </c>
      <c r="L1955">
        <v>0</v>
      </c>
      <c r="M1955">
        <v>0</v>
      </c>
      <c r="N1955">
        <v>2400</v>
      </c>
    </row>
    <row r="1956" spans="1:14" x14ac:dyDescent="0.25">
      <c r="A1956">
        <v>1120.7390109999999</v>
      </c>
      <c r="B1956" s="1">
        <f>DATE(2013,5,25) + TIME(17,44,10)</f>
        <v>41419.739004629628</v>
      </c>
      <c r="C1956">
        <v>1339.5529785000001</v>
      </c>
      <c r="D1956">
        <v>1337.1345214999999</v>
      </c>
      <c r="E1956">
        <v>1326.8475341999999</v>
      </c>
      <c r="F1956">
        <v>1325.0161132999999</v>
      </c>
      <c r="G1956">
        <v>80</v>
      </c>
      <c r="H1956">
        <v>79.975639342999997</v>
      </c>
      <c r="I1956">
        <v>50</v>
      </c>
      <c r="J1956">
        <v>48.785598755000002</v>
      </c>
      <c r="K1956">
        <v>2400</v>
      </c>
      <c r="L1956">
        <v>0</v>
      </c>
      <c r="M1956">
        <v>0</v>
      </c>
      <c r="N1956">
        <v>2400</v>
      </c>
    </row>
    <row r="1957" spans="1:14" x14ac:dyDescent="0.25">
      <c r="A1957">
        <v>1121.331735</v>
      </c>
      <c r="B1957" s="1">
        <f>DATE(2013,5,26) + TIME(7,57,41)</f>
        <v>41420.331724537034</v>
      </c>
      <c r="C1957">
        <v>1339.5462646000001</v>
      </c>
      <c r="D1957">
        <v>1337.1328125</v>
      </c>
      <c r="E1957">
        <v>1326.8408202999999</v>
      </c>
      <c r="F1957">
        <v>1325.0067139</v>
      </c>
      <c r="G1957">
        <v>80</v>
      </c>
      <c r="H1957">
        <v>79.975593567000004</v>
      </c>
      <c r="I1957">
        <v>50</v>
      </c>
      <c r="J1957">
        <v>48.764068604000002</v>
      </c>
      <c r="K1957">
        <v>2400</v>
      </c>
      <c r="L1957">
        <v>0</v>
      </c>
      <c r="M1957">
        <v>0</v>
      </c>
      <c r="N1957">
        <v>2400</v>
      </c>
    </row>
    <row r="1958" spans="1:14" x14ac:dyDescent="0.25">
      <c r="A1958">
        <v>1121.9286930000001</v>
      </c>
      <c r="B1958" s="1">
        <f>DATE(2013,5,26) + TIME(22,17,19)</f>
        <v>41420.92869212963</v>
      </c>
      <c r="C1958">
        <v>1339.5395507999999</v>
      </c>
      <c r="D1958">
        <v>1337.1312256000001</v>
      </c>
      <c r="E1958">
        <v>1326.8339844</v>
      </c>
      <c r="F1958">
        <v>1324.9969481999999</v>
      </c>
      <c r="G1958">
        <v>80</v>
      </c>
      <c r="H1958">
        <v>79.975555420000006</v>
      </c>
      <c r="I1958">
        <v>50</v>
      </c>
      <c r="J1958">
        <v>48.742412567000002</v>
      </c>
      <c r="K1958">
        <v>2400</v>
      </c>
      <c r="L1958">
        <v>0</v>
      </c>
      <c r="M1958">
        <v>0</v>
      </c>
      <c r="N1958">
        <v>2400</v>
      </c>
    </row>
    <row r="1959" spans="1:14" x14ac:dyDescent="0.25">
      <c r="A1959">
        <v>1122.5321590000001</v>
      </c>
      <c r="B1959" s="1">
        <f>DATE(2013,5,27) + TIME(12,46,18)</f>
        <v>41421.532152777778</v>
      </c>
      <c r="C1959">
        <v>1339.5325928</v>
      </c>
      <c r="D1959">
        <v>1337.1293945</v>
      </c>
      <c r="E1959">
        <v>1326.8270264</v>
      </c>
      <c r="F1959">
        <v>1324.9870605000001</v>
      </c>
      <c r="G1959">
        <v>80</v>
      </c>
      <c r="H1959">
        <v>79.975509643999999</v>
      </c>
      <c r="I1959">
        <v>50</v>
      </c>
      <c r="J1959">
        <v>48.720645904999998</v>
      </c>
      <c r="K1959">
        <v>2400</v>
      </c>
      <c r="L1959">
        <v>0</v>
      </c>
      <c r="M1959">
        <v>0</v>
      </c>
      <c r="N1959">
        <v>2400</v>
      </c>
    </row>
    <row r="1960" spans="1:14" x14ac:dyDescent="0.25">
      <c r="A1960">
        <v>1123.144593</v>
      </c>
      <c r="B1960" s="1">
        <f>DATE(2013,5,28) + TIME(3,28,12)</f>
        <v>41422.144583333335</v>
      </c>
      <c r="C1960">
        <v>1339.5256348</v>
      </c>
      <c r="D1960">
        <v>1337.1275635</v>
      </c>
      <c r="E1960">
        <v>1326.8199463000001</v>
      </c>
      <c r="F1960">
        <v>1324.9769286999999</v>
      </c>
      <c r="G1960">
        <v>80</v>
      </c>
      <c r="H1960">
        <v>79.975463867000002</v>
      </c>
      <c r="I1960">
        <v>50</v>
      </c>
      <c r="J1960">
        <v>48.698749542000002</v>
      </c>
      <c r="K1960">
        <v>2400</v>
      </c>
      <c r="L1960">
        <v>0</v>
      </c>
      <c r="M1960">
        <v>0</v>
      </c>
      <c r="N1960">
        <v>2400</v>
      </c>
    </row>
    <row r="1961" spans="1:14" x14ac:dyDescent="0.25">
      <c r="A1961">
        <v>1123.767634</v>
      </c>
      <c r="B1961" s="1">
        <f>DATE(2013,5,28) + TIME(18,25,23)</f>
        <v>41422.767627314817</v>
      </c>
      <c r="C1961">
        <v>1339.5187988</v>
      </c>
      <c r="D1961">
        <v>1337.1257324000001</v>
      </c>
      <c r="E1961">
        <v>1326.8126221</v>
      </c>
      <c r="F1961">
        <v>1324.9666748</v>
      </c>
      <c r="G1961">
        <v>80</v>
      </c>
      <c r="H1961">
        <v>79.975425720000004</v>
      </c>
      <c r="I1961">
        <v>50</v>
      </c>
      <c r="J1961">
        <v>48.676689148000001</v>
      </c>
      <c r="K1961">
        <v>2400</v>
      </c>
      <c r="L1961">
        <v>0</v>
      </c>
      <c r="M1961">
        <v>0</v>
      </c>
      <c r="N1961">
        <v>2400</v>
      </c>
    </row>
    <row r="1962" spans="1:14" x14ac:dyDescent="0.25">
      <c r="A1962">
        <v>1124.396665</v>
      </c>
      <c r="B1962" s="1">
        <f>DATE(2013,5,29) + TIME(9,31,11)</f>
        <v>41423.396655092591</v>
      </c>
      <c r="C1962">
        <v>1339.5120850000001</v>
      </c>
      <c r="D1962">
        <v>1337.1239014</v>
      </c>
      <c r="E1962">
        <v>1326.8052978999999</v>
      </c>
      <c r="F1962">
        <v>1324.9560547000001</v>
      </c>
      <c r="G1962">
        <v>80</v>
      </c>
      <c r="H1962">
        <v>79.975387573000006</v>
      </c>
      <c r="I1962">
        <v>50</v>
      </c>
      <c r="J1962">
        <v>48.654560089</v>
      </c>
      <c r="K1962">
        <v>2400</v>
      </c>
      <c r="L1962">
        <v>0</v>
      </c>
      <c r="M1962">
        <v>0</v>
      </c>
      <c r="N1962">
        <v>2400</v>
      </c>
    </row>
    <row r="1963" spans="1:14" x14ac:dyDescent="0.25">
      <c r="A1963">
        <v>1125.0337030000001</v>
      </c>
      <c r="B1963" s="1">
        <f>DATE(2013,5,30) + TIME(0,48,31)</f>
        <v>41424.033692129633</v>
      </c>
      <c r="C1963">
        <v>1339.5053711</v>
      </c>
      <c r="D1963">
        <v>1337.1221923999999</v>
      </c>
      <c r="E1963">
        <v>1326.7977295000001</v>
      </c>
      <c r="F1963">
        <v>1324.9453125</v>
      </c>
      <c r="G1963">
        <v>80</v>
      </c>
      <c r="H1963">
        <v>79.975341796999999</v>
      </c>
      <c r="I1963">
        <v>50</v>
      </c>
      <c r="J1963">
        <v>48.632343292000002</v>
      </c>
      <c r="K1963">
        <v>2400</v>
      </c>
      <c r="L1963">
        <v>0</v>
      </c>
      <c r="M1963">
        <v>0</v>
      </c>
      <c r="N1963">
        <v>2400</v>
      </c>
    </row>
    <row r="1964" spans="1:14" x14ac:dyDescent="0.25">
      <c r="A1964">
        <v>1125.681621</v>
      </c>
      <c r="B1964" s="1">
        <f>DATE(2013,5,30) + TIME(16,21,32)</f>
        <v>41424.681620370371</v>
      </c>
      <c r="C1964">
        <v>1339.4987793</v>
      </c>
      <c r="D1964">
        <v>1337.1203613</v>
      </c>
      <c r="E1964">
        <v>1326.7900391000001</v>
      </c>
      <c r="F1964">
        <v>1324.9342041</v>
      </c>
      <c r="G1964">
        <v>80</v>
      </c>
      <c r="H1964">
        <v>79.975303650000001</v>
      </c>
      <c r="I1964">
        <v>50</v>
      </c>
      <c r="J1964">
        <v>48.609992980999998</v>
      </c>
      <c r="K1964">
        <v>2400</v>
      </c>
      <c r="L1964">
        <v>0</v>
      </c>
      <c r="M1964">
        <v>0</v>
      </c>
      <c r="N1964">
        <v>2400</v>
      </c>
    </row>
    <row r="1965" spans="1:14" x14ac:dyDescent="0.25">
      <c r="A1965">
        <v>1126.3424849999999</v>
      </c>
      <c r="B1965" s="1">
        <f>DATE(2013,5,31) + TIME(8,13,10)</f>
        <v>41425.342476851853</v>
      </c>
      <c r="C1965">
        <v>1339.4921875</v>
      </c>
      <c r="D1965">
        <v>1337.1186522999999</v>
      </c>
      <c r="E1965">
        <v>1326.7821045000001</v>
      </c>
      <c r="F1965">
        <v>1324.9229736</v>
      </c>
      <c r="G1965">
        <v>80</v>
      </c>
      <c r="H1965">
        <v>79.975265503000003</v>
      </c>
      <c r="I1965">
        <v>50</v>
      </c>
      <c r="J1965">
        <v>48.587448119999998</v>
      </c>
      <c r="K1965">
        <v>2400</v>
      </c>
      <c r="L1965">
        <v>0</v>
      </c>
      <c r="M1965">
        <v>0</v>
      </c>
      <c r="N1965">
        <v>2400</v>
      </c>
    </row>
    <row r="1966" spans="1:14" x14ac:dyDescent="0.25">
      <c r="A1966">
        <v>1127</v>
      </c>
      <c r="B1966" s="1">
        <f>DATE(2013,6,1) + TIME(0,0,0)</f>
        <v>41426</v>
      </c>
      <c r="C1966">
        <v>1339.4855957</v>
      </c>
      <c r="D1966">
        <v>1337.1169434000001</v>
      </c>
      <c r="E1966">
        <v>1326.7740478999999</v>
      </c>
      <c r="F1966">
        <v>1324.911499</v>
      </c>
      <c r="G1966">
        <v>80</v>
      </c>
      <c r="H1966">
        <v>79.975219726999995</v>
      </c>
      <c r="I1966">
        <v>50</v>
      </c>
      <c r="J1966">
        <v>48.565017699999999</v>
      </c>
      <c r="K1966">
        <v>2400</v>
      </c>
      <c r="L1966">
        <v>0</v>
      </c>
      <c r="M1966">
        <v>0</v>
      </c>
      <c r="N1966">
        <v>2400</v>
      </c>
    </row>
    <row r="1967" spans="1:14" x14ac:dyDescent="0.25">
      <c r="A1967">
        <v>1127.676089</v>
      </c>
      <c r="B1967" s="1">
        <f>DATE(2013,6,1) + TIME(16,13,34)</f>
        <v>41426.676087962966</v>
      </c>
      <c r="C1967">
        <v>1339.4792480000001</v>
      </c>
      <c r="D1967">
        <v>1337.1152344</v>
      </c>
      <c r="E1967">
        <v>1326.7659911999999</v>
      </c>
      <c r="F1967">
        <v>1324.8997803</v>
      </c>
      <c r="G1967">
        <v>80</v>
      </c>
      <c r="H1967">
        <v>79.975181579999997</v>
      </c>
      <c r="I1967">
        <v>50</v>
      </c>
      <c r="J1967">
        <v>48.542362212999997</v>
      </c>
      <c r="K1967">
        <v>2400</v>
      </c>
      <c r="L1967">
        <v>0</v>
      </c>
      <c r="M1967">
        <v>0</v>
      </c>
      <c r="N1967">
        <v>2400</v>
      </c>
    </row>
    <row r="1968" spans="1:14" x14ac:dyDescent="0.25">
      <c r="A1968">
        <v>1128.3897440000001</v>
      </c>
      <c r="B1968" s="1">
        <f>DATE(2013,6,2) + TIME(9,21,13)</f>
        <v>41427.389733796299</v>
      </c>
      <c r="C1968">
        <v>1339.4729004000001</v>
      </c>
      <c r="D1968">
        <v>1337.1135254000001</v>
      </c>
      <c r="E1968">
        <v>1326.7575684000001</v>
      </c>
      <c r="F1968">
        <v>1324.8878173999999</v>
      </c>
      <c r="G1968">
        <v>80</v>
      </c>
      <c r="H1968">
        <v>79.975143433</v>
      </c>
      <c r="I1968">
        <v>50</v>
      </c>
      <c r="J1968">
        <v>48.519062042000002</v>
      </c>
      <c r="K1968">
        <v>2400</v>
      </c>
      <c r="L1968">
        <v>0</v>
      </c>
      <c r="M1968">
        <v>0</v>
      </c>
      <c r="N1968">
        <v>2400</v>
      </c>
    </row>
    <row r="1969" spans="1:14" x14ac:dyDescent="0.25">
      <c r="A1969">
        <v>1129.1341190000001</v>
      </c>
      <c r="B1969" s="1">
        <f>DATE(2013,6,3) + TIME(3,13,7)</f>
        <v>41428.134108796294</v>
      </c>
      <c r="C1969">
        <v>1339.4664307</v>
      </c>
      <c r="D1969">
        <v>1337.1118164</v>
      </c>
      <c r="E1969">
        <v>1326.7487793</v>
      </c>
      <c r="F1969">
        <v>1324.8751221</v>
      </c>
      <c r="G1969">
        <v>80</v>
      </c>
      <c r="H1969">
        <v>79.975105286000002</v>
      </c>
      <c r="I1969">
        <v>50</v>
      </c>
      <c r="J1969">
        <v>48.495094299000002</v>
      </c>
      <c r="K1969">
        <v>2400</v>
      </c>
      <c r="L1969">
        <v>0</v>
      </c>
      <c r="M1969">
        <v>0</v>
      </c>
      <c r="N1969">
        <v>2400</v>
      </c>
    </row>
    <row r="1970" spans="1:14" x14ac:dyDescent="0.25">
      <c r="A1970">
        <v>1129.8951649999999</v>
      </c>
      <c r="B1970" s="1">
        <f>DATE(2013,6,3) + TIME(21,29,2)</f>
        <v>41428.895162037035</v>
      </c>
      <c r="C1970">
        <v>1339.4597168</v>
      </c>
      <c r="D1970">
        <v>1337.1099853999999</v>
      </c>
      <c r="E1970">
        <v>1326.739624</v>
      </c>
      <c r="F1970">
        <v>1324.8619385</v>
      </c>
      <c r="G1970">
        <v>80</v>
      </c>
      <c r="H1970">
        <v>79.975067139000004</v>
      </c>
      <c r="I1970">
        <v>50</v>
      </c>
      <c r="J1970">
        <v>48.470657349</v>
      </c>
      <c r="K1970">
        <v>2400</v>
      </c>
      <c r="L1970">
        <v>0</v>
      </c>
      <c r="M1970">
        <v>0</v>
      </c>
      <c r="N1970">
        <v>2400</v>
      </c>
    </row>
    <row r="1971" spans="1:14" x14ac:dyDescent="0.25">
      <c r="A1971">
        <v>1130.6729310000001</v>
      </c>
      <c r="B1971" s="1">
        <f>DATE(2013,6,4) + TIME(16,9,1)</f>
        <v>41429.67292824074</v>
      </c>
      <c r="C1971">
        <v>1339.4530029</v>
      </c>
      <c r="D1971">
        <v>1337.1081543</v>
      </c>
      <c r="E1971">
        <v>1326.7301024999999</v>
      </c>
      <c r="F1971">
        <v>1324.8482666</v>
      </c>
      <c r="G1971">
        <v>80</v>
      </c>
      <c r="H1971">
        <v>79.975028992000006</v>
      </c>
      <c r="I1971">
        <v>50</v>
      </c>
      <c r="J1971">
        <v>48.445838928000001</v>
      </c>
      <c r="K1971">
        <v>2400</v>
      </c>
      <c r="L1971">
        <v>0</v>
      </c>
      <c r="M1971">
        <v>0</v>
      </c>
      <c r="N1971">
        <v>2400</v>
      </c>
    </row>
    <row r="1972" spans="1:14" x14ac:dyDescent="0.25">
      <c r="A1972">
        <v>1131.4761109999999</v>
      </c>
      <c r="B1972" s="1">
        <f>DATE(2013,6,5) + TIME(11,25,35)</f>
        <v>41430.476099537038</v>
      </c>
      <c r="C1972">
        <v>1339.4464111</v>
      </c>
      <c r="D1972">
        <v>1337.1063231999999</v>
      </c>
      <c r="E1972">
        <v>1326.7203368999999</v>
      </c>
      <c r="F1972">
        <v>1324.8342285000001</v>
      </c>
      <c r="G1972">
        <v>80</v>
      </c>
      <c r="H1972">
        <v>79.974990844999994</v>
      </c>
      <c r="I1972">
        <v>50</v>
      </c>
      <c r="J1972">
        <v>48.420536040999998</v>
      </c>
      <c r="K1972">
        <v>2400</v>
      </c>
      <c r="L1972">
        <v>0</v>
      </c>
      <c r="M1972">
        <v>0</v>
      </c>
      <c r="N1972">
        <v>2400</v>
      </c>
    </row>
    <row r="1973" spans="1:14" x14ac:dyDescent="0.25">
      <c r="A1973">
        <v>1132.284283</v>
      </c>
      <c r="B1973" s="1">
        <f>DATE(2013,6,6) + TIME(6,49,22)</f>
        <v>41431.284282407411</v>
      </c>
      <c r="C1973">
        <v>1339.4396973</v>
      </c>
      <c r="D1973">
        <v>1337.1044922000001</v>
      </c>
      <c r="E1973">
        <v>1326.7103271000001</v>
      </c>
      <c r="F1973">
        <v>1324.8197021000001</v>
      </c>
      <c r="G1973">
        <v>80</v>
      </c>
      <c r="H1973">
        <v>79.974952697999996</v>
      </c>
      <c r="I1973">
        <v>50</v>
      </c>
      <c r="J1973">
        <v>48.395061493</v>
      </c>
      <c r="K1973">
        <v>2400</v>
      </c>
      <c r="L1973">
        <v>0</v>
      </c>
      <c r="M1973">
        <v>0</v>
      </c>
      <c r="N1973">
        <v>2400</v>
      </c>
    </row>
    <row r="1974" spans="1:14" x14ac:dyDescent="0.25">
      <c r="A1974">
        <v>1133.101388</v>
      </c>
      <c r="B1974" s="1">
        <f>DATE(2013,6,7) + TIME(2,25,59)</f>
        <v>41432.101377314815</v>
      </c>
      <c r="C1974">
        <v>1339.4331055</v>
      </c>
      <c r="D1974">
        <v>1337.1026611</v>
      </c>
      <c r="E1974">
        <v>1326.7000731999999</v>
      </c>
      <c r="F1974">
        <v>1324.8049315999999</v>
      </c>
      <c r="G1974">
        <v>80</v>
      </c>
      <c r="H1974">
        <v>79.974914550999998</v>
      </c>
      <c r="I1974">
        <v>50</v>
      </c>
      <c r="J1974">
        <v>48.369480133000003</v>
      </c>
      <c r="K1974">
        <v>2400</v>
      </c>
      <c r="L1974">
        <v>0</v>
      </c>
      <c r="M1974">
        <v>0</v>
      </c>
      <c r="N1974">
        <v>2400</v>
      </c>
    </row>
    <row r="1975" spans="1:14" x14ac:dyDescent="0.25">
      <c r="A1975">
        <v>1133.9310390000001</v>
      </c>
      <c r="B1975" s="1">
        <f>DATE(2013,6,7) + TIME(22,20,41)</f>
        <v>41432.931030092594</v>
      </c>
      <c r="C1975">
        <v>1339.4266356999999</v>
      </c>
      <c r="D1975">
        <v>1337.1009521000001</v>
      </c>
      <c r="E1975">
        <v>1326.6898193</v>
      </c>
      <c r="F1975">
        <v>1324.7899170000001</v>
      </c>
      <c r="G1975">
        <v>80</v>
      </c>
      <c r="H1975">
        <v>79.974876404</v>
      </c>
      <c r="I1975">
        <v>50</v>
      </c>
      <c r="J1975">
        <v>48.343784331999998</v>
      </c>
      <c r="K1975">
        <v>2400</v>
      </c>
      <c r="L1975">
        <v>0</v>
      </c>
      <c r="M1975">
        <v>0</v>
      </c>
      <c r="N1975">
        <v>2400</v>
      </c>
    </row>
    <row r="1976" spans="1:14" x14ac:dyDescent="0.25">
      <c r="A1976">
        <v>1134.7770599999999</v>
      </c>
      <c r="B1976" s="1">
        <f>DATE(2013,6,8) + TIME(18,38,57)</f>
        <v>41433.777048611111</v>
      </c>
      <c r="C1976">
        <v>1339.4201660000001</v>
      </c>
      <c r="D1976">
        <v>1337.0991211</v>
      </c>
      <c r="E1976">
        <v>1326.6791992000001</v>
      </c>
      <c r="F1976">
        <v>1324.7746582</v>
      </c>
      <c r="G1976">
        <v>80</v>
      </c>
      <c r="H1976">
        <v>79.974838257000002</v>
      </c>
      <c r="I1976">
        <v>50</v>
      </c>
      <c r="J1976">
        <v>48.317909241000002</v>
      </c>
      <c r="K1976">
        <v>2400</v>
      </c>
      <c r="L1976">
        <v>0</v>
      </c>
      <c r="M1976">
        <v>0</v>
      </c>
      <c r="N1976">
        <v>2400</v>
      </c>
    </row>
    <row r="1977" spans="1:14" x14ac:dyDescent="0.25">
      <c r="A1977">
        <v>1135.6434839999999</v>
      </c>
      <c r="B1977" s="1">
        <f>DATE(2013,6,9) + TIME(15,26,37)</f>
        <v>41434.643483796295</v>
      </c>
      <c r="C1977">
        <v>1339.4138184000001</v>
      </c>
      <c r="D1977">
        <v>1337.0972899999999</v>
      </c>
      <c r="E1977">
        <v>1326.668457</v>
      </c>
      <c r="F1977">
        <v>1324.7590332</v>
      </c>
      <c r="G1977">
        <v>80</v>
      </c>
      <c r="H1977">
        <v>79.974800110000004</v>
      </c>
      <c r="I1977">
        <v>50</v>
      </c>
      <c r="J1977">
        <v>48.291774750000002</v>
      </c>
      <c r="K1977">
        <v>2400</v>
      </c>
      <c r="L1977">
        <v>0</v>
      </c>
      <c r="M1977">
        <v>0</v>
      </c>
      <c r="N1977">
        <v>2400</v>
      </c>
    </row>
    <row r="1978" spans="1:14" x14ac:dyDescent="0.25">
      <c r="A1978">
        <v>1136.53467</v>
      </c>
      <c r="B1978" s="1">
        <f>DATE(2013,6,10) + TIME(12,49,55)</f>
        <v>41435.53466435185</v>
      </c>
      <c r="C1978">
        <v>1339.4073486</v>
      </c>
      <c r="D1978">
        <v>1337.0954589999999</v>
      </c>
      <c r="E1978">
        <v>1326.6573486</v>
      </c>
      <c r="F1978">
        <v>1324.7429199000001</v>
      </c>
      <c r="G1978">
        <v>80</v>
      </c>
      <c r="H1978">
        <v>79.974769592000001</v>
      </c>
      <c r="I1978">
        <v>50</v>
      </c>
      <c r="J1978">
        <v>48.265277863000001</v>
      </c>
      <c r="K1978">
        <v>2400</v>
      </c>
      <c r="L1978">
        <v>0</v>
      </c>
      <c r="M1978">
        <v>0</v>
      </c>
      <c r="N1978">
        <v>2400</v>
      </c>
    </row>
    <row r="1979" spans="1:14" x14ac:dyDescent="0.25">
      <c r="A1979">
        <v>1137.456764</v>
      </c>
      <c r="B1979" s="1">
        <f>DATE(2013,6,11) + TIME(10,57,44)</f>
        <v>41436.456759259258</v>
      </c>
      <c r="C1979">
        <v>1339.4008789</v>
      </c>
      <c r="D1979">
        <v>1337.0936279</v>
      </c>
      <c r="E1979">
        <v>1326.6459961</v>
      </c>
      <c r="F1979">
        <v>1324.7264404</v>
      </c>
      <c r="G1979">
        <v>80</v>
      </c>
      <c r="H1979">
        <v>79.974731445000003</v>
      </c>
      <c r="I1979">
        <v>50</v>
      </c>
      <c r="J1979">
        <v>48.238292694000002</v>
      </c>
      <c r="K1979">
        <v>2400</v>
      </c>
      <c r="L1979">
        <v>0</v>
      </c>
      <c r="M1979">
        <v>0</v>
      </c>
      <c r="N1979">
        <v>2400</v>
      </c>
    </row>
    <row r="1980" spans="1:14" x14ac:dyDescent="0.25">
      <c r="A1980">
        <v>1138.407972</v>
      </c>
      <c r="B1980" s="1">
        <f>DATE(2013,6,12) + TIME(9,47,28)</f>
        <v>41437.407962962963</v>
      </c>
      <c r="C1980">
        <v>1339.3944091999999</v>
      </c>
      <c r="D1980">
        <v>1337.0917969</v>
      </c>
      <c r="E1980">
        <v>1326.6341553</v>
      </c>
      <c r="F1980">
        <v>1324.7092285000001</v>
      </c>
      <c r="G1980">
        <v>80</v>
      </c>
      <c r="H1980">
        <v>79.974693298000005</v>
      </c>
      <c r="I1980">
        <v>50</v>
      </c>
      <c r="J1980">
        <v>48.210784912000001</v>
      </c>
      <c r="K1980">
        <v>2400</v>
      </c>
      <c r="L1980">
        <v>0</v>
      </c>
      <c r="M1980">
        <v>0</v>
      </c>
      <c r="N1980">
        <v>2400</v>
      </c>
    </row>
    <row r="1981" spans="1:14" x14ac:dyDescent="0.25">
      <c r="A1981">
        <v>1139.3753879999999</v>
      </c>
      <c r="B1981" s="1">
        <f>DATE(2013,6,13) + TIME(9,0,33)</f>
        <v>41438.375381944446</v>
      </c>
      <c r="C1981">
        <v>1339.3878173999999</v>
      </c>
      <c r="D1981">
        <v>1337.0898437999999</v>
      </c>
      <c r="E1981">
        <v>1326.6220702999999</v>
      </c>
      <c r="F1981">
        <v>1324.6916504000001</v>
      </c>
      <c r="G1981">
        <v>80</v>
      </c>
      <c r="H1981">
        <v>79.974662781000006</v>
      </c>
      <c r="I1981">
        <v>50</v>
      </c>
      <c r="J1981">
        <v>48.182926178000002</v>
      </c>
      <c r="K1981">
        <v>2400</v>
      </c>
      <c r="L1981">
        <v>0</v>
      </c>
      <c r="M1981">
        <v>0</v>
      </c>
      <c r="N1981">
        <v>2400</v>
      </c>
    </row>
    <row r="1982" spans="1:14" x14ac:dyDescent="0.25">
      <c r="A1982">
        <v>1140.3557940000001</v>
      </c>
      <c r="B1982" s="1">
        <f>DATE(2013,6,14) + TIME(8,32,20)</f>
        <v>41439.355787037035</v>
      </c>
      <c r="C1982">
        <v>1339.3813477000001</v>
      </c>
      <c r="D1982">
        <v>1337.0878906</v>
      </c>
      <c r="E1982">
        <v>1326.6096190999999</v>
      </c>
      <c r="F1982">
        <v>1324.6735839999999</v>
      </c>
      <c r="G1982">
        <v>80</v>
      </c>
      <c r="H1982">
        <v>79.974624633999994</v>
      </c>
      <c r="I1982">
        <v>50</v>
      </c>
      <c r="J1982">
        <v>48.154857634999999</v>
      </c>
      <c r="K1982">
        <v>2400</v>
      </c>
      <c r="L1982">
        <v>0</v>
      </c>
      <c r="M1982">
        <v>0</v>
      </c>
      <c r="N1982">
        <v>2400</v>
      </c>
    </row>
    <row r="1983" spans="1:14" x14ac:dyDescent="0.25">
      <c r="A1983">
        <v>1141.3516520000001</v>
      </c>
      <c r="B1983" s="1">
        <f>DATE(2013,6,15) + TIME(8,26,22)</f>
        <v>41440.351643518516</v>
      </c>
      <c r="C1983">
        <v>1339.3748779</v>
      </c>
      <c r="D1983">
        <v>1337.0860596</v>
      </c>
      <c r="E1983">
        <v>1326.5970459</v>
      </c>
      <c r="F1983">
        <v>1324.6551514</v>
      </c>
      <c r="G1983">
        <v>80</v>
      </c>
      <c r="H1983">
        <v>79.974594116000006</v>
      </c>
      <c r="I1983">
        <v>50</v>
      </c>
      <c r="J1983">
        <v>48.126636505</v>
      </c>
      <c r="K1983">
        <v>2400</v>
      </c>
      <c r="L1983">
        <v>0</v>
      </c>
      <c r="M1983">
        <v>0</v>
      </c>
      <c r="N1983">
        <v>2400</v>
      </c>
    </row>
    <row r="1984" spans="1:14" x14ac:dyDescent="0.25">
      <c r="A1984">
        <v>1142.3605230000001</v>
      </c>
      <c r="B1984" s="1">
        <f>DATE(2013,6,16) + TIME(8,39,9)</f>
        <v>41441.360520833332</v>
      </c>
      <c r="C1984">
        <v>1339.3685303</v>
      </c>
      <c r="D1984">
        <v>1337.0841064000001</v>
      </c>
      <c r="E1984">
        <v>1326.5842285000001</v>
      </c>
      <c r="F1984">
        <v>1324.6364745999999</v>
      </c>
      <c r="G1984">
        <v>80</v>
      </c>
      <c r="H1984">
        <v>79.974563599000007</v>
      </c>
      <c r="I1984">
        <v>50</v>
      </c>
      <c r="J1984">
        <v>48.098316193000002</v>
      </c>
      <c r="K1984">
        <v>2400</v>
      </c>
      <c r="L1984">
        <v>0</v>
      </c>
      <c r="M1984">
        <v>0</v>
      </c>
      <c r="N1984">
        <v>2400</v>
      </c>
    </row>
    <row r="1985" spans="1:14" x14ac:dyDescent="0.25">
      <c r="A1985">
        <v>1143.3862300000001</v>
      </c>
      <c r="B1985" s="1">
        <f>DATE(2013,6,17) + TIME(9,16,10)</f>
        <v>41442.38622685185</v>
      </c>
      <c r="C1985">
        <v>1339.3621826000001</v>
      </c>
      <c r="D1985">
        <v>1337.0821533000001</v>
      </c>
      <c r="E1985">
        <v>1326.5712891000001</v>
      </c>
      <c r="F1985">
        <v>1324.6175536999999</v>
      </c>
      <c r="G1985">
        <v>80</v>
      </c>
      <c r="H1985">
        <v>79.974525451999995</v>
      </c>
      <c r="I1985">
        <v>50</v>
      </c>
      <c r="J1985">
        <v>48.069881439</v>
      </c>
      <c r="K1985">
        <v>2400</v>
      </c>
      <c r="L1985">
        <v>0</v>
      </c>
      <c r="M1985">
        <v>0</v>
      </c>
      <c r="N1985">
        <v>2400</v>
      </c>
    </row>
    <row r="1986" spans="1:14" x14ac:dyDescent="0.25">
      <c r="A1986">
        <v>1144.4330030000001</v>
      </c>
      <c r="B1986" s="1">
        <f>DATE(2013,6,18) + TIME(10,23,31)</f>
        <v>41443.432997685188</v>
      </c>
      <c r="C1986">
        <v>1339.355957</v>
      </c>
      <c r="D1986">
        <v>1337.0802002</v>
      </c>
      <c r="E1986">
        <v>1326.5581055</v>
      </c>
      <c r="F1986">
        <v>1324.5981445</v>
      </c>
      <c r="G1986">
        <v>80</v>
      </c>
      <c r="H1986">
        <v>79.974494934000006</v>
      </c>
      <c r="I1986">
        <v>50</v>
      </c>
      <c r="J1986">
        <v>48.041271209999998</v>
      </c>
      <c r="K1986">
        <v>2400</v>
      </c>
      <c r="L1986">
        <v>0</v>
      </c>
      <c r="M1986">
        <v>0</v>
      </c>
      <c r="N1986">
        <v>2400</v>
      </c>
    </row>
    <row r="1987" spans="1:14" x14ac:dyDescent="0.25">
      <c r="A1987">
        <v>1145.5052459999999</v>
      </c>
      <c r="B1987" s="1">
        <f>DATE(2013,6,19) + TIME(12,7,33)</f>
        <v>41444.505243055559</v>
      </c>
      <c r="C1987">
        <v>1339.3496094</v>
      </c>
      <c r="D1987">
        <v>1337.0782471</v>
      </c>
      <c r="E1987">
        <v>1326.5446777</v>
      </c>
      <c r="F1987">
        <v>1324.5784911999999</v>
      </c>
      <c r="G1987">
        <v>80</v>
      </c>
      <c r="H1987">
        <v>79.974464416999993</v>
      </c>
      <c r="I1987">
        <v>50</v>
      </c>
      <c r="J1987">
        <v>48.012401580999999</v>
      </c>
      <c r="K1987">
        <v>2400</v>
      </c>
      <c r="L1987">
        <v>0</v>
      </c>
      <c r="M1987">
        <v>0</v>
      </c>
      <c r="N1987">
        <v>2400</v>
      </c>
    </row>
    <row r="1988" spans="1:14" x14ac:dyDescent="0.25">
      <c r="A1988">
        <v>1146.6177740000001</v>
      </c>
      <c r="B1988" s="1">
        <f>DATE(2013,6,20) + TIME(14,49,35)</f>
        <v>41445.617766203701</v>
      </c>
      <c r="C1988">
        <v>1339.3433838000001</v>
      </c>
      <c r="D1988">
        <v>1337.0762939000001</v>
      </c>
      <c r="E1988">
        <v>1326.5310059000001</v>
      </c>
      <c r="F1988">
        <v>1324.5583495999999</v>
      </c>
      <c r="G1988">
        <v>80</v>
      </c>
      <c r="H1988">
        <v>79.974433899000005</v>
      </c>
      <c r="I1988">
        <v>50</v>
      </c>
      <c r="J1988">
        <v>47.983058929000002</v>
      </c>
      <c r="K1988">
        <v>2400</v>
      </c>
      <c r="L1988">
        <v>0</v>
      </c>
      <c r="M1988">
        <v>0</v>
      </c>
      <c r="N1988">
        <v>2400</v>
      </c>
    </row>
    <row r="1989" spans="1:14" x14ac:dyDescent="0.25">
      <c r="A1989">
        <v>1147.7455620000001</v>
      </c>
      <c r="B1989" s="1">
        <f>DATE(2013,6,21) + TIME(17,53,36)</f>
        <v>41446.745555555557</v>
      </c>
      <c r="C1989">
        <v>1339.3370361</v>
      </c>
      <c r="D1989">
        <v>1337.0742187999999</v>
      </c>
      <c r="E1989">
        <v>1326.5168457</v>
      </c>
      <c r="F1989">
        <v>1324.5374756000001</v>
      </c>
      <c r="G1989">
        <v>80</v>
      </c>
      <c r="H1989">
        <v>79.974411011000001</v>
      </c>
      <c r="I1989">
        <v>50</v>
      </c>
      <c r="J1989">
        <v>47.953403473000002</v>
      </c>
      <c r="K1989">
        <v>2400</v>
      </c>
      <c r="L1989">
        <v>0</v>
      </c>
      <c r="M1989">
        <v>0</v>
      </c>
      <c r="N1989">
        <v>2400</v>
      </c>
    </row>
    <row r="1990" spans="1:14" x14ac:dyDescent="0.25">
      <c r="A1990">
        <v>1148.892881</v>
      </c>
      <c r="B1990" s="1">
        <f>DATE(2013,6,22) + TIME(21,25,44)</f>
        <v>41447.892870370371</v>
      </c>
      <c r="C1990">
        <v>1339.3306885</v>
      </c>
      <c r="D1990">
        <v>1337.0721435999999</v>
      </c>
      <c r="E1990">
        <v>1326.5024414</v>
      </c>
      <c r="F1990">
        <v>1324.5163574000001</v>
      </c>
      <c r="G1990">
        <v>80</v>
      </c>
      <c r="H1990">
        <v>79.974380492999998</v>
      </c>
      <c r="I1990">
        <v>50</v>
      </c>
      <c r="J1990">
        <v>47.923553466999998</v>
      </c>
      <c r="K1990">
        <v>2400</v>
      </c>
      <c r="L1990">
        <v>0</v>
      </c>
      <c r="M1990">
        <v>0</v>
      </c>
      <c r="N1990">
        <v>2400</v>
      </c>
    </row>
    <row r="1991" spans="1:14" x14ac:dyDescent="0.25">
      <c r="A1991">
        <v>1150.0660270000001</v>
      </c>
      <c r="B1991" s="1">
        <f>DATE(2013,6,24) + TIME(1,35,4)</f>
        <v>41449.066018518519</v>
      </c>
      <c r="C1991">
        <v>1339.3243408000001</v>
      </c>
      <c r="D1991">
        <v>1337.0701904</v>
      </c>
      <c r="E1991">
        <v>1326.4879149999999</v>
      </c>
      <c r="F1991">
        <v>1324.4948730000001</v>
      </c>
      <c r="G1991">
        <v>80</v>
      </c>
      <c r="H1991">
        <v>79.974349975999999</v>
      </c>
      <c r="I1991">
        <v>50</v>
      </c>
      <c r="J1991">
        <v>47.893482208000002</v>
      </c>
      <c r="K1991">
        <v>2400</v>
      </c>
      <c r="L1991">
        <v>0</v>
      </c>
      <c r="M1991">
        <v>0</v>
      </c>
      <c r="N1991">
        <v>2400</v>
      </c>
    </row>
    <row r="1992" spans="1:14" x14ac:dyDescent="0.25">
      <c r="A1992">
        <v>1151.2717419999999</v>
      </c>
      <c r="B1992" s="1">
        <f>DATE(2013,6,25) + TIME(6,31,18)</f>
        <v>41450.271736111114</v>
      </c>
      <c r="C1992">
        <v>1339.3181152</v>
      </c>
      <c r="D1992">
        <v>1337.0681152</v>
      </c>
      <c r="E1992">
        <v>1326.4730225000001</v>
      </c>
      <c r="F1992">
        <v>1324.4729004000001</v>
      </c>
      <c r="G1992">
        <v>80</v>
      </c>
      <c r="H1992">
        <v>79.974319457999997</v>
      </c>
      <c r="I1992">
        <v>50</v>
      </c>
      <c r="J1992">
        <v>47.863105773999997</v>
      </c>
      <c r="K1992">
        <v>2400</v>
      </c>
      <c r="L1992">
        <v>0</v>
      </c>
      <c r="M1992">
        <v>0</v>
      </c>
      <c r="N1992">
        <v>2400</v>
      </c>
    </row>
    <row r="1993" spans="1:14" x14ac:dyDescent="0.25">
      <c r="A1993">
        <v>1152.517474</v>
      </c>
      <c r="B1993" s="1">
        <f>DATE(2013,6,26) + TIME(12,25,9)</f>
        <v>41451.517465277779</v>
      </c>
      <c r="C1993">
        <v>1339.3117675999999</v>
      </c>
      <c r="D1993">
        <v>1337.065918</v>
      </c>
      <c r="E1993">
        <v>1326.4577637</v>
      </c>
      <c r="F1993">
        <v>1324.4503173999999</v>
      </c>
      <c r="G1993">
        <v>80</v>
      </c>
      <c r="H1993">
        <v>79.974296570000007</v>
      </c>
      <c r="I1993">
        <v>50</v>
      </c>
      <c r="J1993">
        <v>47.832298279</v>
      </c>
      <c r="K1993">
        <v>2400</v>
      </c>
      <c r="L1993">
        <v>0</v>
      </c>
      <c r="M1993">
        <v>0</v>
      </c>
      <c r="N1993">
        <v>2400</v>
      </c>
    </row>
    <row r="1994" spans="1:14" x14ac:dyDescent="0.25">
      <c r="A1994">
        <v>1153.819256</v>
      </c>
      <c r="B1994" s="1">
        <f>DATE(2013,6,27) + TIME(19,39,43)</f>
        <v>41452.819247685184</v>
      </c>
      <c r="C1994">
        <v>1339.3054199000001</v>
      </c>
      <c r="D1994">
        <v>1337.0637207</v>
      </c>
      <c r="E1994">
        <v>1326.4421387</v>
      </c>
      <c r="F1994">
        <v>1324.427124</v>
      </c>
      <c r="G1994">
        <v>80</v>
      </c>
      <c r="H1994">
        <v>79.974266052000004</v>
      </c>
      <c r="I1994">
        <v>50</v>
      </c>
      <c r="J1994">
        <v>47.800846100000001</v>
      </c>
      <c r="K1994">
        <v>2400</v>
      </c>
      <c r="L1994">
        <v>0</v>
      </c>
      <c r="M1994">
        <v>0</v>
      </c>
      <c r="N1994">
        <v>2400</v>
      </c>
    </row>
    <row r="1995" spans="1:14" x14ac:dyDescent="0.25">
      <c r="A1995">
        <v>1155.151417</v>
      </c>
      <c r="B1995" s="1">
        <f>DATE(2013,6,29) + TIME(3,38,2)</f>
        <v>41454.151412037034</v>
      </c>
      <c r="C1995">
        <v>1339.2989502</v>
      </c>
      <c r="D1995">
        <v>1337.0615233999999</v>
      </c>
      <c r="E1995">
        <v>1326.4259033000001</v>
      </c>
      <c r="F1995">
        <v>1324.4031981999999</v>
      </c>
      <c r="G1995">
        <v>80</v>
      </c>
      <c r="H1995">
        <v>79.974243164000001</v>
      </c>
      <c r="I1995">
        <v>50</v>
      </c>
      <c r="J1995">
        <v>47.768856049</v>
      </c>
      <c r="K1995">
        <v>2400</v>
      </c>
      <c r="L1995">
        <v>0</v>
      </c>
      <c r="M1995">
        <v>0</v>
      </c>
      <c r="N1995">
        <v>2400</v>
      </c>
    </row>
    <row r="1996" spans="1:14" x14ac:dyDescent="0.25">
      <c r="A1996">
        <v>1156.529646</v>
      </c>
      <c r="B1996" s="1">
        <f>DATE(2013,6,30) + TIME(12,42,41)</f>
        <v>41455.529641203706</v>
      </c>
      <c r="C1996">
        <v>1339.2923584</v>
      </c>
      <c r="D1996">
        <v>1337.0592041</v>
      </c>
      <c r="E1996">
        <v>1326.4094238</v>
      </c>
      <c r="F1996">
        <v>1324.3785399999999</v>
      </c>
      <c r="G1996">
        <v>80</v>
      </c>
      <c r="H1996">
        <v>79.974220275999997</v>
      </c>
      <c r="I1996">
        <v>50</v>
      </c>
      <c r="J1996">
        <v>47.736396790000001</v>
      </c>
      <c r="K1996">
        <v>2400</v>
      </c>
      <c r="L1996">
        <v>0</v>
      </c>
      <c r="M1996">
        <v>0</v>
      </c>
      <c r="N1996">
        <v>2400</v>
      </c>
    </row>
    <row r="1997" spans="1:14" x14ac:dyDescent="0.25">
      <c r="A1997">
        <v>1157</v>
      </c>
      <c r="B1997" s="1">
        <f>DATE(2013,7,1) + TIME(0,0,0)</f>
        <v>41456</v>
      </c>
      <c r="C1997">
        <v>1339.2858887</v>
      </c>
      <c r="D1997">
        <v>1337.0568848</v>
      </c>
      <c r="E1997">
        <v>1326.394043</v>
      </c>
      <c r="F1997">
        <v>1324.3563231999999</v>
      </c>
      <c r="G1997">
        <v>80</v>
      </c>
      <c r="H1997">
        <v>79.974189757999994</v>
      </c>
      <c r="I1997">
        <v>50</v>
      </c>
      <c r="J1997">
        <v>47.717475890999999</v>
      </c>
      <c r="K1997">
        <v>2400</v>
      </c>
      <c r="L1997">
        <v>0</v>
      </c>
      <c r="M1997">
        <v>0</v>
      </c>
      <c r="N1997">
        <v>2400</v>
      </c>
    </row>
    <row r="1998" spans="1:14" x14ac:dyDescent="0.25">
      <c r="A1998">
        <v>1158.4285480000001</v>
      </c>
      <c r="B1998" s="1">
        <f>DATE(2013,7,2) + TIME(10,17,6)</f>
        <v>41457.428541666668</v>
      </c>
      <c r="C1998">
        <v>1339.2836914</v>
      </c>
      <c r="D1998">
        <v>1337.0561522999999</v>
      </c>
      <c r="E1998">
        <v>1326.3851318</v>
      </c>
      <c r="F1998">
        <v>1324.3420410000001</v>
      </c>
      <c r="G1998">
        <v>80</v>
      </c>
      <c r="H1998">
        <v>79.974182128999999</v>
      </c>
      <c r="I1998">
        <v>50</v>
      </c>
      <c r="J1998">
        <v>47.689571381</v>
      </c>
      <c r="K1998">
        <v>2400</v>
      </c>
      <c r="L1998">
        <v>0</v>
      </c>
      <c r="M1998">
        <v>0</v>
      </c>
      <c r="N1998">
        <v>2400</v>
      </c>
    </row>
    <row r="1999" spans="1:14" x14ac:dyDescent="0.25">
      <c r="A1999">
        <v>1159.904722</v>
      </c>
      <c r="B1999" s="1">
        <f>DATE(2013,7,3) + TIME(21,42,47)</f>
        <v>41458.904710648145</v>
      </c>
      <c r="C1999">
        <v>1339.2769774999999</v>
      </c>
      <c r="D1999">
        <v>1337.0538329999999</v>
      </c>
      <c r="E1999">
        <v>1326.3686522999999</v>
      </c>
      <c r="F1999">
        <v>1324.3175048999999</v>
      </c>
      <c r="G1999">
        <v>80</v>
      </c>
      <c r="H1999">
        <v>79.974159240999995</v>
      </c>
      <c r="I1999">
        <v>50</v>
      </c>
      <c r="J1999">
        <v>47.658119202000002</v>
      </c>
      <c r="K1999">
        <v>2400</v>
      </c>
      <c r="L1999">
        <v>0</v>
      </c>
      <c r="M1999">
        <v>0</v>
      </c>
      <c r="N1999">
        <v>2400</v>
      </c>
    </row>
    <row r="2000" spans="1:14" x14ac:dyDescent="0.25">
      <c r="A2000">
        <v>1161.3863940000001</v>
      </c>
      <c r="B2000" s="1">
        <f>DATE(2013,7,5) + TIME(9,16,24)</f>
        <v>41460.386388888888</v>
      </c>
      <c r="C2000">
        <v>1339.2703856999999</v>
      </c>
      <c r="D2000">
        <v>1337.0513916</v>
      </c>
      <c r="E2000">
        <v>1326.3511963000001</v>
      </c>
      <c r="F2000">
        <v>1324.2913818</v>
      </c>
      <c r="G2000">
        <v>80</v>
      </c>
      <c r="H2000">
        <v>79.974136353000006</v>
      </c>
      <c r="I2000">
        <v>50</v>
      </c>
      <c r="J2000">
        <v>47.625461577999999</v>
      </c>
      <c r="K2000">
        <v>2400</v>
      </c>
      <c r="L2000">
        <v>0</v>
      </c>
      <c r="M2000">
        <v>0</v>
      </c>
      <c r="N2000">
        <v>2400</v>
      </c>
    </row>
    <row r="2001" spans="1:14" x14ac:dyDescent="0.25">
      <c r="A2001">
        <v>1162.874552</v>
      </c>
      <c r="B2001" s="1">
        <f>DATE(2013,7,6) + TIME(20,59,21)</f>
        <v>41461.874548611115</v>
      </c>
      <c r="C2001">
        <v>1339.2637939000001</v>
      </c>
      <c r="D2001">
        <v>1337.0489502</v>
      </c>
      <c r="E2001">
        <v>1326.333374</v>
      </c>
      <c r="F2001">
        <v>1324.2647704999999</v>
      </c>
      <c r="G2001">
        <v>80</v>
      </c>
      <c r="H2001">
        <v>79.974113463999998</v>
      </c>
      <c r="I2001">
        <v>50</v>
      </c>
      <c r="J2001">
        <v>47.592815399000003</v>
      </c>
      <c r="K2001">
        <v>2400</v>
      </c>
      <c r="L2001">
        <v>0</v>
      </c>
      <c r="M2001">
        <v>0</v>
      </c>
      <c r="N2001">
        <v>2400</v>
      </c>
    </row>
    <row r="2002" spans="1:14" x14ac:dyDescent="0.25">
      <c r="A2002">
        <v>1164.37913</v>
      </c>
      <c r="B2002" s="1">
        <f>DATE(2013,7,8) + TIME(9,5,56)</f>
        <v>41463.379120370373</v>
      </c>
      <c r="C2002">
        <v>1339.2574463000001</v>
      </c>
      <c r="D2002">
        <v>1337.0465088000001</v>
      </c>
      <c r="E2002">
        <v>1326.3155518000001</v>
      </c>
      <c r="F2002">
        <v>1324.2379149999999</v>
      </c>
      <c r="G2002">
        <v>80</v>
      </c>
      <c r="H2002">
        <v>79.974090575999995</v>
      </c>
      <c r="I2002">
        <v>50</v>
      </c>
      <c r="J2002">
        <v>47.560569762999997</v>
      </c>
      <c r="K2002">
        <v>2400</v>
      </c>
      <c r="L2002">
        <v>0</v>
      </c>
      <c r="M2002">
        <v>0</v>
      </c>
      <c r="N2002">
        <v>2400</v>
      </c>
    </row>
    <row r="2003" spans="1:14" x14ac:dyDescent="0.25">
      <c r="A2003">
        <v>1165.9100840000001</v>
      </c>
      <c r="B2003" s="1">
        <f>DATE(2013,7,9) + TIME(21,50,31)</f>
        <v>41464.910081018519</v>
      </c>
      <c r="C2003">
        <v>1339.2510986</v>
      </c>
      <c r="D2003">
        <v>1337.0440673999999</v>
      </c>
      <c r="E2003">
        <v>1326.2977295000001</v>
      </c>
      <c r="F2003">
        <v>1324.2109375</v>
      </c>
      <c r="G2003">
        <v>80</v>
      </c>
      <c r="H2003">
        <v>79.974067688000005</v>
      </c>
      <c r="I2003">
        <v>50</v>
      </c>
      <c r="J2003">
        <v>47.528804778999998</v>
      </c>
      <c r="K2003">
        <v>2400</v>
      </c>
      <c r="L2003">
        <v>0</v>
      </c>
      <c r="M2003">
        <v>0</v>
      </c>
      <c r="N2003">
        <v>2400</v>
      </c>
    </row>
    <row r="2004" spans="1:14" x14ac:dyDescent="0.25">
      <c r="A2004">
        <v>1167.4767079999999</v>
      </c>
      <c r="B2004" s="1">
        <f>DATE(2013,7,11) + TIME(11,26,27)</f>
        <v>41466.476701388892</v>
      </c>
      <c r="C2004">
        <v>1339.244751</v>
      </c>
      <c r="D2004">
        <v>1337.041626</v>
      </c>
      <c r="E2004">
        <v>1326.2797852000001</v>
      </c>
      <c r="F2004">
        <v>1324.1837158000001</v>
      </c>
      <c r="G2004">
        <v>80</v>
      </c>
      <c r="H2004">
        <v>79.974052428999997</v>
      </c>
      <c r="I2004">
        <v>50</v>
      </c>
      <c r="J2004">
        <v>47.497497559000003</v>
      </c>
      <c r="K2004">
        <v>2400</v>
      </c>
      <c r="L2004">
        <v>0</v>
      </c>
      <c r="M2004">
        <v>0</v>
      </c>
      <c r="N2004">
        <v>2400</v>
      </c>
    </row>
    <row r="2005" spans="1:14" x14ac:dyDescent="0.25">
      <c r="A2005">
        <v>1169.0894450000001</v>
      </c>
      <c r="B2005" s="1">
        <f>DATE(2013,7,13) + TIME(2,8,48)</f>
        <v>41468.089444444442</v>
      </c>
      <c r="C2005">
        <v>1339.2384033000001</v>
      </c>
      <c r="D2005">
        <v>1337.0391846</v>
      </c>
      <c r="E2005">
        <v>1326.2617187999999</v>
      </c>
      <c r="F2005">
        <v>1324.1561279</v>
      </c>
      <c r="G2005">
        <v>80</v>
      </c>
      <c r="H2005">
        <v>79.974029540999993</v>
      </c>
      <c r="I2005">
        <v>50</v>
      </c>
      <c r="J2005">
        <v>47.466640472000002</v>
      </c>
      <c r="K2005">
        <v>2400</v>
      </c>
      <c r="L2005">
        <v>0</v>
      </c>
      <c r="M2005">
        <v>0</v>
      </c>
      <c r="N2005">
        <v>2400</v>
      </c>
    </row>
    <row r="2006" spans="1:14" x14ac:dyDescent="0.25">
      <c r="A2006">
        <v>1170.7578579999999</v>
      </c>
      <c r="B2006" s="1">
        <f>DATE(2013,7,14) + TIME(18,11,18)</f>
        <v>41469.757847222223</v>
      </c>
      <c r="C2006">
        <v>1339.2320557</v>
      </c>
      <c r="D2006">
        <v>1337.0366211</v>
      </c>
      <c r="E2006">
        <v>1326.2432861</v>
      </c>
      <c r="F2006">
        <v>1324.1280518000001</v>
      </c>
      <c r="G2006">
        <v>80</v>
      </c>
      <c r="H2006">
        <v>79.974014281999999</v>
      </c>
      <c r="I2006">
        <v>50</v>
      </c>
      <c r="J2006">
        <v>47.436271667</v>
      </c>
      <c r="K2006">
        <v>2400</v>
      </c>
      <c r="L2006">
        <v>0</v>
      </c>
      <c r="M2006">
        <v>0</v>
      </c>
      <c r="N2006">
        <v>2400</v>
      </c>
    </row>
    <row r="2007" spans="1:14" x14ac:dyDescent="0.25">
      <c r="A2007">
        <v>1172.478807</v>
      </c>
      <c r="B2007" s="1">
        <f>DATE(2013,7,16) + TIME(11,29,28)</f>
        <v>41471.478796296295</v>
      </c>
      <c r="C2007">
        <v>1339.2255858999999</v>
      </c>
      <c r="D2007">
        <v>1337.0340576000001</v>
      </c>
      <c r="E2007">
        <v>1326.2246094</v>
      </c>
      <c r="F2007">
        <v>1324.0993652</v>
      </c>
      <c r="G2007">
        <v>80</v>
      </c>
      <c r="H2007">
        <v>79.973999023000005</v>
      </c>
      <c r="I2007">
        <v>50</v>
      </c>
      <c r="J2007">
        <v>47.406570434999999</v>
      </c>
      <c r="K2007">
        <v>2400</v>
      </c>
      <c r="L2007">
        <v>0</v>
      </c>
      <c r="M2007">
        <v>0</v>
      </c>
      <c r="N2007">
        <v>2400</v>
      </c>
    </row>
    <row r="2008" spans="1:14" x14ac:dyDescent="0.25">
      <c r="A2008">
        <v>1174.2728770000001</v>
      </c>
      <c r="B2008" s="1">
        <f>DATE(2013,7,18) + TIME(6,32,56)</f>
        <v>41473.272870370369</v>
      </c>
      <c r="C2008">
        <v>1339.2189940999999</v>
      </c>
      <c r="D2008">
        <v>1337.0313721</v>
      </c>
      <c r="E2008">
        <v>1326.2055664</v>
      </c>
      <c r="F2008">
        <v>1324.0700684000001</v>
      </c>
      <c r="G2008">
        <v>80</v>
      </c>
      <c r="H2008">
        <v>79.973983765</v>
      </c>
      <c r="I2008">
        <v>50</v>
      </c>
      <c r="J2008">
        <v>47.377792358000001</v>
      </c>
      <c r="K2008">
        <v>2400</v>
      </c>
      <c r="L2008">
        <v>0</v>
      </c>
      <c r="M2008">
        <v>0</v>
      </c>
      <c r="N2008">
        <v>2400</v>
      </c>
    </row>
    <row r="2009" spans="1:14" x14ac:dyDescent="0.25">
      <c r="A2009">
        <v>1176.1519679999999</v>
      </c>
      <c r="B2009" s="1">
        <f>DATE(2013,7,20) + TIME(3,38,50)</f>
        <v>41475.151967592596</v>
      </c>
      <c r="C2009">
        <v>1339.2124022999999</v>
      </c>
      <c r="D2009">
        <v>1337.0286865</v>
      </c>
      <c r="E2009">
        <v>1326.1861572</v>
      </c>
      <c r="F2009">
        <v>1324.0399170000001</v>
      </c>
      <c r="G2009">
        <v>80</v>
      </c>
      <c r="H2009">
        <v>79.973968506000006</v>
      </c>
      <c r="I2009">
        <v>50</v>
      </c>
      <c r="J2009">
        <v>47.350196838000002</v>
      </c>
      <c r="K2009">
        <v>2400</v>
      </c>
      <c r="L2009">
        <v>0</v>
      </c>
      <c r="M2009">
        <v>0</v>
      </c>
      <c r="N2009">
        <v>2400</v>
      </c>
    </row>
    <row r="2010" spans="1:14" x14ac:dyDescent="0.25">
      <c r="A2010">
        <v>1178.069759</v>
      </c>
      <c r="B2010" s="1">
        <f>DATE(2013,7,22) + TIME(1,40,27)</f>
        <v>41477.069756944446</v>
      </c>
      <c r="C2010">
        <v>1339.2055664</v>
      </c>
      <c r="D2010">
        <v>1337.0257568</v>
      </c>
      <c r="E2010">
        <v>1326.1661377</v>
      </c>
      <c r="F2010">
        <v>1324.0090332</v>
      </c>
      <c r="G2010">
        <v>80</v>
      </c>
      <c r="H2010">
        <v>79.973953246999997</v>
      </c>
      <c r="I2010">
        <v>50</v>
      </c>
      <c r="J2010">
        <v>47.324474334999998</v>
      </c>
      <c r="K2010">
        <v>2400</v>
      </c>
      <c r="L2010">
        <v>0</v>
      </c>
      <c r="M2010">
        <v>0</v>
      </c>
      <c r="N2010">
        <v>2400</v>
      </c>
    </row>
    <row r="2011" spans="1:14" x14ac:dyDescent="0.25">
      <c r="A2011">
        <v>1179.989861</v>
      </c>
      <c r="B2011" s="1">
        <f>DATE(2013,7,23) + TIME(23,45,24)</f>
        <v>41478.989861111113</v>
      </c>
      <c r="C2011">
        <v>1339.1988524999999</v>
      </c>
      <c r="D2011">
        <v>1337.0229492000001</v>
      </c>
      <c r="E2011">
        <v>1326.1462402</v>
      </c>
      <c r="F2011">
        <v>1323.9776611</v>
      </c>
      <c r="G2011">
        <v>80</v>
      </c>
      <c r="H2011">
        <v>79.973937988000003</v>
      </c>
      <c r="I2011">
        <v>50</v>
      </c>
      <c r="J2011">
        <v>47.301799774000003</v>
      </c>
      <c r="K2011">
        <v>2400</v>
      </c>
      <c r="L2011">
        <v>0</v>
      </c>
      <c r="M2011">
        <v>0</v>
      </c>
      <c r="N2011">
        <v>2400</v>
      </c>
    </row>
    <row r="2012" spans="1:14" x14ac:dyDescent="0.25">
      <c r="A2012">
        <v>1181.9391499999999</v>
      </c>
      <c r="B2012" s="1">
        <f>DATE(2013,7,25) + TIME(22,32,22)</f>
        <v>41480.939143518517</v>
      </c>
      <c r="C2012">
        <v>1339.1921387</v>
      </c>
      <c r="D2012">
        <v>1337.0200195</v>
      </c>
      <c r="E2012">
        <v>1326.1264647999999</v>
      </c>
      <c r="F2012">
        <v>1323.9466553</v>
      </c>
      <c r="G2012">
        <v>80</v>
      </c>
      <c r="H2012">
        <v>79.973922728999995</v>
      </c>
      <c r="I2012">
        <v>50</v>
      </c>
      <c r="J2012">
        <v>47.283115387000002</v>
      </c>
      <c r="K2012">
        <v>2400</v>
      </c>
      <c r="L2012">
        <v>0</v>
      </c>
      <c r="M2012">
        <v>0</v>
      </c>
      <c r="N2012">
        <v>2400</v>
      </c>
    </row>
    <row r="2013" spans="1:14" x14ac:dyDescent="0.25">
      <c r="A2013">
        <v>1182.9203729999999</v>
      </c>
      <c r="B2013" s="1">
        <f>DATE(2013,7,26) + TIME(22,5,20)</f>
        <v>41481.920370370368</v>
      </c>
      <c r="C2013">
        <v>1339.1855469</v>
      </c>
      <c r="D2013">
        <v>1337.0172118999999</v>
      </c>
      <c r="E2013">
        <v>1326.1082764</v>
      </c>
      <c r="F2013">
        <v>1323.9177245999999</v>
      </c>
      <c r="G2013">
        <v>80</v>
      </c>
      <c r="H2013">
        <v>79.973899841000005</v>
      </c>
      <c r="I2013">
        <v>50</v>
      </c>
      <c r="J2013">
        <v>47.272300719999997</v>
      </c>
      <c r="K2013">
        <v>2400</v>
      </c>
      <c r="L2013">
        <v>0</v>
      </c>
      <c r="M2013">
        <v>0</v>
      </c>
      <c r="N2013">
        <v>2400</v>
      </c>
    </row>
    <row r="2014" spans="1:14" x14ac:dyDescent="0.25">
      <c r="A2014">
        <v>1184.825104</v>
      </c>
      <c r="B2014" s="1">
        <f>DATE(2013,7,28) + TIME(19,48,8)</f>
        <v>41483.825092592589</v>
      </c>
      <c r="C2014">
        <v>1339.1823730000001</v>
      </c>
      <c r="D2014">
        <v>1337.0157471</v>
      </c>
      <c r="E2014">
        <v>1326.0953368999999</v>
      </c>
      <c r="F2014">
        <v>1323.8968506000001</v>
      </c>
      <c r="G2014">
        <v>80</v>
      </c>
      <c r="H2014">
        <v>79.973907471000004</v>
      </c>
      <c r="I2014">
        <v>50</v>
      </c>
      <c r="J2014">
        <v>47.264205933</v>
      </c>
      <c r="K2014">
        <v>2400</v>
      </c>
      <c r="L2014">
        <v>0</v>
      </c>
      <c r="M2014">
        <v>0</v>
      </c>
      <c r="N2014">
        <v>2400</v>
      </c>
    </row>
    <row r="2015" spans="1:14" x14ac:dyDescent="0.25">
      <c r="A2015">
        <v>1186.7448629999999</v>
      </c>
      <c r="B2015" s="1">
        <f>DATE(2013,7,30) + TIME(17,52,36)</f>
        <v>41485.74486111111</v>
      </c>
      <c r="C2015">
        <v>1339.1761475000001</v>
      </c>
      <c r="D2015">
        <v>1337.0130615</v>
      </c>
      <c r="E2015">
        <v>1326.0784911999999</v>
      </c>
      <c r="F2015">
        <v>1323.869751</v>
      </c>
      <c r="G2015">
        <v>80</v>
      </c>
      <c r="H2015">
        <v>79.973899841000005</v>
      </c>
      <c r="I2015">
        <v>50</v>
      </c>
      <c r="J2015">
        <v>47.260509491000001</v>
      </c>
      <c r="K2015">
        <v>2400</v>
      </c>
      <c r="L2015">
        <v>0</v>
      </c>
      <c r="M2015">
        <v>0</v>
      </c>
      <c r="N2015">
        <v>2400</v>
      </c>
    </row>
    <row r="2016" spans="1:14" x14ac:dyDescent="0.25">
      <c r="A2016">
        <v>1188</v>
      </c>
      <c r="B2016" s="1">
        <f>DATE(2013,8,1) + TIME(0,0,0)</f>
        <v>41487</v>
      </c>
      <c r="C2016">
        <v>1339.1700439000001</v>
      </c>
      <c r="D2016">
        <v>1337.0102539</v>
      </c>
      <c r="E2016">
        <v>1326.0616454999999</v>
      </c>
      <c r="F2016">
        <v>1323.8425293</v>
      </c>
      <c r="G2016">
        <v>80</v>
      </c>
      <c r="H2016">
        <v>79.973876953000001</v>
      </c>
      <c r="I2016">
        <v>50</v>
      </c>
      <c r="J2016">
        <v>47.263244628999999</v>
      </c>
      <c r="K2016">
        <v>2400</v>
      </c>
      <c r="L2016">
        <v>0</v>
      </c>
      <c r="M2016">
        <v>0</v>
      </c>
      <c r="N2016">
        <v>2400</v>
      </c>
    </row>
    <row r="2017" spans="1:14" x14ac:dyDescent="0.25">
      <c r="A2017">
        <v>1189.955858</v>
      </c>
      <c r="B2017" s="1">
        <f>DATE(2013,8,2) + TIME(22,56,26)</f>
        <v>41488.95585648148</v>
      </c>
      <c r="C2017">
        <v>1339.1661377</v>
      </c>
      <c r="D2017">
        <v>1337.0084228999999</v>
      </c>
      <c r="E2017">
        <v>1326.0482178</v>
      </c>
      <c r="F2017">
        <v>1323.8204346</v>
      </c>
      <c r="G2017">
        <v>80</v>
      </c>
      <c r="H2017">
        <v>79.973884583</v>
      </c>
      <c r="I2017">
        <v>50</v>
      </c>
      <c r="J2017">
        <v>47.271469115999999</v>
      </c>
      <c r="K2017">
        <v>2400</v>
      </c>
      <c r="L2017">
        <v>0</v>
      </c>
      <c r="M2017">
        <v>0</v>
      </c>
      <c r="N2017">
        <v>2400</v>
      </c>
    </row>
    <row r="2018" spans="1:14" x14ac:dyDescent="0.25">
      <c r="A2018">
        <v>1190.9560899999999</v>
      </c>
      <c r="B2018" s="1">
        <f>DATE(2013,8,3) + TIME(22,56,46)</f>
        <v>41489.956087962964</v>
      </c>
      <c r="C2018">
        <v>1339.1600341999999</v>
      </c>
      <c r="D2018">
        <v>1337.0057373</v>
      </c>
      <c r="E2018">
        <v>1326.0334473</v>
      </c>
      <c r="F2018">
        <v>1323.7958983999999</v>
      </c>
      <c r="G2018">
        <v>80</v>
      </c>
      <c r="H2018">
        <v>79.973861693999993</v>
      </c>
      <c r="I2018">
        <v>50</v>
      </c>
      <c r="J2018">
        <v>47.286026001000003</v>
      </c>
      <c r="K2018">
        <v>2400</v>
      </c>
      <c r="L2018">
        <v>0</v>
      </c>
      <c r="M2018">
        <v>0</v>
      </c>
      <c r="N2018">
        <v>2400</v>
      </c>
    </row>
    <row r="2019" spans="1:14" x14ac:dyDescent="0.25">
      <c r="A2019">
        <v>1192.8267060000001</v>
      </c>
      <c r="B2019" s="1">
        <f>DATE(2013,8,5) + TIME(19,50,27)</f>
        <v>41491.826701388891</v>
      </c>
      <c r="C2019">
        <v>1339.1569824000001</v>
      </c>
      <c r="D2019">
        <v>1337.0042725000001</v>
      </c>
      <c r="E2019">
        <v>1326.0222168</v>
      </c>
      <c r="F2019">
        <v>1323.7773437999999</v>
      </c>
      <c r="G2019">
        <v>80</v>
      </c>
      <c r="H2019">
        <v>79.973869324000006</v>
      </c>
      <c r="I2019">
        <v>50</v>
      </c>
      <c r="J2019">
        <v>47.306468963999997</v>
      </c>
      <c r="K2019">
        <v>2400</v>
      </c>
      <c r="L2019">
        <v>0</v>
      </c>
      <c r="M2019">
        <v>0</v>
      </c>
      <c r="N2019">
        <v>2400</v>
      </c>
    </row>
    <row r="2020" spans="1:14" x14ac:dyDescent="0.25">
      <c r="A2020">
        <v>1194.7947750000001</v>
      </c>
      <c r="B2020" s="1">
        <f>DATE(2013,8,7) + TIME(19,4,28)</f>
        <v>41493.794768518521</v>
      </c>
      <c r="C2020">
        <v>1339.1513672000001</v>
      </c>
      <c r="D2020">
        <v>1337.0015868999999</v>
      </c>
      <c r="E2020">
        <v>1326.0080565999999</v>
      </c>
      <c r="F2020">
        <v>1323.7535399999999</v>
      </c>
      <c r="G2020">
        <v>80</v>
      </c>
      <c r="H2020">
        <v>79.973869324000006</v>
      </c>
      <c r="I2020">
        <v>50</v>
      </c>
      <c r="J2020">
        <v>47.341430664000001</v>
      </c>
      <c r="K2020">
        <v>2400</v>
      </c>
      <c r="L2020">
        <v>0</v>
      </c>
      <c r="M2020">
        <v>0</v>
      </c>
      <c r="N2020">
        <v>2400</v>
      </c>
    </row>
    <row r="2021" spans="1:14" x14ac:dyDescent="0.25">
      <c r="A2021">
        <v>1196.8142680000001</v>
      </c>
      <c r="B2021" s="1">
        <f>DATE(2013,8,9) + TIME(19,32,32)</f>
        <v>41495.814259259256</v>
      </c>
      <c r="C2021">
        <v>1339.1455077999999</v>
      </c>
      <c r="D2021">
        <v>1336.9989014</v>
      </c>
      <c r="E2021">
        <v>1325.9931641000001</v>
      </c>
      <c r="F2021">
        <v>1323.7281493999999</v>
      </c>
      <c r="G2021">
        <v>80</v>
      </c>
      <c r="H2021">
        <v>79.973861693999993</v>
      </c>
      <c r="I2021">
        <v>50</v>
      </c>
      <c r="J2021">
        <v>47.392826079999999</v>
      </c>
      <c r="K2021">
        <v>2400</v>
      </c>
      <c r="L2021">
        <v>0</v>
      </c>
      <c r="M2021">
        <v>0</v>
      </c>
      <c r="N2021">
        <v>2400</v>
      </c>
    </row>
    <row r="2022" spans="1:14" x14ac:dyDescent="0.25">
      <c r="A2022">
        <v>1197.8362159999999</v>
      </c>
      <c r="B2022" s="1">
        <f>DATE(2013,8,10) + TIME(20,4,9)</f>
        <v>41496.836215277777</v>
      </c>
      <c r="C2022">
        <v>1339.1396483999999</v>
      </c>
      <c r="D2022">
        <v>1336.9960937999999</v>
      </c>
      <c r="E2022">
        <v>1325.9796143000001</v>
      </c>
      <c r="F2022">
        <v>1323.7043457</v>
      </c>
      <c r="G2022">
        <v>80</v>
      </c>
      <c r="H2022">
        <v>79.973846436000002</v>
      </c>
      <c r="I2022">
        <v>50</v>
      </c>
      <c r="J2022">
        <v>47.448471069</v>
      </c>
      <c r="K2022">
        <v>2400</v>
      </c>
      <c r="L2022">
        <v>0</v>
      </c>
      <c r="M2022">
        <v>0</v>
      </c>
      <c r="N2022">
        <v>2400</v>
      </c>
    </row>
    <row r="2023" spans="1:14" x14ac:dyDescent="0.25">
      <c r="A2023">
        <v>1199.6966379999999</v>
      </c>
      <c r="B2023" s="1">
        <f>DATE(2013,8,12) + TIME(16,43,9)</f>
        <v>41498.696631944447</v>
      </c>
      <c r="C2023">
        <v>1339.1367187999999</v>
      </c>
      <c r="D2023">
        <v>1336.9946289</v>
      </c>
      <c r="E2023">
        <v>1325.9693603999999</v>
      </c>
      <c r="F2023">
        <v>1323.6872559000001</v>
      </c>
      <c r="G2023">
        <v>80</v>
      </c>
      <c r="H2023">
        <v>79.973854064999998</v>
      </c>
      <c r="I2023">
        <v>50</v>
      </c>
      <c r="J2023">
        <v>47.513019561999997</v>
      </c>
      <c r="K2023">
        <v>2400</v>
      </c>
      <c r="L2023">
        <v>0</v>
      </c>
      <c r="M2023">
        <v>0</v>
      </c>
      <c r="N2023">
        <v>2400</v>
      </c>
    </row>
    <row r="2024" spans="1:14" x14ac:dyDescent="0.25">
      <c r="A2024">
        <v>1201.6949959999999</v>
      </c>
      <c r="B2024" s="1">
        <f>DATE(2013,8,14) + TIME(16,40,47)</f>
        <v>41500.694988425923</v>
      </c>
      <c r="C2024">
        <v>1339.1314697</v>
      </c>
      <c r="D2024">
        <v>1336.9920654</v>
      </c>
      <c r="E2024">
        <v>1325.9575195</v>
      </c>
      <c r="F2024">
        <v>1323.6662598</v>
      </c>
      <c r="G2024">
        <v>80</v>
      </c>
      <c r="H2024">
        <v>79.973854064999998</v>
      </c>
      <c r="I2024">
        <v>50</v>
      </c>
      <c r="J2024">
        <v>47.606586456000002</v>
      </c>
      <c r="K2024">
        <v>2400</v>
      </c>
      <c r="L2024">
        <v>0</v>
      </c>
      <c r="M2024">
        <v>0</v>
      </c>
      <c r="N2024">
        <v>2400</v>
      </c>
    </row>
    <row r="2025" spans="1:14" x14ac:dyDescent="0.25">
      <c r="A2025">
        <v>1203.749988</v>
      </c>
      <c r="B2025" s="1">
        <f>DATE(2013,8,16) + TIME(17,59,58)</f>
        <v>41502.749976851854</v>
      </c>
      <c r="C2025">
        <v>1339.1258545000001</v>
      </c>
      <c r="D2025">
        <v>1336.9893798999999</v>
      </c>
      <c r="E2025">
        <v>1325.9451904</v>
      </c>
      <c r="F2025">
        <v>1323.6442870999999</v>
      </c>
      <c r="G2025">
        <v>80</v>
      </c>
      <c r="H2025">
        <v>79.973854064999998</v>
      </c>
      <c r="I2025">
        <v>50</v>
      </c>
      <c r="J2025">
        <v>47.730636597</v>
      </c>
      <c r="K2025">
        <v>2400</v>
      </c>
      <c r="L2025">
        <v>0</v>
      </c>
      <c r="M2025">
        <v>0</v>
      </c>
      <c r="N2025">
        <v>2400</v>
      </c>
    </row>
    <row r="2026" spans="1:14" x14ac:dyDescent="0.25">
      <c r="A2026">
        <v>1204.7861330000001</v>
      </c>
      <c r="B2026" s="1">
        <f>DATE(2013,8,17) + TIME(18,52,1)</f>
        <v>41503.786122685182</v>
      </c>
      <c r="C2026">
        <v>1339.1202393000001</v>
      </c>
      <c r="D2026">
        <v>1336.9865723</v>
      </c>
      <c r="E2026">
        <v>1325.9346923999999</v>
      </c>
      <c r="F2026">
        <v>1323.6241454999999</v>
      </c>
      <c r="G2026">
        <v>80</v>
      </c>
      <c r="H2026">
        <v>79.973838806000003</v>
      </c>
      <c r="I2026">
        <v>50</v>
      </c>
      <c r="J2026">
        <v>47.854557036999999</v>
      </c>
      <c r="K2026">
        <v>2400</v>
      </c>
      <c r="L2026">
        <v>0</v>
      </c>
      <c r="M2026">
        <v>0</v>
      </c>
      <c r="N2026">
        <v>2400</v>
      </c>
    </row>
    <row r="2027" spans="1:14" x14ac:dyDescent="0.25">
      <c r="A2027">
        <v>1206.617677</v>
      </c>
      <c r="B2027" s="1">
        <f>DATE(2013,8,19) + TIME(14,49,27)</f>
        <v>41505.617673611108</v>
      </c>
      <c r="C2027">
        <v>1339.1174315999999</v>
      </c>
      <c r="D2027">
        <v>1336.9851074000001</v>
      </c>
      <c r="E2027">
        <v>1325.9259033000001</v>
      </c>
      <c r="F2027">
        <v>1323.6101074000001</v>
      </c>
      <c r="G2027">
        <v>80</v>
      </c>
      <c r="H2027">
        <v>79.973846436000002</v>
      </c>
      <c r="I2027">
        <v>50</v>
      </c>
      <c r="J2027">
        <v>47.988658905000001</v>
      </c>
      <c r="K2027">
        <v>2400</v>
      </c>
      <c r="L2027">
        <v>0</v>
      </c>
      <c r="M2027">
        <v>0</v>
      </c>
      <c r="N2027">
        <v>2400</v>
      </c>
    </row>
    <row r="2028" spans="1:14" x14ac:dyDescent="0.25">
      <c r="A2028">
        <v>1208.6426570000001</v>
      </c>
      <c r="B2028" s="1">
        <f>DATE(2013,8,21) + TIME(15,25,25)</f>
        <v>41507.642650462964</v>
      </c>
      <c r="C2028">
        <v>1339.1125488</v>
      </c>
      <c r="D2028">
        <v>1336.9826660000001</v>
      </c>
      <c r="E2028">
        <v>1325.9168701000001</v>
      </c>
      <c r="F2028">
        <v>1323.5931396000001</v>
      </c>
      <c r="G2028">
        <v>80</v>
      </c>
      <c r="H2028">
        <v>79.973846436000002</v>
      </c>
      <c r="I2028">
        <v>50</v>
      </c>
      <c r="J2028">
        <v>48.170154572000001</v>
      </c>
      <c r="K2028">
        <v>2400</v>
      </c>
      <c r="L2028">
        <v>0</v>
      </c>
      <c r="M2028">
        <v>0</v>
      </c>
      <c r="N2028">
        <v>2400</v>
      </c>
    </row>
    <row r="2029" spans="1:14" x14ac:dyDescent="0.25">
      <c r="A2029">
        <v>1210.740094</v>
      </c>
      <c r="B2029" s="1">
        <f>DATE(2013,8,23) + TIME(17,45,44)</f>
        <v>41509.74009259259</v>
      </c>
      <c r="C2029">
        <v>1339.1071777</v>
      </c>
      <c r="D2029">
        <v>1336.9798584</v>
      </c>
      <c r="E2029">
        <v>1325.9074707</v>
      </c>
      <c r="F2029">
        <v>1323.5756836</v>
      </c>
      <c r="G2029">
        <v>80</v>
      </c>
      <c r="H2029">
        <v>79.973854064999998</v>
      </c>
      <c r="I2029">
        <v>50</v>
      </c>
      <c r="J2029">
        <v>48.399990082000002</v>
      </c>
      <c r="K2029">
        <v>2400</v>
      </c>
      <c r="L2029">
        <v>0</v>
      </c>
      <c r="M2029">
        <v>0</v>
      </c>
      <c r="N2029">
        <v>2400</v>
      </c>
    </row>
    <row r="2030" spans="1:14" x14ac:dyDescent="0.25">
      <c r="A2030">
        <v>1212.8422519999999</v>
      </c>
      <c r="B2030" s="1">
        <f>DATE(2013,8,25) + TIME(20,12,50)</f>
        <v>41511.842245370368</v>
      </c>
      <c r="C2030">
        <v>1339.1018065999999</v>
      </c>
      <c r="D2030">
        <v>1336.9770507999999</v>
      </c>
      <c r="E2030">
        <v>1325.8984375</v>
      </c>
      <c r="F2030">
        <v>1323.5588379000001</v>
      </c>
      <c r="G2030">
        <v>80</v>
      </c>
      <c r="H2030">
        <v>79.973854064999998</v>
      </c>
      <c r="I2030">
        <v>50</v>
      </c>
      <c r="J2030">
        <v>48.676395415999998</v>
      </c>
      <c r="K2030">
        <v>2400</v>
      </c>
      <c r="L2030">
        <v>0</v>
      </c>
      <c r="M2030">
        <v>0</v>
      </c>
      <c r="N2030">
        <v>2400</v>
      </c>
    </row>
    <row r="2031" spans="1:14" x14ac:dyDescent="0.25">
      <c r="A2031">
        <v>1214.9583700000001</v>
      </c>
      <c r="B2031" s="1">
        <f>DATE(2013,8,27) + TIME(23,0,3)</f>
        <v>41513.958368055559</v>
      </c>
      <c r="C2031">
        <v>1339.0964355000001</v>
      </c>
      <c r="D2031">
        <v>1336.9743652</v>
      </c>
      <c r="E2031">
        <v>1325.8901367000001</v>
      </c>
      <c r="F2031">
        <v>1323.5432129000001</v>
      </c>
      <c r="G2031">
        <v>80</v>
      </c>
      <c r="H2031">
        <v>79.973854064999998</v>
      </c>
      <c r="I2031">
        <v>50</v>
      </c>
      <c r="J2031">
        <v>48.990509033000002</v>
      </c>
      <c r="K2031">
        <v>2400</v>
      </c>
      <c r="L2031">
        <v>0</v>
      </c>
      <c r="M2031">
        <v>0</v>
      </c>
      <c r="N2031">
        <v>2400</v>
      </c>
    </row>
    <row r="2032" spans="1:14" x14ac:dyDescent="0.25">
      <c r="A2032">
        <v>1217.0776289999999</v>
      </c>
      <c r="B2032" s="1">
        <f>DATE(2013,8,30) + TIME(1,51,47)</f>
        <v>41516.077627314815</v>
      </c>
      <c r="C2032">
        <v>1339.0911865</v>
      </c>
      <c r="D2032">
        <v>1336.9715576000001</v>
      </c>
      <c r="E2032">
        <v>1325.8825684000001</v>
      </c>
      <c r="F2032">
        <v>1323.5291748</v>
      </c>
      <c r="G2032">
        <v>80</v>
      </c>
      <c r="H2032">
        <v>79.973854064999998</v>
      </c>
      <c r="I2032">
        <v>50</v>
      </c>
      <c r="J2032">
        <v>49.340728759999998</v>
      </c>
      <c r="K2032">
        <v>2400</v>
      </c>
      <c r="L2032">
        <v>0</v>
      </c>
      <c r="M2032">
        <v>0</v>
      </c>
      <c r="N2032">
        <v>2400</v>
      </c>
    </row>
    <row r="2033" spans="1:14" x14ac:dyDescent="0.25">
      <c r="A2033">
        <v>1219</v>
      </c>
      <c r="B2033" s="1">
        <f>DATE(2013,9,1) + TIME(0,0,0)</f>
        <v>41518</v>
      </c>
      <c r="C2033">
        <v>1339.0859375</v>
      </c>
      <c r="D2033">
        <v>1336.96875</v>
      </c>
      <c r="E2033">
        <v>1325.8760986</v>
      </c>
      <c r="F2033">
        <v>1323.5168457</v>
      </c>
      <c r="G2033">
        <v>80</v>
      </c>
      <c r="H2033">
        <v>79.973861693999993</v>
      </c>
      <c r="I2033">
        <v>50</v>
      </c>
      <c r="J2033">
        <v>49.716529846</v>
      </c>
      <c r="K2033">
        <v>2400</v>
      </c>
      <c r="L2033">
        <v>0</v>
      </c>
      <c r="M2033">
        <v>0</v>
      </c>
      <c r="N2033">
        <v>2400</v>
      </c>
    </row>
    <row r="2034" spans="1:14" x14ac:dyDescent="0.25">
      <c r="A2034">
        <v>1221.1374109999999</v>
      </c>
      <c r="B2034" s="1">
        <f>DATE(2013,9,3) + TIME(3,17,52)</f>
        <v>41520.137407407405</v>
      </c>
      <c r="C2034">
        <v>1339.0812988</v>
      </c>
      <c r="D2034">
        <v>1336.9663086</v>
      </c>
      <c r="E2034">
        <v>1325.8701172000001</v>
      </c>
      <c r="F2034">
        <v>1323.5065918</v>
      </c>
      <c r="G2034">
        <v>80</v>
      </c>
      <c r="H2034">
        <v>79.973861693999993</v>
      </c>
      <c r="I2034">
        <v>50</v>
      </c>
      <c r="J2034">
        <v>50.110958099000001</v>
      </c>
      <c r="K2034">
        <v>2400</v>
      </c>
      <c r="L2034">
        <v>0</v>
      </c>
      <c r="M2034">
        <v>0</v>
      </c>
      <c r="N2034">
        <v>2400</v>
      </c>
    </row>
    <row r="2035" spans="1:14" x14ac:dyDescent="0.25">
      <c r="A2035">
        <v>1223.39274</v>
      </c>
      <c r="B2035" s="1">
        <f>DATE(2013,9,5) + TIME(9,25,32)</f>
        <v>41522.392731481479</v>
      </c>
      <c r="C2035">
        <v>1339.0761719</v>
      </c>
      <c r="D2035">
        <v>1336.9636230000001</v>
      </c>
      <c r="E2035">
        <v>1325.8648682</v>
      </c>
      <c r="F2035">
        <v>1323.4970702999999</v>
      </c>
      <c r="G2035">
        <v>80</v>
      </c>
      <c r="H2035">
        <v>79.973869324000006</v>
      </c>
      <c r="I2035">
        <v>50</v>
      </c>
      <c r="J2035">
        <v>50.554466247999997</v>
      </c>
      <c r="K2035">
        <v>2400</v>
      </c>
      <c r="L2035">
        <v>0</v>
      </c>
      <c r="M2035">
        <v>0</v>
      </c>
      <c r="N2035">
        <v>2400</v>
      </c>
    </row>
    <row r="2036" spans="1:14" x14ac:dyDescent="0.25">
      <c r="A2036">
        <v>1225.7329319999999</v>
      </c>
      <c r="B2036" s="1">
        <f>DATE(2013,9,7) + TIME(17,35,25)</f>
        <v>41524.732928240737</v>
      </c>
      <c r="C2036">
        <v>1339.0709228999999</v>
      </c>
      <c r="D2036">
        <v>1336.9606934000001</v>
      </c>
      <c r="E2036">
        <v>1325.8601074000001</v>
      </c>
      <c r="F2036">
        <v>1323.4886475000001</v>
      </c>
      <c r="G2036">
        <v>80</v>
      </c>
      <c r="H2036">
        <v>79.973876953000001</v>
      </c>
      <c r="I2036">
        <v>50</v>
      </c>
      <c r="J2036">
        <v>51.041347504000001</v>
      </c>
      <c r="K2036">
        <v>2400</v>
      </c>
      <c r="L2036">
        <v>0</v>
      </c>
      <c r="M2036">
        <v>0</v>
      </c>
      <c r="N2036">
        <v>2400</v>
      </c>
    </row>
    <row r="2037" spans="1:14" x14ac:dyDescent="0.25">
      <c r="A2037">
        <v>1228.2106779999999</v>
      </c>
      <c r="B2037" s="1">
        <f>DATE(2013,9,10) + TIME(5,3,22)</f>
        <v>41527.2106712963</v>
      </c>
      <c r="C2037">
        <v>1339.0655518000001</v>
      </c>
      <c r="D2037">
        <v>1336.9577637</v>
      </c>
      <c r="E2037">
        <v>1325.8558350000001</v>
      </c>
      <c r="F2037">
        <v>1323.4812012</v>
      </c>
      <c r="G2037">
        <v>80</v>
      </c>
      <c r="H2037">
        <v>79.973884583</v>
      </c>
      <c r="I2037">
        <v>50</v>
      </c>
      <c r="J2037">
        <v>51.563541411999999</v>
      </c>
      <c r="K2037">
        <v>2400</v>
      </c>
      <c r="L2037">
        <v>0</v>
      </c>
      <c r="M2037">
        <v>0</v>
      </c>
      <c r="N2037">
        <v>2400</v>
      </c>
    </row>
    <row r="2038" spans="1:14" x14ac:dyDescent="0.25">
      <c r="A2038">
        <v>1230.7624450000001</v>
      </c>
      <c r="B2038" s="1">
        <f>DATE(2013,9,12) + TIME(18,17,55)</f>
        <v>41529.762442129628</v>
      </c>
      <c r="C2038">
        <v>1339.0599365</v>
      </c>
      <c r="D2038">
        <v>1336.9547118999999</v>
      </c>
      <c r="E2038">
        <v>1325.8521728999999</v>
      </c>
      <c r="F2038">
        <v>1323.4748535000001</v>
      </c>
      <c r="G2038">
        <v>80</v>
      </c>
      <c r="H2038">
        <v>79.973892211999996</v>
      </c>
      <c r="I2038">
        <v>50</v>
      </c>
      <c r="J2038">
        <v>52.117839813000003</v>
      </c>
      <c r="K2038">
        <v>2400</v>
      </c>
      <c r="L2038">
        <v>0</v>
      </c>
      <c r="M2038">
        <v>0</v>
      </c>
      <c r="N2038">
        <v>2400</v>
      </c>
    </row>
    <row r="2039" spans="1:14" x14ac:dyDescent="0.25">
      <c r="A2039">
        <v>1233.439359</v>
      </c>
      <c r="B2039" s="1">
        <f>DATE(2013,9,15) + TIME(10,32,40)</f>
        <v>41532.439351851855</v>
      </c>
      <c r="C2039">
        <v>1339.0543213000001</v>
      </c>
      <c r="D2039">
        <v>1336.9516602000001</v>
      </c>
      <c r="E2039">
        <v>1325.848999</v>
      </c>
      <c r="F2039">
        <v>1323.4696045000001</v>
      </c>
      <c r="G2039">
        <v>80</v>
      </c>
      <c r="H2039">
        <v>79.973899841000005</v>
      </c>
      <c r="I2039">
        <v>50</v>
      </c>
      <c r="J2039">
        <v>52.691467285000002</v>
      </c>
      <c r="K2039">
        <v>2400</v>
      </c>
      <c r="L2039">
        <v>0</v>
      </c>
      <c r="M2039">
        <v>0</v>
      </c>
      <c r="N2039">
        <v>2400</v>
      </c>
    </row>
    <row r="2040" spans="1:14" x14ac:dyDescent="0.25">
      <c r="A2040">
        <v>1236.196776</v>
      </c>
      <c r="B2040" s="1">
        <f>DATE(2013,9,18) + TIME(4,43,21)</f>
        <v>41535.196770833332</v>
      </c>
      <c r="C2040">
        <v>1339.0485839999999</v>
      </c>
      <c r="D2040">
        <v>1336.9484863</v>
      </c>
      <c r="E2040">
        <v>1325.8464355000001</v>
      </c>
      <c r="F2040">
        <v>1323.465332</v>
      </c>
      <c r="G2040">
        <v>80</v>
      </c>
      <c r="H2040">
        <v>79.973915099999999</v>
      </c>
      <c r="I2040">
        <v>50</v>
      </c>
      <c r="J2040">
        <v>53.279766082999998</v>
      </c>
      <c r="K2040">
        <v>2400</v>
      </c>
      <c r="L2040">
        <v>0</v>
      </c>
      <c r="M2040">
        <v>0</v>
      </c>
      <c r="N2040">
        <v>2400</v>
      </c>
    </row>
    <row r="2041" spans="1:14" x14ac:dyDescent="0.25">
      <c r="A2041">
        <v>1239.032539</v>
      </c>
      <c r="B2041" s="1">
        <f>DATE(2013,9,21) + TIME(0,46,51)</f>
        <v>41538.032534722224</v>
      </c>
      <c r="C2041">
        <v>1339.0427245999999</v>
      </c>
      <c r="D2041">
        <v>1336.9453125</v>
      </c>
      <c r="E2041">
        <v>1325.8446045000001</v>
      </c>
      <c r="F2041">
        <v>1323.4620361</v>
      </c>
      <c r="G2041">
        <v>80</v>
      </c>
      <c r="H2041">
        <v>79.973922728999995</v>
      </c>
      <c r="I2041">
        <v>50</v>
      </c>
      <c r="J2041">
        <v>53.865764618</v>
      </c>
      <c r="K2041">
        <v>2400</v>
      </c>
      <c r="L2041">
        <v>0</v>
      </c>
      <c r="M2041">
        <v>0</v>
      </c>
      <c r="N2041">
        <v>2400</v>
      </c>
    </row>
    <row r="2042" spans="1:14" x14ac:dyDescent="0.25">
      <c r="A2042">
        <v>1241.9983950000001</v>
      </c>
      <c r="B2042" s="1">
        <f>DATE(2013,9,23) + TIME(23,57,41)</f>
        <v>41540.998391203706</v>
      </c>
      <c r="C2042">
        <v>1339.0369873</v>
      </c>
      <c r="D2042">
        <v>1336.9420166</v>
      </c>
      <c r="E2042">
        <v>1325.8432617000001</v>
      </c>
      <c r="F2042">
        <v>1323.4598389</v>
      </c>
      <c r="G2042">
        <v>80</v>
      </c>
      <c r="H2042">
        <v>79.973937988000003</v>
      </c>
      <c r="I2042">
        <v>50</v>
      </c>
      <c r="J2042">
        <v>54.449272155999999</v>
      </c>
      <c r="K2042">
        <v>2400</v>
      </c>
      <c r="L2042">
        <v>0</v>
      </c>
      <c r="M2042">
        <v>0</v>
      </c>
      <c r="N2042">
        <v>2400</v>
      </c>
    </row>
    <row r="2043" spans="1:14" x14ac:dyDescent="0.25">
      <c r="A2043">
        <v>1245.010908</v>
      </c>
      <c r="B2043" s="1">
        <f>DATE(2013,9,27) + TIME(0,15,42)</f>
        <v>41544.01090277778</v>
      </c>
      <c r="C2043">
        <v>1339.0310059000001</v>
      </c>
      <c r="D2043">
        <v>1336.9387207</v>
      </c>
      <c r="E2043">
        <v>1325.8426514</v>
      </c>
      <c r="F2043">
        <v>1323.458374</v>
      </c>
      <c r="G2043">
        <v>80</v>
      </c>
      <c r="H2043">
        <v>79.973953246999997</v>
      </c>
      <c r="I2043">
        <v>50</v>
      </c>
      <c r="J2043">
        <v>55.030197143999999</v>
      </c>
      <c r="K2043">
        <v>2400</v>
      </c>
      <c r="L2043">
        <v>0</v>
      </c>
      <c r="M2043">
        <v>0</v>
      </c>
      <c r="N2043">
        <v>2400</v>
      </c>
    </row>
    <row r="2044" spans="1:14" x14ac:dyDescent="0.25">
      <c r="A2044">
        <v>1248.12547</v>
      </c>
      <c r="B2044" s="1">
        <f>DATE(2013,9,30) + TIME(3,0,40)</f>
        <v>41547.125462962962</v>
      </c>
      <c r="C2044">
        <v>1339.0251464999999</v>
      </c>
      <c r="D2044">
        <v>1336.9354248</v>
      </c>
      <c r="E2044">
        <v>1325.8425293</v>
      </c>
      <c r="F2044">
        <v>1323.4578856999999</v>
      </c>
      <c r="G2044">
        <v>80</v>
      </c>
      <c r="H2044">
        <v>79.973968506000006</v>
      </c>
      <c r="I2044">
        <v>50</v>
      </c>
      <c r="J2044">
        <v>55.600402832</v>
      </c>
      <c r="K2044">
        <v>2400</v>
      </c>
      <c r="L2044">
        <v>0</v>
      </c>
      <c r="M2044">
        <v>0</v>
      </c>
      <c r="N2044">
        <v>2400</v>
      </c>
    </row>
    <row r="2045" spans="1:14" x14ac:dyDescent="0.25">
      <c r="A2045">
        <v>1249</v>
      </c>
      <c r="B2045" s="1">
        <f>DATE(2013,10,1) + TIME(0,0,0)</f>
        <v>41548</v>
      </c>
      <c r="C2045">
        <v>1339.0192870999999</v>
      </c>
      <c r="D2045">
        <v>1336.9321289</v>
      </c>
      <c r="E2045">
        <v>1325.8466797000001</v>
      </c>
      <c r="F2045">
        <v>1323.4589844</v>
      </c>
      <c r="G2045">
        <v>80</v>
      </c>
      <c r="H2045">
        <v>79.973953246999997</v>
      </c>
      <c r="I2045">
        <v>50</v>
      </c>
      <c r="J2045">
        <v>55.994445800999998</v>
      </c>
      <c r="K2045">
        <v>2400</v>
      </c>
      <c r="L2045">
        <v>0</v>
      </c>
      <c r="M2045">
        <v>0</v>
      </c>
      <c r="N2045">
        <v>2400</v>
      </c>
    </row>
    <row r="2046" spans="1:14" x14ac:dyDescent="0.25">
      <c r="A2046">
        <v>1252.2214429999999</v>
      </c>
      <c r="B2046" s="1">
        <f>DATE(2013,10,4) + TIME(5,18,52)</f>
        <v>41551.221435185187</v>
      </c>
      <c r="C2046">
        <v>1339.0175781</v>
      </c>
      <c r="D2046">
        <v>1336.9312743999999</v>
      </c>
      <c r="E2046">
        <v>1325.8432617000001</v>
      </c>
      <c r="F2046">
        <v>1323.4605713000001</v>
      </c>
      <c r="G2046">
        <v>80</v>
      </c>
      <c r="H2046">
        <v>79.973983765</v>
      </c>
      <c r="I2046">
        <v>50</v>
      </c>
      <c r="J2046">
        <v>56.348751067999999</v>
      </c>
      <c r="K2046">
        <v>2400</v>
      </c>
      <c r="L2046">
        <v>0</v>
      </c>
      <c r="M2046">
        <v>0</v>
      </c>
      <c r="N2046">
        <v>2400</v>
      </c>
    </row>
    <row r="2047" spans="1:14" x14ac:dyDescent="0.25">
      <c r="A2047">
        <v>1255.5445549999999</v>
      </c>
      <c r="B2047" s="1">
        <f>DATE(2013,10,7) + TIME(13,4,9)</f>
        <v>41554.544548611113</v>
      </c>
      <c r="C2047">
        <v>1339.0115966999999</v>
      </c>
      <c r="D2047">
        <v>1336.9278564000001</v>
      </c>
      <c r="E2047">
        <v>1325.84375</v>
      </c>
      <c r="F2047">
        <v>1323.4589844</v>
      </c>
      <c r="G2047">
        <v>80</v>
      </c>
      <c r="H2047">
        <v>79.973999023000005</v>
      </c>
      <c r="I2047">
        <v>50</v>
      </c>
      <c r="J2047">
        <v>56.858070374</v>
      </c>
      <c r="K2047">
        <v>2400</v>
      </c>
      <c r="L2047">
        <v>0</v>
      </c>
      <c r="M2047">
        <v>0</v>
      </c>
      <c r="N2047">
        <v>2400</v>
      </c>
    </row>
    <row r="2048" spans="1:14" x14ac:dyDescent="0.25">
      <c r="A2048">
        <v>1258.9846649999999</v>
      </c>
      <c r="B2048" s="1">
        <f>DATE(2013,10,10) + TIME(23,37,55)</f>
        <v>41557.984664351854</v>
      </c>
      <c r="C2048">
        <v>1339.0057373</v>
      </c>
      <c r="D2048">
        <v>1336.9245605000001</v>
      </c>
      <c r="E2048">
        <v>1325.8448486</v>
      </c>
      <c r="F2048">
        <v>1323.4597168</v>
      </c>
      <c r="G2048">
        <v>80</v>
      </c>
      <c r="H2048">
        <v>79.974021911999998</v>
      </c>
      <c r="I2048">
        <v>50</v>
      </c>
      <c r="J2048">
        <v>57.382373809999997</v>
      </c>
      <c r="K2048">
        <v>2400</v>
      </c>
      <c r="L2048">
        <v>0</v>
      </c>
      <c r="M2048">
        <v>0</v>
      </c>
      <c r="N2048">
        <v>2400</v>
      </c>
    </row>
    <row r="2049" spans="1:14" x14ac:dyDescent="0.25">
      <c r="A2049">
        <v>1262.5123229999999</v>
      </c>
      <c r="B2049" s="1">
        <f>DATE(2013,10,14) + TIME(12,17,44)</f>
        <v>41561.512314814812</v>
      </c>
      <c r="C2049">
        <v>1338.9996338000001</v>
      </c>
      <c r="D2049">
        <v>1336.9211425999999</v>
      </c>
      <c r="E2049">
        <v>1325.8461914</v>
      </c>
      <c r="F2049">
        <v>1323.4610596</v>
      </c>
      <c r="G2049">
        <v>80</v>
      </c>
      <c r="H2049">
        <v>79.974037170000003</v>
      </c>
      <c r="I2049">
        <v>50</v>
      </c>
      <c r="J2049">
        <v>57.897956848</v>
      </c>
      <c r="K2049">
        <v>2400</v>
      </c>
      <c r="L2049">
        <v>0</v>
      </c>
      <c r="M2049">
        <v>0</v>
      </c>
      <c r="N2049">
        <v>2400</v>
      </c>
    </row>
    <row r="2050" spans="1:14" x14ac:dyDescent="0.25">
      <c r="A2050">
        <v>1266.1321049999999</v>
      </c>
      <c r="B2050" s="1">
        <f>DATE(2013,10,18) + TIME(3,10,13)</f>
        <v>41565.132094907407</v>
      </c>
      <c r="C2050">
        <v>1338.9936522999999</v>
      </c>
      <c r="D2050">
        <v>1336.9177245999999</v>
      </c>
      <c r="E2050">
        <v>1325.8477783000001</v>
      </c>
      <c r="F2050">
        <v>1323.4626464999999</v>
      </c>
      <c r="G2050">
        <v>80</v>
      </c>
      <c r="H2050">
        <v>79.974060058999996</v>
      </c>
      <c r="I2050">
        <v>50</v>
      </c>
      <c r="J2050">
        <v>58.393161773999999</v>
      </c>
      <c r="K2050">
        <v>2400</v>
      </c>
      <c r="L2050">
        <v>0</v>
      </c>
      <c r="M2050">
        <v>0</v>
      </c>
      <c r="N2050">
        <v>2400</v>
      </c>
    </row>
    <row r="2051" spans="1:14" x14ac:dyDescent="0.25">
      <c r="A2051">
        <v>1269.8856900000001</v>
      </c>
      <c r="B2051" s="1">
        <f>DATE(2013,10,21) + TIME(21,15,23)</f>
        <v>41568.885682870372</v>
      </c>
      <c r="C2051">
        <v>1338.987793</v>
      </c>
      <c r="D2051">
        <v>1336.9143065999999</v>
      </c>
      <c r="E2051">
        <v>1325.8494873</v>
      </c>
      <c r="F2051">
        <v>1323.4643555</v>
      </c>
      <c r="G2051">
        <v>80</v>
      </c>
      <c r="H2051">
        <v>79.974082946999999</v>
      </c>
      <c r="I2051">
        <v>50</v>
      </c>
      <c r="J2051">
        <v>58.875270843999999</v>
      </c>
      <c r="K2051">
        <v>2400</v>
      </c>
      <c r="L2051">
        <v>0</v>
      </c>
      <c r="M2051">
        <v>0</v>
      </c>
      <c r="N2051">
        <v>2400</v>
      </c>
    </row>
    <row r="2052" spans="1:14" x14ac:dyDescent="0.25">
      <c r="A2052">
        <v>1273.7298719999999</v>
      </c>
      <c r="B2052" s="1">
        <f>DATE(2013,10,25) + TIME(17,31,0)</f>
        <v>41572.729861111111</v>
      </c>
      <c r="C2052">
        <v>1338.9816894999999</v>
      </c>
      <c r="D2052">
        <v>1336.9107666</v>
      </c>
      <c r="E2052">
        <v>1325.8514404</v>
      </c>
      <c r="F2052">
        <v>1323.4661865</v>
      </c>
      <c r="G2052">
        <v>80</v>
      </c>
      <c r="H2052">
        <v>79.974105835000003</v>
      </c>
      <c r="I2052">
        <v>50</v>
      </c>
      <c r="J2052">
        <v>59.334472656000003</v>
      </c>
      <c r="K2052">
        <v>2400</v>
      </c>
      <c r="L2052">
        <v>0</v>
      </c>
      <c r="M2052">
        <v>0</v>
      </c>
      <c r="N2052">
        <v>2400</v>
      </c>
    </row>
    <row r="2053" spans="1:14" x14ac:dyDescent="0.25">
      <c r="A2053">
        <v>1277.6688360000001</v>
      </c>
      <c r="B2053" s="1">
        <f>DATE(2013,10,29) + TIME(16,3,7)</f>
        <v>41576.66883101852</v>
      </c>
      <c r="C2053">
        <v>1338.9757079999999</v>
      </c>
      <c r="D2053">
        <v>1336.9073486</v>
      </c>
      <c r="E2053">
        <v>1325.8533935999999</v>
      </c>
      <c r="F2053">
        <v>1323.4681396000001</v>
      </c>
      <c r="G2053">
        <v>80</v>
      </c>
      <c r="H2053">
        <v>79.974128723000007</v>
      </c>
      <c r="I2053">
        <v>50</v>
      </c>
      <c r="J2053">
        <v>59.789028168000002</v>
      </c>
      <c r="K2053">
        <v>2400</v>
      </c>
      <c r="L2053">
        <v>0</v>
      </c>
      <c r="M2053">
        <v>0</v>
      </c>
      <c r="N2053">
        <v>2400</v>
      </c>
    </row>
    <row r="2054" spans="1:14" x14ac:dyDescent="0.25">
      <c r="A2054">
        <v>1280</v>
      </c>
      <c r="B2054" s="1">
        <f>DATE(2013,11,1) + TIME(0,0,0)</f>
        <v>41579</v>
      </c>
      <c r="C2054">
        <v>1338.9697266000001</v>
      </c>
      <c r="D2054">
        <v>1336.9039307</v>
      </c>
      <c r="E2054">
        <v>1325.8564452999999</v>
      </c>
      <c r="F2054">
        <v>1323.4704589999999</v>
      </c>
      <c r="G2054">
        <v>80</v>
      </c>
      <c r="H2054">
        <v>79.974136353000006</v>
      </c>
      <c r="I2054">
        <v>50</v>
      </c>
      <c r="J2054">
        <v>60.161403655999997</v>
      </c>
      <c r="K2054">
        <v>2400</v>
      </c>
      <c r="L2054">
        <v>0</v>
      </c>
      <c r="M2054">
        <v>0</v>
      </c>
      <c r="N2054">
        <v>2400</v>
      </c>
    </row>
    <row r="2055" spans="1:14" x14ac:dyDescent="0.25">
      <c r="A2055">
        <v>1280.0000010000001</v>
      </c>
      <c r="B2055" s="1">
        <f>DATE(2013,11,1) + TIME(0,0,0)</f>
        <v>41579</v>
      </c>
      <c r="C2055">
        <v>1336.2700195</v>
      </c>
      <c r="D2055">
        <v>1335.6021728999999</v>
      </c>
      <c r="E2055">
        <v>1329.0758057</v>
      </c>
      <c r="F2055">
        <v>1326.7652588000001</v>
      </c>
      <c r="G2055">
        <v>80</v>
      </c>
      <c r="H2055">
        <v>79.974044800000001</v>
      </c>
      <c r="I2055">
        <v>50</v>
      </c>
      <c r="J2055">
        <v>60.161506653000004</v>
      </c>
      <c r="K2055">
        <v>0</v>
      </c>
      <c r="L2055">
        <v>2400</v>
      </c>
      <c r="M2055">
        <v>2400</v>
      </c>
      <c r="N2055">
        <v>0</v>
      </c>
    </row>
    <row r="2056" spans="1:14" x14ac:dyDescent="0.25">
      <c r="A2056">
        <v>1280.000004</v>
      </c>
      <c r="B2056" s="1">
        <f>DATE(2013,11,1) + TIME(0,0,0)</f>
        <v>41579</v>
      </c>
      <c r="C2056">
        <v>1335.4228516000001</v>
      </c>
      <c r="D2056">
        <v>1334.7438964999999</v>
      </c>
      <c r="E2056">
        <v>1330.2641602000001</v>
      </c>
      <c r="F2056">
        <v>1328.0562743999999</v>
      </c>
      <c r="G2056">
        <v>80</v>
      </c>
      <c r="H2056">
        <v>79.973922728999995</v>
      </c>
      <c r="I2056">
        <v>50</v>
      </c>
      <c r="J2056">
        <v>60.161624908</v>
      </c>
      <c r="K2056">
        <v>0</v>
      </c>
      <c r="L2056">
        <v>2400</v>
      </c>
      <c r="M2056">
        <v>2400</v>
      </c>
      <c r="N2056">
        <v>0</v>
      </c>
    </row>
    <row r="2057" spans="1:14" x14ac:dyDescent="0.25">
      <c r="A2057">
        <v>1280.0000130000001</v>
      </c>
      <c r="B2057" s="1">
        <f>DATE(2013,11,1) + TIME(0,0,1)</f>
        <v>41579.000011574077</v>
      </c>
      <c r="C2057">
        <v>1334.5435791</v>
      </c>
      <c r="D2057">
        <v>1333.8326416</v>
      </c>
      <c r="E2057">
        <v>1331.6983643000001</v>
      </c>
      <c r="F2057">
        <v>1329.4748535000001</v>
      </c>
      <c r="G2057">
        <v>80</v>
      </c>
      <c r="H2057">
        <v>79.973800659000005</v>
      </c>
      <c r="I2057">
        <v>50</v>
      </c>
      <c r="J2057">
        <v>60.161663054999998</v>
      </c>
      <c r="K2057">
        <v>0</v>
      </c>
      <c r="L2057">
        <v>2400</v>
      </c>
      <c r="M2057">
        <v>2400</v>
      </c>
      <c r="N2057">
        <v>0</v>
      </c>
    </row>
    <row r="2058" spans="1:14" x14ac:dyDescent="0.25">
      <c r="A2058">
        <v>1280.0000399999999</v>
      </c>
      <c r="B2058" s="1">
        <f>DATE(2013,11,1) + TIME(0,0,3)</f>
        <v>41579.000034722223</v>
      </c>
      <c r="C2058">
        <v>1333.6749268000001</v>
      </c>
      <c r="D2058">
        <v>1332.9213867000001</v>
      </c>
      <c r="E2058">
        <v>1333.1506348</v>
      </c>
      <c r="F2058">
        <v>1330.885376</v>
      </c>
      <c r="G2058">
        <v>80</v>
      </c>
      <c r="H2058">
        <v>79.973670959000003</v>
      </c>
      <c r="I2058">
        <v>50</v>
      </c>
      <c r="J2058">
        <v>60.161388397000003</v>
      </c>
      <c r="K2058">
        <v>0</v>
      </c>
      <c r="L2058">
        <v>2400</v>
      </c>
      <c r="M2058">
        <v>2400</v>
      </c>
      <c r="N2058">
        <v>0</v>
      </c>
    </row>
    <row r="2059" spans="1:14" x14ac:dyDescent="0.25">
      <c r="A2059">
        <v>1280.000121</v>
      </c>
      <c r="B2059" s="1">
        <f>DATE(2013,11,1) + TIME(0,0,10)</f>
        <v>41579.000115740739</v>
      </c>
      <c r="C2059">
        <v>1332.7766113</v>
      </c>
      <c r="D2059">
        <v>1331.9683838000001</v>
      </c>
      <c r="E2059">
        <v>1334.5799560999999</v>
      </c>
      <c r="F2059">
        <v>1332.2729492000001</v>
      </c>
      <c r="G2059">
        <v>80</v>
      </c>
      <c r="H2059">
        <v>79.973541260000005</v>
      </c>
      <c r="I2059">
        <v>50</v>
      </c>
      <c r="J2059">
        <v>60.160167694000002</v>
      </c>
      <c r="K2059">
        <v>0</v>
      </c>
      <c r="L2059">
        <v>2400</v>
      </c>
      <c r="M2059">
        <v>2400</v>
      </c>
      <c r="N2059">
        <v>0</v>
      </c>
    </row>
    <row r="2060" spans="1:14" x14ac:dyDescent="0.25">
      <c r="A2060">
        <v>1280.000364</v>
      </c>
      <c r="B2060" s="1">
        <f>DATE(2013,11,1) + TIME(0,0,31)</f>
        <v>41579.000358796293</v>
      </c>
      <c r="C2060">
        <v>1331.8294678</v>
      </c>
      <c r="D2060">
        <v>1330.9593506000001</v>
      </c>
      <c r="E2060">
        <v>1335.9829102000001</v>
      </c>
      <c r="F2060">
        <v>1333.6235352000001</v>
      </c>
      <c r="G2060">
        <v>80</v>
      </c>
      <c r="H2060">
        <v>79.973373413000004</v>
      </c>
      <c r="I2060">
        <v>50</v>
      </c>
      <c r="J2060">
        <v>60.156044006000002</v>
      </c>
      <c r="K2060">
        <v>0</v>
      </c>
      <c r="L2060">
        <v>2400</v>
      </c>
      <c r="M2060">
        <v>2400</v>
      </c>
      <c r="N2060">
        <v>0</v>
      </c>
    </row>
    <row r="2061" spans="1:14" x14ac:dyDescent="0.25">
      <c r="A2061">
        <v>1280.0010930000001</v>
      </c>
      <c r="B2061" s="1">
        <f>DATE(2013,11,1) + TIME(0,1,34)</f>
        <v>41579.001087962963</v>
      </c>
      <c r="C2061">
        <v>1330.9329834</v>
      </c>
      <c r="D2061">
        <v>1330.0076904</v>
      </c>
      <c r="E2061">
        <v>1337.2423096</v>
      </c>
      <c r="F2061">
        <v>1334.8239745999999</v>
      </c>
      <c r="G2061">
        <v>80</v>
      </c>
      <c r="H2061">
        <v>79.973159789999997</v>
      </c>
      <c r="I2061">
        <v>50</v>
      </c>
      <c r="J2061">
        <v>60.142997741999999</v>
      </c>
      <c r="K2061">
        <v>0</v>
      </c>
      <c r="L2061">
        <v>2400</v>
      </c>
      <c r="M2061">
        <v>2400</v>
      </c>
      <c r="N2061">
        <v>0</v>
      </c>
    </row>
    <row r="2062" spans="1:14" x14ac:dyDescent="0.25">
      <c r="A2062">
        <v>1280.0032799999999</v>
      </c>
      <c r="B2062" s="1">
        <f>DATE(2013,11,1) + TIME(0,4,43)</f>
        <v>41579.003275462965</v>
      </c>
      <c r="C2062">
        <v>1330.3026123</v>
      </c>
      <c r="D2062">
        <v>1329.3453368999999</v>
      </c>
      <c r="E2062">
        <v>1338.1182861</v>
      </c>
      <c r="F2062">
        <v>1335.6582031</v>
      </c>
      <c r="G2062">
        <v>80</v>
      </c>
      <c r="H2062">
        <v>79.972808838000006</v>
      </c>
      <c r="I2062">
        <v>50</v>
      </c>
      <c r="J2062">
        <v>60.102993011000002</v>
      </c>
      <c r="K2062">
        <v>0</v>
      </c>
      <c r="L2062">
        <v>2400</v>
      </c>
      <c r="M2062">
        <v>2400</v>
      </c>
      <c r="N2062">
        <v>0</v>
      </c>
    </row>
    <row r="2063" spans="1:14" x14ac:dyDescent="0.25">
      <c r="A2063">
        <v>1280.0098410000001</v>
      </c>
      <c r="B2063" s="1">
        <f>DATE(2013,11,1) + TIME(0,14,10)</f>
        <v>41579.009837962964</v>
      </c>
      <c r="C2063">
        <v>1330.050293</v>
      </c>
      <c r="D2063">
        <v>1329.0827637</v>
      </c>
      <c r="E2063">
        <v>1338.4841309000001</v>
      </c>
      <c r="F2063">
        <v>1336.0086670000001</v>
      </c>
      <c r="G2063">
        <v>80</v>
      </c>
      <c r="H2063">
        <v>79.971977233999993</v>
      </c>
      <c r="I2063">
        <v>50</v>
      </c>
      <c r="J2063">
        <v>59.983581543</v>
      </c>
      <c r="K2063">
        <v>0</v>
      </c>
      <c r="L2063">
        <v>2400</v>
      </c>
      <c r="M2063">
        <v>2400</v>
      </c>
      <c r="N2063">
        <v>0</v>
      </c>
    </row>
    <row r="2064" spans="1:14" x14ac:dyDescent="0.25">
      <c r="A2064">
        <v>1280.029524</v>
      </c>
      <c r="B2064" s="1">
        <f>DATE(2013,11,1) + TIME(0,42,30)</f>
        <v>41579.029513888891</v>
      </c>
      <c r="C2064">
        <v>1330.0070800999999</v>
      </c>
      <c r="D2064">
        <v>1329.0371094</v>
      </c>
      <c r="E2064">
        <v>1338.5441894999999</v>
      </c>
      <c r="F2064">
        <v>1336.0668945</v>
      </c>
      <c r="G2064">
        <v>80</v>
      </c>
      <c r="H2064">
        <v>79.969627380000006</v>
      </c>
      <c r="I2064">
        <v>50</v>
      </c>
      <c r="J2064">
        <v>59.638912200999997</v>
      </c>
      <c r="K2064">
        <v>0</v>
      </c>
      <c r="L2064">
        <v>2400</v>
      </c>
      <c r="M2064">
        <v>2400</v>
      </c>
      <c r="N2064">
        <v>0</v>
      </c>
    </row>
    <row r="2065" spans="1:14" x14ac:dyDescent="0.25">
      <c r="A2065">
        <v>1280.0544070000001</v>
      </c>
      <c r="B2065" s="1">
        <f>DATE(2013,11,1) + TIME(1,18,20)</f>
        <v>41579.054398148146</v>
      </c>
      <c r="C2065">
        <v>1330.0015868999999</v>
      </c>
      <c r="D2065">
        <v>1329.0296631000001</v>
      </c>
      <c r="E2065">
        <v>1338.5356445</v>
      </c>
      <c r="F2065">
        <v>1336.0593262</v>
      </c>
      <c r="G2065">
        <v>80</v>
      </c>
      <c r="H2065">
        <v>79.966674804999997</v>
      </c>
      <c r="I2065">
        <v>50</v>
      </c>
      <c r="J2065">
        <v>59.224697112999998</v>
      </c>
      <c r="K2065">
        <v>0</v>
      </c>
      <c r="L2065">
        <v>2400</v>
      </c>
      <c r="M2065">
        <v>2400</v>
      </c>
      <c r="N2065">
        <v>0</v>
      </c>
    </row>
    <row r="2066" spans="1:14" x14ac:dyDescent="0.25">
      <c r="A2066">
        <v>1280.0803020000001</v>
      </c>
      <c r="B2066" s="1">
        <f>DATE(2013,11,1) + TIME(1,55,38)</f>
        <v>41579.080300925925</v>
      </c>
      <c r="C2066">
        <v>1329.9974365</v>
      </c>
      <c r="D2066">
        <v>1329.0234375</v>
      </c>
      <c r="E2066">
        <v>1338.5227050999999</v>
      </c>
      <c r="F2066">
        <v>1336.0474853999999</v>
      </c>
      <c r="G2066">
        <v>80</v>
      </c>
      <c r="H2066">
        <v>79.963630675999994</v>
      </c>
      <c r="I2066">
        <v>50</v>
      </c>
      <c r="J2066">
        <v>58.815544127999999</v>
      </c>
      <c r="K2066">
        <v>0</v>
      </c>
      <c r="L2066">
        <v>2400</v>
      </c>
      <c r="M2066">
        <v>2400</v>
      </c>
      <c r="N2066">
        <v>0</v>
      </c>
    </row>
    <row r="2067" spans="1:14" x14ac:dyDescent="0.25">
      <c r="A2067">
        <v>1280.1072549999999</v>
      </c>
      <c r="B2067" s="1">
        <f>DATE(2013,11,1) + TIME(2,34,26)</f>
        <v>41579.107245370367</v>
      </c>
      <c r="C2067">
        <v>1329.9934082</v>
      </c>
      <c r="D2067">
        <v>1329.0170897999999</v>
      </c>
      <c r="E2067">
        <v>1338.5096435999999</v>
      </c>
      <c r="F2067">
        <v>1336.0355225000001</v>
      </c>
      <c r="G2067">
        <v>80</v>
      </c>
      <c r="H2067">
        <v>79.960472107000001</v>
      </c>
      <c r="I2067">
        <v>50</v>
      </c>
      <c r="J2067">
        <v>58.411903381000002</v>
      </c>
      <c r="K2067">
        <v>0</v>
      </c>
      <c r="L2067">
        <v>2400</v>
      </c>
      <c r="M2067">
        <v>2400</v>
      </c>
      <c r="N2067">
        <v>0</v>
      </c>
    </row>
    <row r="2068" spans="1:14" x14ac:dyDescent="0.25">
      <c r="A2068">
        <v>1280.1353320000001</v>
      </c>
      <c r="B2068" s="1">
        <f>DATE(2013,11,1) + TIME(3,14,52)</f>
        <v>41579.135324074072</v>
      </c>
      <c r="C2068">
        <v>1329.9892577999999</v>
      </c>
      <c r="D2068">
        <v>1329.0107422000001</v>
      </c>
      <c r="E2068">
        <v>1338.4969481999999</v>
      </c>
      <c r="F2068">
        <v>1336.0238036999999</v>
      </c>
      <c r="G2068">
        <v>80</v>
      </c>
      <c r="H2068">
        <v>79.957206725999995</v>
      </c>
      <c r="I2068">
        <v>50</v>
      </c>
      <c r="J2068">
        <v>58.013961792000003</v>
      </c>
      <c r="K2068">
        <v>0</v>
      </c>
      <c r="L2068">
        <v>2400</v>
      </c>
      <c r="M2068">
        <v>2400</v>
      </c>
      <c r="N2068">
        <v>0</v>
      </c>
    </row>
    <row r="2069" spans="1:14" x14ac:dyDescent="0.25">
      <c r="A2069">
        <v>1280.1646049999999</v>
      </c>
      <c r="B2069" s="1">
        <f>DATE(2013,11,1) + TIME(3,57,1)</f>
        <v>41579.164594907408</v>
      </c>
      <c r="C2069">
        <v>1329.9849853999999</v>
      </c>
      <c r="D2069">
        <v>1329.0041504000001</v>
      </c>
      <c r="E2069">
        <v>1338.484375</v>
      </c>
      <c r="F2069">
        <v>1336.0123291</v>
      </c>
      <c r="G2069">
        <v>80</v>
      </c>
      <c r="H2069">
        <v>79.953826903999996</v>
      </c>
      <c r="I2069">
        <v>50</v>
      </c>
      <c r="J2069">
        <v>57.621959685999997</v>
      </c>
      <c r="K2069">
        <v>0</v>
      </c>
      <c r="L2069">
        <v>2400</v>
      </c>
      <c r="M2069">
        <v>2400</v>
      </c>
      <c r="N2069">
        <v>0</v>
      </c>
    </row>
    <row r="2070" spans="1:14" x14ac:dyDescent="0.25">
      <c r="A2070">
        <v>1280.1951529999999</v>
      </c>
      <c r="B2070" s="1">
        <f>DATE(2013,11,1) + TIME(4,41,1)</f>
        <v>41579.195150462961</v>
      </c>
      <c r="C2070">
        <v>1329.9805908000001</v>
      </c>
      <c r="D2070">
        <v>1328.9975586</v>
      </c>
      <c r="E2070">
        <v>1338.472168</v>
      </c>
      <c r="F2070">
        <v>1336.0010986</v>
      </c>
      <c r="G2070">
        <v>80</v>
      </c>
      <c r="H2070">
        <v>79.950317382999998</v>
      </c>
      <c r="I2070">
        <v>50</v>
      </c>
      <c r="J2070">
        <v>57.236091614000003</v>
      </c>
      <c r="K2070">
        <v>0</v>
      </c>
      <c r="L2070">
        <v>2400</v>
      </c>
      <c r="M2070">
        <v>2400</v>
      </c>
      <c r="N2070">
        <v>0</v>
      </c>
    </row>
    <row r="2071" spans="1:14" x14ac:dyDescent="0.25">
      <c r="A2071">
        <v>1280.227063</v>
      </c>
      <c r="B2071" s="1">
        <f>DATE(2013,11,1) + TIME(5,26,58)</f>
        <v>41579.227060185185</v>
      </c>
      <c r="C2071">
        <v>1329.9761963000001</v>
      </c>
      <c r="D2071">
        <v>1328.9907227000001</v>
      </c>
      <c r="E2071">
        <v>1338.4603271000001</v>
      </c>
      <c r="F2071">
        <v>1335.9901123</v>
      </c>
      <c r="G2071">
        <v>80</v>
      </c>
      <c r="H2071">
        <v>79.946678161999998</v>
      </c>
      <c r="I2071">
        <v>50</v>
      </c>
      <c r="J2071">
        <v>56.856582641999999</v>
      </c>
      <c r="K2071">
        <v>0</v>
      </c>
      <c r="L2071">
        <v>2400</v>
      </c>
      <c r="M2071">
        <v>2400</v>
      </c>
      <c r="N2071">
        <v>0</v>
      </c>
    </row>
    <row r="2072" spans="1:14" x14ac:dyDescent="0.25">
      <c r="A2072">
        <v>1280.2604229999999</v>
      </c>
      <c r="B2072" s="1">
        <f>DATE(2013,11,1) + TIME(6,15,0)</f>
        <v>41579.260416666664</v>
      </c>
      <c r="C2072">
        <v>1329.9716797000001</v>
      </c>
      <c r="D2072">
        <v>1328.9838867000001</v>
      </c>
      <c r="E2072">
        <v>1338.4488524999999</v>
      </c>
      <c r="F2072">
        <v>1335.9794922000001</v>
      </c>
      <c r="G2072">
        <v>80</v>
      </c>
      <c r="H2072">
        <v>79.942893982000001</v>
      </c>
      <c r="I2072">
        <v>50</v>
      </c>
      <c r="J2072">
        <v>56.483753204000003</v>
      </c>
      <c r="K2072">
        <v>0</v>
      </c>
      <c r="L2072">
        <v>2400</v>
      </c>
      <c r="M2072">
        <v>2400</v>
      </c>
      <c r="N2072">
        <v>0</v>
      </c>
    </row>
    <row r="2073" spans="1:14" x14ac:dyDescent="0.25">
      <c r="A2073">
        <v>1280.295329</v>
      </c>
      <c r="B2073" s="1">
        <f>DATE(2013,11,1) + TIME(7,5,16)</f>
        <v>41579.295324074075</v>
      </c>
      <c r="C2073">
        <v>1329.9670410000001</v>
      </c>
      <c r="D2073">
        <v>1328.9768065999999</v>
      </c>
      <c r="E2073">
        <v>1338.4376221</v>
      </c>
      <c r="F2073">
        <v>1335.9692382999999</v>
      </c>
      <c r="G2073">
        <v>80</v>
      </c>
      <c r="H2073">
        <v>79.938972473000007</v>
      </c>
      <c r="I2073">
        <v>50</v>
      </c>
      <c r="J2073">
        <v>56.117923736999998</v>
      </c>
      <c r="K2073">
        <v>0</v>
      </c>
      <c r="L2073">
        <v>2400</v>
      </c>
      <c r="M2073">
        <v>2400</v>
      </c>
      <c r="N2073">
        <v>0</v>
      </c>
    </row>
    <row r="2074" spans="1:14" x14ac:dyDescent="0.25">
      <c r="A2074">
        <v>1280.3319080000001</v>
      </c>
      <c r="B2074" s="1">
        <f>DATE(2013,11,1) + TIME(7,57,56)</f>
        <v>41579.33189814815</v>
      </c>
      <c r="C2074">
        <v>1329.9624022999999</v>
      </c>
      <c r="D2074">
        <v>1328.9697266000001</v>
      </c>
      <c r="E2074">
        <v>1338.4268798999999</v>
      </c>
      <c r="F2074">
        <v>1335.9592285000001</v>
      </c>
      <c r="G2074">
        <v>80</v>
      </c>
      <c r="H2074">
        <v>79.934890746999997</v>
      </c>
      <c r="I2074">
        <v>50</v>
      </c>
      <c r="J2074">
        <v>55.759204865000001</v>
      </c>
      <c r="K2074">
        <v>0</v>
      </c>
      <c r="L2074">
        <v>2400</v>
      </c>
      <c r="M2074">
        <v>2400</v>
      </c>
      <c r="N2074">
        <v>0</v>
      </c>
    </row>
    <row r="2075" spans="1:14" x14ac:dyDescent="0.25">
      <c r="A2075">
        <v>1280.370287</v>
      </c>
      <c r="B2075" s="1">
        <f>DATE(2013,11,1) + TIME(8,53,12)</f>
        <v>41579.37027777778</v>
      </c>
      <c r="C2075">
        <v>1329.9575195</v>
      </c>
      <c r="D2075">
        <v>1328.9622803</v>
      </c>
      <c r="E2075">
        <v>1338.4165039</v>
      </c>
      <c r="F2075">
        <v>1335.9495850000001</v>
      </c>
      <c r="G2075">
        <v>80</v>
      </c>
      <c r="H2075">
        <v>79.930633545000006</v>
      </c>
      <c r="I2075">
        <v>50</v>
      </c>
      <c r="J2075">
        <v>55.407875060999999</v>
      </c>
      <c r="K2075">
        <v>0</v>
      </c>
      <c r="L2075">
        <v>2400</v>
      </c>
      <c r="M2075">
        <v>2400</v>
      </c>
      <c r="N2075">
        <v>0</v>
      </c>
    </row>
    <row r="2076" spans="1:14" x14ac:dyDescent="0.25">
      <c r="A2076">
        <v>1280.4106059999999</v>
      </c>
      <c r="B2076" s="1">
        <f>DATE(2013,11,1) + TIME(9,51,16)</f>
        <v>41579.410601851851</v>
      </c>
      <c r="C2076">
        <v>1329.9526367000001</v>
      </c>
      <c r="D2076">
        <v>1328.9548339999999</v>
      </c>
      <c r="E2076">
        <v>1338.4066161999999</v>
      </c>
      <c r="F2076">
        <v>1335.9401855000001</v>
      </c>
      <c r="G2076">
        <v>80</v>
      </c>
      <c r="H2076">
        <v>79.926208496000001</v>
      </c>
      <c r="I2076">
        <v>50</v>
      </c>
      <c r="J2076">
        <v>55.064239502</v>
      </c>
      <c r="K2076">
        <v>0</v>
      </c>
      <c r="L2076">
        <v>2400</v>
      </c>
      <c r="M2076">
        <v>2400</v>
      </c>
      <c r="N2076">
        <v>0</v>
      </c>
    </row>
    <row r="2077" spans="1:14" x14ac:dyDescent="0.25">
      <c r="A2077">
        <v>1280.4530159999999</v>
      </c>
      <c r="B2077" s="1">
        <f>DATE(2013,11,1) + TIME(10,52,20)</f>
        <v>41579.453009259261</v>
      </c>
      <c r="C2077">
        <v>1329.9475098</v>
      </c>
      <c r="D2077">
        <v>1328.9471435999999</v>
      </c>
      <c r="E2077">
        <v>1338.3970947</v>
      </c>
      <c r="F2077">
        <v>1335.9312743999999</v>
      </c>
      <c r="G2077">
        <v>80</v>
      </c>
      <c r="H2077">
        <v>79.921585082999997</v>
      </c>
      <c r="I2077">
        <v>50</v>
      </c>
      <c r="J2077">
        <v>54.728618621999999</v>
      </c>
      <c r="K2077">
        <v>0</v>
      </c>
      <c r="L2077">
        <v>2400</v>
      </c>
      <c r="M2077">
        <v>2400</v>
      </c>
      <c r="N2077">
        <v>0</v>
      </c>
    </row>
    <row r="2078" spans="1:14" x14ac:dyDescent="0.25">
      <c r="A2078">
        <v>1280.4976879999999</v>
      </c>
      <c r="B2078" s="1">
        <f>DATE(2013,11,1) + TIME(11,56,40)</f>
        <v>41579.497685185182</v>
      </c>
      <c r="C2078">
        <v>1329.9423827999999</v>
      </c>
      <c r="D2078">
        <v>1328.9392089999999</v>
      </c>
      <c r="E2078">
        <v>1338.3879394999999</v>
      </c>
      <c r="F2078">
        <v>1335.9227295000001</v>
      </c>
      <c r="G2078">
        <v>80</v>
      </c>
      <c r="H2078">
        <v>79.916763306000007</v>
      </c>
      <c r="I2078">
        <v>50</v>
      </c>
      <c r="J2078">
        <v>54.401355743000003</v>
      </c>
      <c r="K2078">
        <v>0</v>
      </c>
      <c r="L2078">
        <v>2400</v>
      </c>
      <c r="M2078">
        <v>2400</v>
      </c>
      <c r="N2078">
        <v>0</v>
      </c>
    </row>
    <row r="2079" spans="1:14" x14ac:dyDescent="0.25">
      <c r="A2079">
        <v>1280.5448100000001</v>
      </c>
      <c r="B2079" s="1">
        <f>DATE(2013,11,1) + TIME(13,4,31)</f>
        <v>41579.544803240744</v>
      </c>
      <c r="C2079">
        <v>1329.9370117000001</v>
      </c>
      <c r="D2079">
        <v>1328.9311522999999</v>
      </c>
      <c r="E2079">
        <v>1338.3793945</v>
      </c>
      <c r="F2079">
        <v>1335.9145507999999</v>
      </c>
      <c r="G2079">
        <v>80</v>
      </c>
      <c r="H2079">
        <v>79.911712645999998</v>
      </c>
      <c r="I2079">
        <v>50</v>
      </c>
      <c r="J2079">
        <v>54.082820892000001</v>
      </c>
      <c r="K2079">
        <v>0</v>
      </c>
      <c r="L2079">
        <v>2400</v>
      </c>
      <c r="M2079">
        <v>2400</v>
      </c>
      <c r="N2079">
        <v>0</v>
      </c>
    </row>
    <row r="2080" spans="1:14" x14ac:dyDescent="0.25">
      <c r="A2080">
        <v>1280.5945919999999</v>
      </c>
      <c r="B2080" s="1">
        <f>DATE(2013,11,1) + TIME(14,16,12)</f>
        <v>41579.594583333332</v>
      </c>
      <c r="C2080">
        <v>1329.9315185999999</v>
      </c>
      <c r="D2080">
        <v>1328.9227295000001</v>
      </c>
      <c r="E2080">
        <v>1338.3713379000001</v>
      </c>
      <c r="F2080">
        <v>1335.9068603999999</v>
      </c>
      <c r="G2080">
        <v>80</v>
      </c>
      <c r="H2080">
        <v>79.906433105000005</v>
      </c>
      <c r="I2080">
        <v>50</v>
      </c>
      <c r="J2080">
        <v>53.773395538000003</v>
      </c>
      <c r="K2080">
        <v>0</v>
      </c>
      <c r="L2080">
        <v>2400</v>
      </c>
      <c r="M2080">
        <v>2400</v>
      </c>
      <c r="N2080">
        <v>0</v>
      </c>
    </row>
    <row r="2081" spans="1:14" x14ac:dyDescent="0.25">
      <c r="A2081">
        <v>1280.6472659999999</v>
      </c>
      <c r="B2081" s="1">
        <f>DATE(2013,11,1) + TIME(15,32,3)</f>
        <v>41579.647256944445</v>
      </c>
      <c r="C2081">
        <v>1329.9257812000001</v>
      </c>
      <c r="D2081">
        <v>1328.9141846</v>
      </c>
      <c r="E2081">
        <v>1338.3637695</v>
      </c>
      <c r="F2081">
        <v>1335.8994141000001</v>
      </c>
      <c r="G2081">
        <v>80</v>
      </c>
      <c r="H2081">
        <v>79.900901794000006</v>
      </c>
      <c r="I2081">
        <v>50</v>
      </c>
      <c r="J2081">
        <v>53.473484038999999</v>
      </c>
      <c r="K2081">
        <v>0</v>
      </c>
      <c r="L2081">
        <v>2400</v>
      </c>
      <c r="M2081">
        <v>2400</v>
      </c>
      <c r="N2081">
        <v>0</v>
      </c>
    </row>
    <row r="2082" spans="1:14" x14ac:dyDescent="0.25">
      <c r="A2082">
        <v>1280.703096</v>
      </c>
      <c r="B2082" s="1">
        <f>DATE(2013,11,1) + TIME(16,52,27)</f>
        <v>41579.703090277777</v>
      </c>
      <c r="C2082">
        <v>1329.9199219</v>
      </c>
      <c r="D2082">
        <v>1328.9052733999999</v>
      </c>
      <c r="E2082">
        <v>1338.3565673999999</v>
      </c>
      <c r="F2082">
        <v>1335.8925781</v>
      </c>
      <c r="G2082">
        <v>80</v>
      </c>
      <c r="H2082">
        <v>79.895095824999999</v>
      </c>
      <c r="I2082">
        <v>50</v>
      </c>
      <c r="J2082">
        <v>53.183513640999998</v>
      </c>
      <c r="K2082">
        <v>0</v>
      </c>
      <c r="L2082">
        <v>2400</v>
      </c>
      <c r="M2082">
        <v>2400</v>
      </c>
      <c r="N2082">
        <v>0</v>
      </c>
    </row>
    <row r="2083" spans="1:14" x14ac:dyDescent="0.25">
      <c r="A2083">
        <v>1280.76235</v>
      </c>
      <c r="B2083" s="1">
        <f>DATE(2013,11,1) + TIME(18,17,47)</f>
        <v>41579.762349537035</v>
      </c>
      <c r="C2083">
        <v>1329.9138184000001</v>
      </c>
      <c r="D2083">
        <v>1328.8961182</v>
      </c>
      <c r="E2083">
        <v>1338.3499756000001</v>
      </c>
      <c r="F2083">
        <v>1335.8861084</v>
      </c>
      <c r="G2083">
        <v>80</v>
      </c>
      <c r="H2083">
        <v>79.888999939000001</v>
      </c>
      <c r="I2083">
        <v>50</v>
      </c>
      <c r="J2083">
        <v>52.904029846</v>
      </c>
      <c r="K2083">
        <v>0</v>
      </c>
      <c r="L2083">
        <v>2400</v>
      </c>
      <c r="M2083">
        <v>2400</v>
      </c>
      <c r="N2083">
        <v>0</v>
      </c>
    </row>
    <row r="2084" spans="1:14" x14ac:dyDescent="0.25">
      <c r="A2084">
        <v>1280.82537</v>
      </c>
      <c r="B2084" s="1">
        <f>DATE(2013,11,1) + TIME(19,48,31)</f>
        <v>41579.825358796297</v>
      </c>
      <c r="C2084">
        <v>1329.9075928</v>
      </c>
      <c r="D2084">
        <v>1328.8865966999999</v>
      </c>
      <c r="E2084">
        <v>1338.3439940999999</v>
      </c>
      <c r="F2084">
        <v>1335.8800048999999</v>
      </c>
      <c r="G2084">
        <v>80</v>
      </c>
      <c r="H2084">
        <v>79.882583617999998</v>
      </c>
      <c r="I2084">
        <v>50</v>
      </c>
      <c r="J2084">
        <v>52.635417938000003</v>
      </c>
      <c r="K2084">
        <v>0</v>
      </c>
      <c r="L2084">
        <v>2400</v>
      </c>
      <c r="M2084">
        <v>2400</v>
      </c>
      <c r="N2084">
        <v>0</v>
      </c>
    </row>
    <row r="2085" spans="1:14" x14ac:dyDescent="0.25">
      <c r="A2085">
        <v>1280.8925300000001</v>
      </c>
      <c r="B2085" s="1">
        <f>DATE(2013,11,1) + TIME(21,25,14)</f>
        <v>41579.892523148148</v>
      </c>
      <c r="C2085">
        <v>1329.901001</v>
      </c>
      <c r="D2085">
        <v>1328.8768310999999</v>
      </c>
      <c r="E2085">
        <v>1338.3383789</v>
      </c>
      <c r="F2085">
        <v>1335.8745117000001</v>
      </c>
      <c r="G2085">
        <v>80</v>
      </c>
      <c r="H2085">
        <v>79.875823975000003</v>
      </c>
      <c r="I2085">
        <v>50</v>
      </c>
      <c r="J2085">
        <v>52.378124237000002</v>
      </c>
      <c r="K2085">
        <v>0</v>
      </c>
      <c r="L2085">
        <v>2400</v>
      </c>
      <c r="M2085">
        <v>2400</v>
      </c>
      <c r="N2085">
        <v>0</v>
      </c>
    </row>
    <row r="2086" spans="1:14" x14ac:dyDescent="0.25">
      <c r="A2086">
        <v>1280.9642510000001</v>
      </c>
      <c r="B2086" s="1">
        <f>DATE(2013,11,1) + TIME(23,8,31)</f>
        <v>41579.964247685188</v>
      </c>
      <c r="C2086">
        <v>1329.8942870999999</v>
      </c>
      <c r="D2086">
        <v>1328.8665771000001</v>
      </c>
      <c r="E2086">
        <v>1338.3332519999999</v>
      </c>
      <c r="F2086">
        <v>1335.8693848</v>
      </c>
      <c r="G2086">
        <v>80</v>
      </c>
      <c r="H2086">
        <v>79.868682860999996</v>
      </c>
      <c r="I2086">
        <v>50</v>
      </c>
      <c r="J2086">
        <v>52.132633208999998</v>
      </c>
      <c r="K2086">
        <v>0</v>
      </c>
      <c r="L2086">
        <v>2400</v>
      </c>
      <c r="M2086">
        <v>2400</v>
      </c>
      <c r="N2086">
        <v>0</v>
      </c>
    </row>
    <row r="2087" spans="1:14" x14ac:dyDescent="0.25">
      <c r="A2087">
        <v>1281.0410039999999</v>
      </c>
      <c r="B2087" s="1">
        <f>DATE(2013,11,2) + TIME(0,59,2)</f>
        <v>41580.040995370371</v>
      </c>
      <c r="C2087">
        <v>1329.887207</v>
      </c>
      <c r="D2087">
        <v>1328.855957</v>
      </c>
      <c r="E2087">
        <v>1338.3287353999999</v>
      </c>
      <c r="F2087">
        <v>1335.864624</v>
      </c>
      <c r="G2087">
        <v>80</v>
      </c>
      <c r="H2087">
        <v>79.861137389999996</v>
      </c>
      <c r="I2087">
        <v>50</v>
      </c>
      <c r="J2087">
        <v>51.899433135999999</v>
      </c>
      <c r="K2087">
        <v>0</v>
      </c>
      <c r="L2087">
        <v>2400</v>
      </c>
      <c r="M2087">
        <v>2400</v>
      </c>
      <c r="N2087">
        <v>0</v>
      </c>
    </row>
    <row r="2088" spans="1:14" x14ac:dyDescent="0.25">
      <c r="A2088">
        <v>1281.1233299999999</v>
      </c>
      <c r="B2088" s="1">
        <f>DATE(2013,11,2) + TIME(2,57,35)</f>
        <v>41580.12332175926</v>
      </c>
      <c r="C2088">
        <v>1329.8797606999999</v>
      </c>
      <c r="D2088">
        <v>1328.8449707</v>
      </c>
      <c r="E2088">
        <v>1338.3245850000001</v>
      </c>
      <c r="F2088">
        <v>1335.8604736</v>
      </c>
      <c r="G2088">
        <v>80</v>
      </c>
      <c r="H2088">
        <v>79.853149414000001</v>
      </c>
      <c r="I2088">
        <v>50</v>
      </c>
      <c r="J2088">
        <v>51.678997039999999</v>
      </c>
      <c r="K2088">
        <v>0</v>
      </c>
      <c r="L2088">
        <v>2400</v>
      </c>
      <c r="M2088">
        <v>2400</v>
      </c>
      <c r="N2088">
        <v>0</v>
      </c>
    </row>
    <row r="2089" spans="1:14" x14ac:dyDescent="0.25">
      <c r="A2089">
        <v>1281.2118419999999</v>
      </c>
      <c r="B2089" s="1">
        <f>DATE(2013,11,2) + TIME(5,5,3)</f>
        <v>41580.211840277778</v>
      </c>
      <c r="C2089">
        <v>1329.8720702999999</v>
      </c>
      <c r="D2089">
        <v>1328.833374</v>
      </c>
      <c r="E2089">
        <v>1338.3209228999999</v>
      </c>
      <c r="F2089">
        <v>1335.8565673999999</v>
      </c>
      <c r="G2089">
        <v>80</v>
      </c>
      <c r="H2089">
        <v>79.844665527000004</v>
      </c>
      <c r="I2089">
        <v>50</v>
      </c>
      <c r="J2089">
        <v>51.471794127999999</v>
      </c>
      <c r="K2089">
        <v>0</v>
      </c>
      <c r="L2089">
        <v>2400</v>
      </c>
      <c r="M2089">
        <v>2400</v>
      </c>
      <c r="N2089">
        <v>0</v>
      </c>
    </row>
    <row r="2090" spans="1:14" x14ac:dyDescent="0.25">
      <c r="A2090">
        <v>1281.3072420000001</v>
      </c>
      <c r="B2090" s="1">
        <f>DATE(2013,11,2) + TIME(7,22,25)</f>
        <v>41580.307233796295</v>
      </c>
      <c r="C2090">
        <v>1329.8638916</v>
      </c>
      <c r="D2090">
        <v>1328.8212891000001</v>
      </c>
      <c r="E2090">
        <v>1338.3176269999999</v>
      </c>
      <c r="F2090">
        <v>1335.8531493999999</v>
      </c>
      <c r="G2090">
        <v>80</v>
      </c>
      <c r="H2090">
        <v>79.835647582999997</v>
      </c>
      <c r="I2090">
        <v>50</v>
      </c>
      <c r="J2090">
        <v>51.278259276999997</v>
      </c>
      <c r="K2090">
        <v>0</v>
      </c>
      <c r="L2090">
        <v>2400</v>
      </c>
      <c r="M2090">
        <v>2400</v>
      </c>
      <c r="N2090">
        <v>0</v>
      </c>
    </row>
    <row r="2091" spans="1:14" x14ac:dyDescent="0.25">
      <c r="A2091">
        <v>1281.4103339999999</v>
      </c>
      <c r="B2091" s="1">
        <f>DATE(2013,11,2) + TIME(9,50,52)</f>
        <v>41580.410324074073</v>
      </c>
      <c r="C2091">
        <v>1329.8554687999999</v>
      </c>
      <c r="D2091">
        <v>1328.8085937999999</v>
      </c>
      <c r="E2091">
        <v>1338.3146973</v>
      </c>
      <c r="F2091">
        <v>1335.8502197</v>
      </c>
      <c r="G2091">
        <v>80</v>
      </c>
      <c r="H2091">
        <v>79.826034546000002</v>
      </c>
      <c r="I2091">
        <v>50</v>
      </c>
      <c r="J2091">
        <v>51.098781586000001</v>
      </c>
      <c r="K2091">
        <v>0</v>
      </c>
      <c r="L2091">
        <v>2400</v>
      </c>
      <c r="M2091">
        <v>2400</v>
      </c>
      <c r="N2091">
        <v>0</v>
      </c>
    </row>
    <row r="2092" spans="1:14" x14ac:dyDescent="0.25">
      <c r="A2092">
        <v>1281.522046</v>
      </c>
      <c r="B2092" s="1">
        <f>DATE(2013,11,2) + TIME(12,31,44)</f>
        <v>41580.522037037037</v>
      </c>
      <c r="C2092">
        <v>1329.8464355000001</v>
      </c>
      <c r="D2092">
        <v>1328.7951660000001</v>
      </c>
      <c r="E2092">
        <v>1338.3120117000001</v>
      </c>
      <c r="F2092">
        <v>1335.8475341999999</v>
      </c>
      <c r="G2092">
        <v>80</v>
      </c>
      <c r="H2092">
        <v>79.815765381000006</v>
      </c>
      <c r="I2092">
        <v>50</v>
      </c>
      <c r="J2092">
        <v>50.933696746999999</v>
      </c>
      <c r="K2092">
        <v>0</v>
      </c>
      <c r="L2092">
        <v>2400</v>
      </c>
      <c r="M2092">
        <v>2400</v>
      </c>
      <c r="N2092">
        <v>0</v>
      </c>
    </row>
    <row r="2093" spans="1:14" x14ac:dyDescent="0.25">
      <c r="A2093">
        <v>1281.6434469999999</v>
      </c>
      <c r="B2093" s="1">
        <f>DATE(2013,11,2) + TIME(15,26,33)</f>
        <v>41580.643437500003</v>
      </c>
      <c r="C2093">
        <v>1329.8369141000001</v>
      </c>
      <c r="D2093">
        <v>1328.7810059000001</v>
      </c>
      <c r="E2093">
        <v>1338.3096923999999</v>
      </c>
      <c r="F2093">
        <v>1335.8452147999999</v>
      </c>
      <c r="G2093">
        <v>80</v>
      </c>
      <c r="H2093">
        <v>79.804779053000004</v>
      </c>
      <c r="I2093">
        <v>50</v>
      </c>
      <c r="J2093">
        <v>50.783241271999998</v>
      </c>
      <c r="K2093">
        <v>0</v>
      </c>
      <c r="L2093">
        <v>2400</v>
      </c>
      <c r="M2093">
        <v>2400</v>
      </c>
      <c r="N2093">
        <v>0</v>
      </c>
    </row>
    <row r="2094" spans="1:14" x14ac:dyDescent="0.25">
      <c r="A2094">
        <v>1281.7757999999999</v>
      </c>
      <c r="B2094" s="1">
        <f>DATE(2013,11,2) + TIME(18,37,9)</f>
        <v>41580.77579861111</v>
      </c>
      <c r="C2094">
        <v>1329.8267822</v>
      </c>
      <c r="D2094">
        <v>1328.7661132999999</v>
      </c>
      <c r="E2094">
        <v>1338.3074951000001</v>
      </c>
      <c r="F2094">
        <v>1335.8431396000001</v>
      </c>
      <c r="G2094">
        <v>80</v>
      </c>
      <c r="H2094">
        <v>79.792976378999995</v>
      </c>
      <c r="I2094">
        <v>50</v>
      </c>
      <c r="J2094">
        <v>50.647537231000001</v>
      </c>
      <c r="K2094">
        <v>0</v>
      </c>
      <c r="L2094">
        <v>2400</v>
      </c>
      <c r="M2094">
        <v>2400</v>
      </c>
      <c r="N2094">
        <v>0</v>
      </c>
    </row>
    <row r="2095" spans="1:14" x14ac:dyDescent="0.25">
      <c r="A2095">
        <v>1281.9205179999999</v>
      </c>
      <c r="B2095" s="1">
        <f>DATE(2013,11,2) + TIME(22,5,32)</f>
        <v>41580.92050925926</v>
      </c>
      <c r="C2095">
        <v>1329.8161620999999</v>
      </c>
      <c r="D2095">
        <v>1328.7502440999999</v>
      </c>
      <c r="E2095">
        <v>1338.3052978999999</v>
      </c>
      <c r="F2095">
        <v>1335.8413086</v>
      </c>
      <c r="G2095">
        <v>80</v>
      </c>
      <c r="H2095">
        <v>79.780281067000004</v>
      </c>
      <c r="I2095">
        <v>50</v>
      </c>
      <c r="J2095">
        <v>50.526615143000001</v>
      </c>
      <c r="K2095">
        <v>0</v>
      </c>
      <c r="L2095">
        <v>2400</v>
      </c>
      <c r="M2095">
        <v>2400</v>
      </c>
      <c r="N2095">
        <v>0</v>
      </c>
    </row>
    <row r="2096" spans="1:14" x14ac:dyDescent="0.25">
      <c r="A2096">
        <v>1282.0707440000001</v>
      </c>
      <c r="B2096" s="1">
        <f>DATE(2013,11,3) + TIME(1,41,52)</f>
        <v>41581.070740740739</v>
      </c>
      <c r="C2096">
        <v>1329.8048096</v>
      </c>
      <c r="D2096">
        <v>1328.7335204999999</v>
      </c>
      <c r="E2096">
        <v>1338.3038329999999</v>
      </c>
      <c r="F2096">
        <v>1335.8400879000001</v>
      </c>
      <c r="G2096">
        <v>80</v>
      </c>
      <c r="H2096">
        <v>79.767211914000001</v>
      </c>
      <c r="I2096">
        <v>50</v>
      </c>
      <c r="J2096">
        <v>50.424949646000002</v>
      </c>
      <c r="K2096">
        <v>0</v>
      </c>
      <c r="L2096">
        <v>2400</v>
      </c>
      <c r="M2096">
        <v>2400</v>
      </c>
      <c r="N2096">
        <v>0</v>
      </c>
    </row>
    <row r="2097" spans="1:14" x14ac:dyDescent="0.25">
      <c r="A2097">
        <v>1282.224882</v>
      </c>
      <c r="B2097" s="1">
        <f>DATE(2013,11,3) + TIME(5,23,49)</f>
        <v>41581.224872685183</v>
      </c>
      <c r="C2097">
        <v>1329.7933350000001</v>
      </c>
      <c r="D2097">
        <v>1328.7166748</v>
      </c>
      <c r="E2097">
        <v>1338.3022461</v>
      </c>
      <c r="F2097">
        <v>1335.8389893000001</v>
      </c>
      <c r="G2097">
        <v>80</v>
      </c>
      <c r="H2097">
        <v>79.753898621000005</v>
      </c>
      <c r="I2097">
        <v>50</v>
      </c>
      <c r="J2097">
        <v>50.340816498000002</v>
      </c>
      <c r="K2097">
        <v>0</v>
      </c>
      <c r="L2097">
        <v>2400</v>
      </c>
      <c r="M2097">
        <v>2400</v>
      </c>
      <c r="N2097">
        <v>0</v>
      </c>
    </row>
    <row r="2098" spans="1:14" x14ac:dyDescent="0.25">
      <c r="A2098">
        <v>1282.3833059999999</v>
      </c>
      <c r="B2098" s="1">
        <f>DATE(2013,11,3) + TIME(9,11,57)</f>
        <v>41581.383298611108</v>
      </c>
      <c r="C2098">
        <v>1329.7817382999999</v>
      </c>
      <c r="D2098">
        <v>1328.6995850000001</v>
      </c>
      <c r="E2098">
        <v>1338.3005370999999</v>
      </c>
      <c r="F2098">
        <v>1335.8380127</v>
      </c>
      <c r="G2098">
        <v>80</v>
      </c>
      <c r="H2098">
        <v>79.740310668999996</v>
      </c>
      <c r="I2098">
        <v>50</v>
      </c>
      <c r="J2098">
        <v>50.271396637000002</v>
      </c>
      <c r="K2098">
        <v>0</v>
      </c>
      <c r="L2098">
        <v>2400</v>
      </c>
      <c r="M2098">
        <v>2400</v>
      </c>
      <c r="N2098">
        <v>0</v>
      </c>
    </row>
    <row r="2099" spans="1:14" x14ac:dyDescent="0.25">
      <c r="A2099">
        <v>1282.5463609999999</v>
      </c>
      <c r="B2099" s="1">
        <f>DATE(2013,11,3) + TIME(13,6,45)</f>
        <v>41581.546354166669</v>
      </c>
      <c r="C2099">
        <v>1329.7700195</v>
      </c>
      <c r="D2099">
        <v>1328.6823730000001</v>
      </c>
      <c r="E2099">
        <v>1338.2987060999999</v>
      </c>
      <c r="F2099">
        <v>1335.8369141000001</v>
      </c>
      <c r="G2099">
        <v>80</v>
      </c>
      <c r="H2099">
        <v>79.726432799999998</v>
      </c>
      <c r="I2099">
        <v>50</v>
      </c>
      <c r="J2099">
        <v>50.214328766000001</v>
      </c>
      <c r="K2099">
        <v>0</v>
      </c>
      <c r="L2099">
        <v>2400</v>
      </c>
      <c r="M2099">
        <v>2400</v>
      </c>
      <c r="N2099">
        <v>0</v>
      </c>
    </row>
    <row r="2100" spans="1:14" x14ac:dyDescent="0.25">
      <c r="A2100">
        <v>1282.7144109999999</v>
      </c>
      <c r="B2100" s="1">
        <f>DATE(2013,11,3) + TIME(17,8,45)</f>
        <v>41581.714409722219</v>
      </c>
      <c r="C2100">
        <v>1329.7580565999999</v>
      </c>
      <c r="D2100">
        <v>1328.6649170000001</v>
      </c>
      <c r="E2100">
        <v>1338.2965088000001</v>
      </c>
      <c r="F2100">
        <v>1335.8358154</v>
      </c>
      <c r="G2100">
        <v>80</v>
      </c>
      <c r="H2100">
        <v>79.712226868000002</v>
      </c>
      <c r="I2100">
        <v>50</v>
      </c>
      <c r="J2100">
        <v>50.167606354</v>
      </c>
      <c r="K2100">
        <v>0</v>
      </c>
      <c r="L2100">
        <v>2400</v>
      </c>
      <c r="M2100">
        <v>2400</v>
      </c>
      <c r="N2100">
        <v>0</v>
      </c>
    </row>
    <row r="2101" spans="1:14" x14ac:dyDescent="0.25">
      <c r="A2101">
        <v>1282.887843</v>
      </c>
      <c r="B2101" s="1">
        <f>DATE(2013,11,3) + TIME(21,18,29)</f>
        <v>41581.887835648151</v>
      </c>
      <c r="C2101">
        <v>1329.7460937999999</v>
      </c>
      <c r="D2101">
        <v>1328.6473389</v>
      </c>
      <c r="E2101">
        <v>1338.2940673999999</v>
      </c>
      <c r="F2101">
        <v>1335.8347168</v>
      </c>
      <c r="G2101">
        <v>80</v>
      </c>
      <c r="H2101">
        <v>79.697685242000006</v>
      </c>
      <c r="I2101">
        <v>50</v>
      </c>
      <c r="J2101">
        <v>50.12953186</v>
      </c>
      <c r="K2101">
        <v>0</v>
      </c>
      <c r="L2101">
        <v>2400</v>
      </c>
      <c r="M2101">
        <v>2400</v>
      </c>
      <c r="N2101">
        <v>0</v>
      </c>
    </row>
    <row r="2102" spans="1:14" x14ac:dyDescent="0.25">
      <c r="A2102">
        <v>1283.0670709999999</v>
      </c>
      <c r="B2102" s="1">
        <f>DATE(2013,11,4) + TIME(1,36,34)</f>
        <v>41582.067060185182</v>
      </c>
      <c r="C2102">
        <v>1329.7338867000001</v>
      </c>
      <c r="D2102">
        <v>1328.6293945</v>
      </c>
      <c r="E2102">
        <v>1338.2915039</v>
      </c>
      <c r="F2102">
        <v>1335.833374</v>
      </c>
      <c r="G2102">
        <v>80</v>
      </c>
      <c r="H2102">
        <v>79.682769774999997</v>
      </c>
      <c r="I2102">
        <v>50</v>
      </c>
      <c r="J2102">
        <v>50.098651885999999</v>
      </c>
      <c r="K2102">
        <v>0</v>
      </c>
      <c r="L2102">
        <v>2400</v>
      </c>
      <c r="M2102">
        <v>2400</v>
      </c>
      <c r="N2102">
        <v>0</v>
      </c>
    </row>
    <row r="2103" spans="1:14" x14ac:dyDescent="0.25">
      <c r="A2103">
        <v>1283.2525390000001</v>
      </c>
      <c r="B2103" s="1">
        <f>DATE(2013,11,4) + TIME(6,3,39)</f>
        <v>41582.252534722225</v>
      </c>
      <c r="C2103">
        <v>1329.7214355000001</v>
      </c>
      <c r="D2103">
        <v>1328.6112060999999</v>
      </c>
      <c r="E2103">
        <v>1338.2885742000001</v>
      </c>
      <c r="F2103">
        <v>1335.8319091999999</v>
      </c>
      <c r="G2103">
        <v>80</v>
      </c>
      <c r="H2103">
        <v>79.667457580999994</v>
      </c>
      <c r="I2103">
        <v>50</v>
      </c>
      <c r="J2103">
        <v>50.073741912999999</v>
      </c>
      <c r="K2103">
        <v>0</v>
      </c>
      <c r="L2103">
        <v>2400</v>
      </c>
      <c r="M2103">
        <v>2400</v>
      </c>
      <c r="N2103">
        <v>0</v>
      </c>
    </row>
    <row r="2104" spans="1:14" x14ac:dyDescent="0.25">
      <c r="A2104">
        <v>1283.4447270000001</v>
      </c>
      <c r="B2104" s="1">
        <f>DATE(2013,11,4) + TIME(10,40,24)</f>
        <v>41582.444722222222</v>
      </c>
      <c r="C2104">
        <v>1329.7087402</v>
      </c>
      <c r="D2104">
        <v>1328.5927733999999</v>
      </c>
      <c r="E2104">
        <v>1338.2854004000001</v>
      </c>
      <c r="F2104">
        <v>1335.8304443</v>
      </c>
      <c r="G2104">
        <v>80</v>
      </c>
      <c r="H2104">
        <v>79.65171814</v>
      </c>
      <c r="I2104">
        <v>50</v>
      </c>
      <c r="J2104">
        <v>50.053764342999997</v>
      </c>
      <c r="K2104">
        <v>0</v>
      </c>
      <c r="L2104">
        <v>2400</v>
      </c>
      <c r="M2104">
        <v>2400</v>
      </c>
      <c r="N2104">
        <v>0</v>
      </c>
    </row>
    <row r="2105" spans="1:14" x14ac:dyDescent="0.25">
      <c r="A2105">
        <v>1283.644153</v>
      </c>
      <c r="B2105" s="1">
        <f>DATE(2013,11,4) + TIME(15,27,34)</f>
        <v>41582.644143518519</v>
      </c>
      <c r="C2105">
        <v>1329.6958007999999</v>
      </c>
      <c r="D2105">
        <v>1328.5738524999999</v>
      </c>
      <c r="E2105">
        <v>1338.2819824000001</v>
      </c>
      <c r="F2105">
        <v>1335.8287353999999</v>
      </c>
      <c r="G2105">
        <v>80</v>
      </c>
      <c r="H2105">
        <v>79.635513306000007</v>
      </c>
      <c r="I2105">
        <v>50</v>
      </c>
      <c r="J2105">
        <v>50.037834167</v>
      </c>
      <c r="K2105">
        <v>0</v>
      </c>
      <c r="L2105">
        <v>2400</v>
      </c>
      <c r="M2105">
        <v>2400</v>
      </c>
      <c r="N2105">
        <v>0</v>
      </c>
    </row>
    <row r="2106" spans="1:14" x14ac:dyDescent="0.25">
      <c r="A2106">
        <v>1283.8513150000001</v>
      </c>
      <c r="B2106" s="1">
        <f>DATE(2013,11,4) + TIME(20,25,53)</f>
        <v>41582.851307870369</v>
      </c>
      <c r="C2106">
        <v>1329.6824951000001</v>
      </c>
      <c r="D2106">
        <v>1328.5546875</v>
      </c>
      <c r="E2106">
        <v>1338.2784423999999</v>
      </c>
      <c r="F2106">
        <v>1335.8270264</v>
      </c>
      <c r="G2106">
        <v>80</v>
      </c>
      <c r="H2106">
        <v>79.618820189999994</v>
      </c>
      <c r="I2106">
        <v>50</v>
      </c>
      <c r="J2106">
        <v>50.025218963999997</v>
      </c>
      <c r="K2106">
        <v>0</v>
      </c>
      <c r="L2106">
        <v>2400</v>
      </c>
      <c r="M2106">
        <v>2400</v>
      </c>
      <c r="N2106">
        <v>0</v>
      </c>
    </row>
    <row r="2107" spans="1:14" x14ac:dyDescent="0.25">
      <c r="A2107">
        <v>1284.066867</v>
      </c>
      <c r="B2107" s="1">
        <f>DATE(2013,11,5) + TIME(1,36,17)</f>
        <v>41583.066863425927</v>
      </c>
      <c r="C2107">
        <v>1329.6690673999999</v>
      </c>
      <c r="D2107">
        <v>1328.5350341999999</v>
      </c>
      <c r="E2107">
        <v>1338.2745361</v>
      </c>
      <c r="F2107">
        <v>1335.8250731999999</v>
      </c>
      <c r="G2107">
        <v>80</v>
      </c>
      <c r="H2107">
        <v>79.601608275999993</v>
      </c>
      <c r="I2107">
        <v>50</v>
      </c>
      <c r="J2107">
        <v>50.015293120999999</v>
      </c>
      <c r="K2107">
        <v>0</v>
      </c>
      <c r="L2107">
        <v>2400</v>
      </c>
      <c r="M2107">
        <v>2400</v>
      </c>
      <c r="N2107">
        <v>0</v>
      </c>
    </row>
    <row r="2108" spans="1:14" x14ac:dyDescent="0.25">
      <c r="A2108">
        <v>1284.2915089999999</v>
      </c>
      <c r="B2108" s="1">
        <f>DATE(2013,11,5) + TIME(6,59,46)</f>
        <v>41583.291504629633</v>
      </c>
      <c r="C2108">
        <v>1329.6551514</v>
      </c>
      <c r="D2108">
        <v>1328.5148925999999</v>
      </c>
      <c r="E2108">
        <v>1338.2705077999999</v>
      </c>
      <c r="F2108">
        <v>1335.8231201000001</v>
      </c>
      <c r="G2108">
        <v>80</v>
      </c>
      <c r="H2108">
        <v>79.583816528</v>
      </c>
      <c r="I2108">
        <v>50</v>
      </c>
      <c r="J2108">
        <v>50.007534026999998</v>
      </c>
      <c r="K2108">
        <v>0</v>
      </c>
      <c r="L2108">
        <v>2400</v>
      </c>
      <c r="M2108">
        <v>2400</v>
      </c>
      <c r="N2108">
        <v>0</v>
      </c>
    </row>
    <row r="2109" spans="1:14" x14ac:dyDescent="0.25">
      <c r="A2109">
        <v>1284.5259880000001</v>
      </c>
      <c r="B2109" s="1">
        <f>DATE(2013,11,5) + TIME(12,37,25)</f>
        <v>41583.525983796295</v>
      </c>
      <c r="C2109">
        <v>1329.6409911999999</v>
      </c>
      <c r="D2109">
        <v>1328.4943848</v>
      </c>
      <c r="E2109">
        <v>1338.2662353999999</v>
      </c>
      <c r="F2109">
        <v>1335.8209228999999</v>
      </c>
      <c r="G2109">
        <v>80</v>
      </c>
      <c r="H2109">
        <v>79.565414429</v>
      </c>
      <c r="I2109">
        <v>50</v>
      </c>
      <c r="J2109">
        <v>50.001518249999997</v>
      </c>
      <c r="K2109">
        <v>0</v>
      </c>
      <c r="L2109">
        <v>2400</v>
      </c>
      <c r="M2109">
        <v>2400</v>
      </c>
      <c r="N2109">
        <v>0</v>
      </c>
    </row>
    <row r="2110" spans="1:14" x14ac:dyDescent="0.25">
      <c r="A2110">
        <v>1284.771133</v>
      </c>
      <c r="B2110" s="1">
        <f>DATE(2013,11,5) + TIME(18,30,25)</f>
        <v>41583.771122685182</v>
      </c>
      <c r="C2110">
        <v>1329.6263428</v>
      </c>
      <c r="D2110">
        <v>1328.4731445</v>
      </c>
      <c r="E2110">
        <v>1338.2617187999999</v>
      </c>
      <c r="F2110">
        <v>1335.8187256000001</v>
      </c>
      <c r="G2110">
        <v>80</v>
      </c>
      <c r="H2110">
        <v>79.546348571999999</v>
      </c>
      <c r="I2110">
        <v>50</v>
      </c>
      <c r="J2110">
        <v>49.996879577999998</v>
      </c>
      <c r="K2110">
        <v>0</v>
      </c>
      <c r="L2110">
        <v>2400</v>
      </c>
      <c r="M2110">
        <v>2400</v>
      </c>
      <c r="N2110">
        <v>0</v>
      </c>
    </row>
    <row r="2111" spans="1:14" x14ac:dyDescent="0.25">
      <c r="A2111">
        <v>1285.027863</v>
      </c>
      <c r="B2111" s="1">
        <f>DATE(2013,11,6) + TIME(0,40,7)</f>
        <v>41584.027858796297</v>
      </c>
      <c r="C2111">
        <v>1329.6112060999999</v>
      </c>
      <c r="D2111">
        <v>1328.4514160000001</v>
      </c>
      <c r="E2111">
        <v>1338.2570800999999</v>
      </c>
      <c r="F2111">
        <v>1335.8162841999999</v>
      </c>
      <c r="G2111">
        <v>80</v>
      </c>
      <c r="H2111">
        <v>79.526565551999994</v>
      </c>
      <c r="I2111">
        <v>50</v>
      </c>
      <c r="J2111">
        <v>49.993331908999998</v>
      </c>
      <c r="K2111">
        <v>0</v>
      </c>
      <c r="L2111">
        <v>2400</v>
      </c>
      <c r="M2111">
        <v>2400</v>
      </c>
      <c r="N2111">
        <v>0</v>
      </c>
    </row>
    <row r="2112" spans="1:14" x14ac:dyDescent="0.25">
      <c r="A2112">
        <v>1285.297208</v>
      </c>
      <c r="B2112" s="1">
        <f>DATE(2013,11,6) + TIME(7,7,58)</f>
        <v>41584.297199074077</v>
      </c>
      <c r="C2112">
        <v>1329.5957031</v>
      </c>
      <c r="D2112">
        <v>1328.4290771000001</v>
      </c>
      <c r="E2112">
        <v>1338.2523193</v>
      </c>
      <c r="F2112">
        <v>1335.8138428</v>
      </c>
      <c r="G2112">
        <v>80</v>
      </c>
      <c r="H2112">
        <v>79.506011963000006</v>
      </c>
      <c r="I2112">
        <v>50</v>
      </c>
      <c r="J2112">
        <v>49.990642547999997</v>
      </c>
      <c r="K2112">
        <v>0</v>
      </c>
      <c r="L2112">
        <v>2400</v>
      </c>
      <c r="M2112">
        <v>2400</v>
      </c>
      <c r="N2112">
        <v>0</v>
      </c>
    </row>
    <row r="2113" spans="1:14" x14ac:dyDescent="0.25">
      <c r="A2113">
        <v>1285.5803189999999</v>
      </c>
      <c r="B2113" s="1">
        <f>DATE(2013,11,6) + TIME(13,55,39)</f>
        <v>41584.580312500002</v>
      </c>
      <c r="C2113">
        <v>1329.5797118999999</v>
      </c>
      <c r="D2113">
        <v>1328.4058838000001</v>
      </c>
      <c r="E2113">
        <v>1338.2473144999999</v>
      </c>
      <c r="F2113">
        <v>1335.8112793</v>
      </c>
      <c r="G2113">
        <v>80</v>
      </c>
      <c r="H2113">
        <v>79.484619140999996</v>
      </c>
      <c r="I2113">
        <v>50</v>
      </c>
      <c r="J2113">
        <v>49.988609314000001</v>
      </c>
      <c r="K2113">
        <v>0</v>
      </c>
      <c r="L2113">
        <v>2400</v>
      </c>
      <c r="M2113">
        <v>2400</v>
      </c>
      <c r="N2113">
        <v>0</v>
      </c>
    </row>
    <row r="2114" spans="1:14" x14ac:dyDescent="0.25">
      <c r="A2114">
        <v>1285.8784949999999</v>
      </c>
      <c r="B2114" s="1">
        <f>DATE(2013,11,6) + TIME(21,5,2)</f>
        <v>41584.878495370373</v>
      </c>
      <c r="C2114">
        <v>1329.5631103999999</v>
      </c>
      <c r="D2114">
        <v>1328.3820800999999</v>
      </c>
      <c r="E2114">
        <v>1338.2423096</v>
      </c>
      <c r="F2114">
        <v>1335.8085937999999</v>
      </c>
      <c r="G2114">
        <v>80</v>
      </c>
      <c r="H2114">
        <v>79.462318420000003</v>
      </c>
      <c r="I2114">
        <v>50</v>
      </c>
      <c r="J2114">
        <v>49.987091063999998</v>
      </c>
      <c r="K2114">
        <v>0</v>
      </c>
      <c r="L2114">
        <v>2400</v>
      </c>
      <c r="M2114">
        <v>2400</v>
      </c>
      <c r="N2114">
        <v>0</v>
      </c>
    </row>
    <row r="2115" spans="1:14" x14ac:dyDescent="0.25">
      <c r="A2115">
        <v>1286.1932059999999</v>
      </c>
      <c r="B2115" s="1">
        <f>DATE(2013,11,7) + TIME(4,38,12)</f>
        <v>41585.193194444444</v>
      </c>
      <c r="C2115">
        <v>1329.5457764</v>
      </c>
      <c r="D2115">
        <v>1328.3572998</v>
      </c>
      <c r="E2115">
        <v>1338.2369385</v>
      </c>
      <c r="F2115">
        <v>1335.8057861</v>
      </c>
      <c r="G2115">
        <v>80</v>
      </c>
      <c r="H2115">
        <v>79.439025878999999</v>
      </c>
      <c r="I2115">
        <v>50</v>
      </c>
      <c r="J2115">
        <v>49.985954284999998</v>
      </c>
      <c r="K2115">
        <v>0</v>
      </c>
      <c r="L2115">
        <v>2400</v>
      </c>
      <c r="M2115">
        <v>2400</v>
      </c>
      <c r="N2115">
        <v>0</v>
      </c>
    </row>
    <row r="2116" spans="1:14" x14ac:dyDescent="0.25">
      <c r="A2116">
        <v>1286.5255589999999</v>
      </c>
      <c r="B2116" s="1">
        <f>DATE(2013,11,7) + TIME(12,36,48)</f>
        <v>41585.525555555556</v>
      </c>
      <c r="C2116">
        <v>1329.5279541</v>
      </c>
      <c r="D2116">
        <v>1328.331543</v>
      </c>
      <c r="E2116">
        <v>1338.2315673999999</v>
      </c>
      <c r="F2116">
        <v>1335.8029785000001</v>
      </c>
      <c r="G2116">
        <v>80</v>
      </c>
      <c r="H2116">
        <v>79.414680481000005</v>
      </c>
      <c r="I2116">
        <v>50</v>
      </c>
      <c r="J2116">
        <v>49.985115051000001</v>
      </c>
      <c r="K2116">
        <v>0</v>
      </c>
      <c r="L2116">
        <v>2400</v>
      </c>
      <c r="M2116">
        <v>2400</v>
      </c>
      <c r="N2116">
        <v>0</v>
      </c>
    </row>
    <row r="2117" spans="1:14" x14ac:dyDescent="0.25">
      <c r="A2117">
        <v>1286.8740989999999</v>
      </c>
      <c r="B2117" s="1">
        <f>DATE(2013,11,7) + TIME(20,58,42)</f>
        <v>41585.874097222222</v>
      </c>
      <c r="C2117">
        <v>1329.5092772999999</v>
      </c>
      <c r="D2117">
        <v>1328.3049315999999</v>
      </c>
      <c r="E2117">
        <v>1338.2260742000001</v>
      </c>
      <c r="F2117">
        <v>1335.8000488</v>
      </c>
      <c r="G2117">
        <v>80</v>
      </c>
      <c r="H2117">
        <v>79.389366150000001</v>
      </c>
      <c r="I2117">
        <v>50</v>
      </c>
      <c r="J2117">
        <v>49.984497070000003</v>
      </c>
      <c r="K2117">
        <v>0</v>
      </c>
      <c r="L2117">
        <v>2400</v>
      </c>
      <c r="M2117">
        <v>2400</v>
      </c>
      <c r="N2117">
        <v>0</v>
      </c>
    </row>
    <row r="2118" spans="1:14" x14ac:dyDescent="0.25">
      <c r="A2118">
        <v>1287.2393669999999</v>
      </c>
      <c r="B2118" s="1">
        <f>DATE(2013,11,8) + TIME(5,44,41)</f>
        <v>41586.239363425928</v>
      </c>
      <c r="C2118">
        <v>1329.4901123</v>
      </c>
      <c r="D2118">
        <v>1328.2774658000001</v>
      </c>
      <c r="E2118">
        <v>1338.2204589999999</v>
      </c>
      <c r="F2118">
        <v>1335.7969971</v>
      </c>
      <c r="G2118">
        <v>80</v>
      </c>
      <c r="H2118">
        <v>79.363052367999998</v>
      </c>
      <c r="I2118">
        <v>50</v>
      </c>
      <c r="J2118">
        <v>49.984039307000003</v>
      </c>
      <c r="K2118">
        <v>0</v>
      </c>
      <c r="L2118">
        <v>2400</v>
      </c>
      <c r="M2118">
        <v>2400</v>
      </c>
      <c r="N2118">
        <v>0</v>
      </c>
    </row>
    <row r="2119" spans="1:14" x14ac:dyDescent="0.25">
      <c r="A2119">
        <v>1287.62283</v>
      </c>
      <c r="B2119" s="1">
        <f>DATE(2013,11,8) + TIME(14,56,52)</f>
        <v>41586.622824074075</v>
      </c>
      <c r="C2119">
        <v>1329.4702147999999</v>
      </c>
      <c r="D2119">
        <v>1328.2491454999999</v>
      </c>
      <c r="E2119">
        <v>1338.2147216999999</v>
      </c>
      <c r="F2119">
        <v>1335.7939452999999</v>
      </c>
      <c r="G2119">
        <v>80</v>
      </c>
      <c r="H2119">
        <v>79.335685729999994</v>
      </c>
      <c r="I2119">
        <v>50</v>
      </c>
      <c r="J2119">
        <v>49.983703613000003</v>
      </c>
      <c r="K2119">
        <v>0</v>
      </c>
      <c r="L2119">
        <v>2400</v>
      </c>
      <c r="M2119">
        <v>2400</v>
      </c>
      <c r="N2119">
        <v>0</v>
      </c>
    </row>
    <row r="2120" spans="1:14" x14ac:dyDescent="0.25">
      <c r="A2120">
        <v>1288.026388</v>
      </c>
      <c r="B2120" s="1">
        <f>DATE(2013,11,9) + TIME(0,37,59)</f>
        <v>41587.026377314818</v>
      </c>
      <c r="C2120">
        <v>1329.449707</v>
      </c>
      <c r="D2120">
        <v>1328.2198486</v>
      </c>
      <c r="E2120">
        <v>1338.2089844</v>
      </c>
      <c r="F2120">
        <v>1335.7908935999999</v>
      </c>
      <c r="G2120">
        <v>80</v>
      </c>
      <c r="H2120">
        <v>79.307174683</v>
      </c>
      <c r="I2120">
        <v>50</v>
      </c>
      <c r="J2120">
        <v>49.983451842999997</v>
      </c>
      <c r="K2120">
        <v>0</v>
      </c>
      <c r="L2120">
        <v>2400</v>
      </c>
      <c r="M2120">
        <v>2400</v>
      </c>
      <c r="N2120">
        <v>0</v>
      </c>
    </row>
    <row r="2121" spans="1:14" x14ac:dyDescent="0.25">
      <c r="A2121">
        <v>1288.444168</v>
      </c>
      <c r="B2121" s="1">
        <f>DATE(2013,11,9) + TIME(10,39,36)</f>
        <v>41587.444166666668</v>
      </c>
      <c r="C2121">
        <v>1329.4284668</v>
      </c>
      <c r="D2121">
        <v>1328.1895752</v>
      </c>
      <c r="E2121">
        <v>1338.203125</v>
      </c>
      <c r="F2121">
        <v>1335.7877197</v>
      </c>
      <c r="G2121">
        <v>80</v>
      </c>
      <c r="H2121">
        <v>79.277801514000004</v>
      </c>
      <c r="I2121">
        <v>50</v>
      </c>
      <c r="J2121">
        <v>49.983261108000001</v>
      </c>
      <c r="K2121">
        <v>0</v>
      </c>
      <c r="L2121">
        <v>2400</v>
      </c>
      <c r="M2121">
        <v>2400</v>
      </c>
      <c r="N2121">
        <v>0</v>
      </c>
    </row>
    <row r="2122" spans="1:14" x14ac:dyDescent="0.25">
      <c r="A2122">
        <v>1288.8721190000001</v>
      </c>
      <c r="B2122" s="1">
        <f>DATE(2013,11,9) + TIME(20,55,51)</f>
        <v>41587.872118055559</v>
      </c>
      <c r="C2122">
        <v>1329.4067382999999</v>
      </c>
      <c r="D2122">
        <v>1328.1586914</v>
      </c>
      <c r="E2122">
        <v>1338.1972656</v>
      </c>
      <c r="F2122">
        <v>1335.7845459</v>
      </c>
      <c r="G2122">
        <v>80</v>
      </c>
      <c r="H2122">
        <v>79.247795104999994</v>
      </c>
      <c r="I2122">
        <v>50</v>
      </c>
      <c r="J2122">
        <v>49.983119965</v>
      </c>
      <c r="K2122">
        <v>0</v>
      </c>
      <c r="L2122">
        <v>2400</v>
      </c>
      <c r="M2122">
        <v>2400</v>
      </c>
      <c r="N2122">
        <v>0</v>
      </c>
    </row>
    <row r="2123" spans="1:14" x14ac:dyDescent="0.25">
      <c r="A2123">
        <v>1289.3130530000001</v>
      </c>
      <c r="B2123" s="1">
        <f>DATE(2013,11,10) + TIME(7,30,47)</f>
        <v>41588.313043981485</v>
      </c>
      <c r="C2123">
        <v>1329.3847656</v>
      </c>
      <c r="D2123">
        <v>1328.1274414</v>
      </c>
      <c r="E2123">
        <v>1338.1915283000001</v>
      </c>
      <c r="F2123">
        <v>1335.7814940999999</v>
      </c>
      <c r="G2123">
        <v>80</v>
      </c>
      <c r="H2123">
        <v>79.217102050999998</v>
      </c>
      <c r="I2123">
        <v>50</v>
      </c>
      <c r="J2123">
        <v>49.983013153000002</v>
      </c>
      <c r="K2123">
        <v>0</v>
      </c>
      <c r="L2123">
        <v>2400</v>
      </c>
      <c r="M2123">
        <v>2400</v>
      </c>
      <c r="N2123">
        <v>0</v>
      </c>
    </row>
    <row r="2124" spans="1:14" x14ac:dyDescent="0.25">
      <c r="A2124">
        <v>1289.7671789999999</v>
      </c>
      <c r="B2124" s="1">
        <f>DATE(2013,11,10) + TIME(18,24,44)</f>
        <v>41588.767175925925</v>
      </c>
      <c r="C2124">
        <v>1329.3623047000001</v>
      </c>
      <c r="D2124">
        <v>1328.0957031</v>
      </c>
      <c r="E2124">
        <v>1338.1859131000001</v>
      </c>
      <c r="F2124">
        <v>1335.7784423999999</v>
      </c>
      <c r="G2124">
        <v>80</v>
      </c>
      <c r="H2124">
        <v>79.185729980000005</v>
      </c>
      <c r="I2124">
        <v>50</v>
      </c>
      <c r="J2124">
        <v>49.982925414999997</v>
      </c>
      <c r="K2124">
        <v>0</v>
      </c>
      <c r="L2124">
        <v>2400</v>
      </c>
      <c r="M2124">
        <v>2400</v>
      </c>
      <c r="N2124">
        <v>0</v>
      </c>
    </row>
    <row r="2125" spans="1:14" x14ac:dyDescent="0.25">
      <c r="A2125">
        <v>1290.2328669999999</v>
      </c>
      <c r="B2125" s="1">
        <f>DATE(2013,11,11) + TIME(5,35,19)</f>
        <v>41589.232858796298</v>
      </c>
      <c r="C2125">
        <v>1329.3395995999999</v>
      </c>
      <c r="D2125">
        <v>1328.0634766000001</v>
      </c>
      <c r="E2125">
        <v>1338.1802978999999</v>
      </c>
      <c r="F2125">
        <v>1335.7753906</v>
      </c>
      <c r="G2125">
        <v>80</v>
      </c>
      <c r="H2125">
        <v>79.153778075999995</v>
      </c>
      <c r="I2125">
        <v>50</v>
      </c>
      <c r="J2125">
        <v>49.982860565000003</v>
      </c>
      <c r="K2125">
        <v>0</v>
      </c>
      <c r="L2125">
        <v>2400</v>
      </c>
      <c r="M2125">
        <v>2400</v>
      </c>
      <c r="N2125">
        <v>0</v>
      </c>
    </row>
    <row r="2126" spans="1:14" x14ac:dyDescent="0.25">
      <c r="A2126">
        <v>1290.711303</v>
      </c>
      <c r="B2126" s="1">
        <f>DATE(2013,11,11) + TIME(17,4,16)</f>
        <v>41589.711296296293</v>
      </c>
      <c r="C2126">
        <v>1329.3166504000001</v>
      </c>
      <c r="D2126">
        <v>1328.0310059000001</v>
      </c>
      <c r="E2126">
        <v>1338.1748047000001</v>
      </c>
      <c r="F2126">
        <v>1335.7723389</v>
      </c>
      <c r="G2126">
        <v>80</v>
      </c>
      <c r="H2126">
        <v>79.121238708000007</v>
      </c>
      <c r="I2126">
        <v>50</v>
      </c>
      <c r="J2126">
        <v>49.982803345000001</v>
      </c>
      <c r="K2126">
        <v>0</v>
      </c>
      <c r="L2126">
        <v>2400</v>
      </c>
      <c r="M2126">
        <v>2400</v>
      </c>
      <c r="N2126">
        <v>0</v>
      </c>
    </row>
    <row r="2127" spans="1:14" x14ac:dyDescent="0.25">
      <c r="A2127">
        <v>1291.2037</v>
      </c>
      <c r="B2127" s="1">
        <f>DATE(2013,11,12) + TIME(4,53,19)</f>
        <v>41590.203692129631</v>
      </c>
      <c r="C2127">
        <v>1329.2933350000001</v>
      </c>
      <c r="D2127">
        <v>1327.9980469</v>
      </c>
      <c r="E2127">
        <v>1338.1693115</v>
      </c>
      <c r="F2127">
        <v>1335.7694091999999</v>
      </c>
      <c r="G2127">
        <v>80</v>
      </c>
      <c r="H2127">
        <v>79.088073730000005</v>
      </c>
      <c r="I2127">
        <v>50</v>
      </c>
      <c r="J2127">
        <v>49.982757567999997</v>
      </c>
      <c r="K2127">
        <v>0</v>
      </c>
      <c r="L2127">
        <v>2400</v>
      </c>
      <c r="M2127">
        <v>2400</v>
      </c>
      <c r="N2127">
        <v>0</v>
      </c>
    </row>
    <row r="2128" spans="1:14" x14ac:dyDescent="0.25">
      <c r="A2128">
        <v>1291.711348</v>
      </c>
      <c r="B2128" s="1">
        <f>DATE(2013,11,12) + TIME(17,4,20)</f>
        <v>41590.711342592593</v>
      </c>
      <c r="C2128">
        <v>1329.2697754000001</v>
      </c>
      <c r="D2128">
        <v>1327.9647216999999</v>
      </c>
      <c r="E2128">
        <v>1338.1639404</v>
      </c>
      <c r="F2128">
        <v>1335.7666016000001</v>
      </c>
      <c r="G2128">
        <v>80</v>
      </c>
      <c r="H2128">
        <v>79.054229735999996</v>
      </c>
      <c r="I2128">
        <v>50</v>
      </c>
      <c r="J2128">
        <v>49.982719420999999</v>
      </c>
      <c r="K2128">
        <v>0</v>
      </c>
      <c r="L2128">
        <v>2400</v>
      </c>
      <c r="M2128">
        <v>2400</v>
      </c>
      <c r="N2128">
        <v>0</v>
      </c>
    </row>
    <row r="2129" spans="1:14" x14ac:dyDescent="0.25">
      <c r="A2129">
        <v>1292.235653</v>
      </c>
      <c r="B2129" s="1">
        <f>DATE(2013,11,13) + TIME(5,39,20)</f>
        <v>41591.235648148147</v>
      </c>
      <c r="C2129">
        <v>1329.2457274999999</v>
      </c>
      <c r="D2129">
        <v>1327.9309082</v>
      </c>
      <c r="E2129">
        <v>1338.1586914</v>
      </c>
      <c r="F2129">
        <v>1335.7636719</v>
      </c>
      <c r="G2129">
        <v>80</v>
      </c>
      <c r="H2129">
        <v>79.019645690999994</v>
      </c>
      <c r="I2129">
        <v>50</v>
      </c>
      <c r="J2129">
        <v>49.982685089</v>
      </c>
      <c r="K2129">
        <v>0</v>
      </c>
      <c r="L2129">
        <v>2400</v>
      </c>
      <c r="M2129">
        <v>2400</v>
      </c>
      <c r="N2129">
        <v>0</v>
      </c>
    </row>
    <row r="2130" spans="1:14" x14ac:dyDescent="0.25">
      <c r="A2130">
        <v>1292.778082</v>
      </c>
      <c r="B2130" s="1">
        <f>DATE(2013,11,13) + TIME(18,40,26)</f>
        <v>41591.778078703705</v>
      </c>
      <c r="C2130">
        <v>1329.2213135</v>
      </c>
      <c r="D2130">
        <v>1327.8964844</v>
      </c>
      <c r="E2130">
        <v>1338.1533202999999</v>
      </c>
      <c r="F2130">
        <v>1335.7608643000001</v>
      </c>
      <c r="G2130">
        <v>80</v>
      </c>
      <c r="H2130">
        <v>78.984268188000001</v>
      </c>
      <c r="I2130">
        <v>50</v>
      </c>
      <c r="J2130">
        <v>49.982658385999997</v>
      </c>
      <c r="K2130">
        <v>0</v>
      </c>
      <c r="L2130">
        <v>2400</v>
      </c>
      <c r="M2130">
        <v>2400</v>
      </c>
      <c r="N2130">
        <v>0</v>
      </c>
    </row>
    <row r="2131" spans="1:14" x14ac:dyDescent="0.25">
      <c r="A2131">
        <v>1293.3401019999999</v>
      </c>
      <c r="B2131" s="1">
        <f>DATE(2013,11,14) + TIME(8,9,44)</f>
        <v>41592.340092592596</v>
      </c>
      <c r="C2131">
        <v>1329.1964111</v>
      </c>
      <c r="D2131">
        <v>1327.8615723</v>
      </c>
      <c r="E2131">
        <v>1338.1480713000001</v>
      </c>
      <c r="F2131">
        <v>1335.7580565999999</v>
      </c>
      <c r="G2131">
        <v>80</v>
      </c>
      <c r="H2131">
        <v>78.948013306000007</v>
      </c>
      <c r="I2131">
        <v>50</v>
      </c>
      <c r="J2131">
        <v>49.982631683000001</v>
      </c>
      <c r="K2131">
        <v>0</v>
      </c>
      <c r="L2131">
        <v>2400</v>
      </c>
      <c r="M2131">
        <v>2400</v>
      </c>
      <c r="N2131">
        <v>0</v>
      </c>
    </row>
    <row r="2132" spans="1:14" x14ac:dyDescent="0.25">
      <c r="A2132">
        <v>1293.923685</v>
      </c>
      <c r="B2132" s="1">
        <f>DATE(2013,11,14) + TIME(22,10,6)</f>
        <v>41592.923680555556</v>
      </c>
      <c r="C2132">
        <v>1329.1710204999999</v>
      </c>
      <c r="D2132">
        <v>1327.8259277</v>
      </c>
      <c r="E2132">
        <v>1338.1428223</v>
      </c>
      <c r="F2132">
        <v>1335.755249</v>
      </c>
      <c r="G2132">
        <v>80</v>
      </c>
      <c r="H2132">
        <v>78.910804748999993</v>
      </c>
      <c r="I2132">
        <v>50</v>
      </c>
      <c r="J2132">
        <v>49.982608794999997</v>
      </c>
      <c r="K2132">
        <v>0</v>
      </c>
      <c r="L2132">
        <v>2400</v>
      </c>
      <c r="M2132">
        <v>2400</v>
      </c>
      <c r="N2132">
        <v>0</v>
      </c>
    </row>
    <row r="2133" spans="1:14" x14ac:dyDescent="0.25">
      <c r="A2133">
        <v>1294.530837</v>
      </c>
      <c r="B2133" s="1">
        <f>DATE(2013,11,15) + TIME(12,44,24)</f>
        <v>41593.530833333331</v>
      </c>
      <c r="C2133">
        <v>1329.1451416</v>
      </c>
      <c r="D2133">
        <v>1327.7895507999999</v>
      </c>
      <c r="E2133">
        <v>1338.1375731999999</v>
      </c>
      <c r="F2133">
        <v>1335.7524414</v>
      </c>
      <c r="G2133">
        <v>80</v>
      </c>
      <c r="H2133">
        <v>78.872520446999999</v>
      </c>
      <c r="I2133">
        <v>50</v>
      </c>
      <c r="J2133">
        <v>49.982589722</v>
      </c>
      <c r="K2133">
        <v>0</v>
      </c>
      <c r="L2133">
        <v>2400</v>
      </c>
      <c r="M2133">
        <v>2400</v>
      </c>
      <c r="N2133">
        <v>0</v>
      </c>
    </row>
    <row r="2134" spans="1:14" x14ac:dyDescent="0.25">
      <c r="A2134">
        <v>1295.1637880000001</v>
      </c>
      <c r="B2134" s="1">
        <f>DATE(2013,11,16) + TIME(3,55,51)</f>
        <v>41594.163784722223</v>
      </c>
      <c r="C2134">
        <v>1329.1185303</v>
      </c>
      <c r="D2134">
        <v>1327.7524414</v>
      </c>
      <c r="E2134">
        <v>1338.1323242000001</v>
      </c>
      <c r="F2134">
        <v>1335.7497559000001</v>
      </c>
      <c r="G2134">
        <v>80</v>
      </c>
      <c r="H2134">
        <v>78.833076477000006</v>
      </c>
      <c r="I2134">
        <v>50</v>
      </c>
      <c r="J2134">
        <v>49.982570647999999</v>
      </c>
      <c r="K2134">
        <v>0</v>
      </c>
      <c r="L2134">
        <v>2400</v>
      </c>
      <c r="M2134">
        <v>2400</v>
      </c>
      <c r="N2134">
        <v>0</v>
      </c>
    </row>
    <row r="2135" spans="1:14" x14ac:dyDescent="0.25">
      <c r="A2135">
        <v>1295.822455</v>
      </c>
      <c r="B2135" s="1">
        <f>DATE(2013,11,16) + TIME(19,44,20)</f>
        <v>41594.822453703702</v>
      </c>
      <c r="C2135">
        <v>1329.0913086</v>
      </c>
      <c r="D2135">
        <v>1327.7143555</v>
      </c>
      <c r="E2135">
        <v>1338.1270752</v>
      </c>
      <c r="F2135">
        <v>1335.7469481999999</v>
      </c>
      <c r="G2135">
        <v>80</v>
      </c>
      <c r="H2135">
        <v>78.792419433999996</v>
      </c>
      <c r="I2135">
        <v>50</v>
      </c>
      <c r="J2135">
        <v>49.982551575000002</v>
      </c>
      <c r="K2135">
        <v>0</v>
      </c>
      <c r="L2135">
        <v>2400</v>
      </c>
      <c r="M2135">
        <v>2400</v>
      </c>
      <c r="N2135">
        <v>0</v>
      </c>
    </row>
    <row r="2136" spans="1:14" x14ac:dyDescent="0.25">
      <c r="A2136">
        <v>1296.4993119999999</v>
      </c>
      <c r="B2136" s="1">
        <f>DATE(2013,11,17) + TIME(11,59,0)</f>
        <v>41595.499305555553</v>
      </c>
      <c r="C2136">
        <v>1329.0633545000001</v>
      </c>
      <c r="D2136">
        <v>1327.6754149999999</v>
      </c>
      <c r="E2136">
        <v>1338.1218262</v>
      </c>
      <c r="F2136">
        <v>1335.7442627</v>
      </c>
      <c r="G2136">
        <v>80</v>
      </c>
      <c r="H2136">
        <v>78.750785828000005</v>
      </c>
      <c r="I2136">
        <v>50</v>
      </c>
      <c r="J2136">
        <v>49.982532501000001</v>
      </c>
      <c r="K2136">
        <v>0</v>
      </c>
      <c r="L2136">
        <v>2400</v>
      </c>
      <c r="M2136">
        <v>2400</v>
      </c>
      <c r="N2136">
        <v>0</v>
      </c>
    </row>
    <row r="2137" spans="1:14" x14ac:dyDescent="0.25">
      <c r="A2137">
        <v>1297.196134</v>
      </c>
      <c r="B2137" s="1">
        <f>DATE(2013,11,18) + TIME(4,42,25)</f>
        <v>41596.196122685185</v>
      </c>
      <c r="C2137">
        <v>1329.0350341999999</v>
      </c>
      <c r="D2137">
        <v>1327.6359863</v>
      </c>
      <c r="E2137">
        <v>1338.1166992000001</v>
      </c>
      <c r="F2137">
        <v>1335.7415771000001</v>
      </c>
      <c r="G2137">
        <v>80</v>
      </c>
      <c r="H2137">
        <v>78.708213806000003</v>
      </c>
      <c r="I2137">
        <v>50</v>
      </c>
      <c r="J2137">
        <v>49.982517242</v>
      </c>
      <c r="K2137">
        <v>0</v>
      </c>
      <c r="L2137">
        <v>2400</v>
      </c>
      <c r="M2137">
        <v>2400</v>
      </c>
      <c r="N2137">
        <v>0</v>
      </c>
    </row>
    <row r="2138" spans="1:14" x14ac:dyDescent="0.25">
      <c r="A2138">
        <v>1297.917901</v>
      </c>
      <c r="B2138" s="1">
        <f>DATE(2013,11,18) + TIME(22,1,46)</f>
        <v>41596.917893518519</v>
      </c>
      <c r="C2138">
        <v>1329.0062256000001</v>
      </c>
      <c r="D2138">
        <v>1327.5959473</v>
      </c>
      <c r="E2138">
        <v>1338.1115723</v>
      </c>
      <c r="F2138">
        <v>1335.7388916</v>
      </c>
      <c r="G2138">
        <v>80</v>
      </c>
      <c r="H2138">
        <v>78.664566039999997</v>
      </c>
      <c r="I2138">
        <v>50</v>
      </c>
      <c r="J2138">
        <v>49.982501984000002</v>
      </c>
      <c r="K2138">
        <v>0</v>
      </c>
      <c r="L2138">
        <v>2400</v>
      </c>
      <c r="M2138">
        <v>2400</v>
      </c>
      <c r="N2138">
        <v>0</v>
      </c>
    </row>
    <row r="2139" spans="1:14" x14ac:dyDescent="0.25">
      <c r="A2139">
        <v>1298.670128</v>
      </c>
      <c r="B2139" s="1">
        <f>DATE(2013,11,19) + TIME(16,4,59)</f>
        <v>41597.670127314814</v>
      </c>
      <c r="C2139">
        <v>1328.9769286999999</v>
      </c>
      <c r="D2139">
        <v>1327.5552978999999</v>
      </c>
      <c r="E2139">
        <v>1338.1064452999999</v>
      </c>
      <c r="F2139">
        <v>1335.7363281</v>
      </c>
      <c r="G2139">
        <v>80</v>
      </c>
      <c r="H2139">
        <v>78.619628906000003</v>
      </c>
      <c r="I2139">
        <v>50</v>
      </c>
      <c r="J2139">
        <v>49.982486725000001</v>
      </c>
      <c r="K2139">
        <v>0</v>
      </c>
      <c r="L2139">
        <v>2400</v>
      </c>
      <c r="M2139">
        <v>2400</v>
      </c>
      <c r="N2139">
        <v>0</v>
      </c>
    </row>
    <row r="2140" spans="1:14" x14ac:dyDescent="0.25">
      <c r="A2140">
        <v>1299.4592090000001</v>
      </c>
      <c r="B2140" s="1">
        <f>DATE(2013,11,20) + TIME(11,1,15)</f>
        <v>41598.459201388891</v>
      </c>
      <c r="C2140">
        <v>1328.9468993999999</v>
      </c>
      <c r="D2140">
        <v>1327.5135498</v>
      </c>
      <c r="E2140">
        <v>1338.1013184000001</v>
      </c>
      <c r="F2140">
        <v>1335.7337646000001</v>
      </c>
      <c r="G2140">
        <v>80</v>
      </c>
      <c r="H2140">
        <v>78.573120117000002</v>
      </c>
      <c r="I2140">
        <v>50</v>
      </c>
      <c r="J2140">
        <v>49.982471466</v>
      </c>
      <c r="K2140">
        <v>0</v>
      </c>
      <c r="L2140">
        <v>2400</v>
      </c>
      <c r="M2140">
        <v>2400</v>
      </c>
      <c r="N2140">
        <v>0</v>
      </c>
    </row>
    <row r="2141" spans="1:14" x14ac:dyDescent="0.25">
      <c r="A2141">
        <v>1300.2781460000001</v>
      </c>
      <c r="B2141" s="1">
        <f>DATE(2013,11,21) + TIME(6,40,31)</f>
        <v>41599.278136574074</v>
      </c>
      <c r="C2141">
        <v>1328.9160156</v>
      </c>
      <c r="D2141">
        <v>1327.4708252</v>
      </c>
      <c r="E2141">
        <v>1338.0960693</v>
      </c>
      <c r="F2141">
        <v>1335.7310791</v>
      </c>
      <c r="G2141">
        <v>80</v>
      </c>
      <c r="H2141">
        <v>78.525070189999994</v>
      </c>
      <c r="I2141">
        <v>50</v>
      </c>
      <c r="J2141">
        <v>49.982456206999998</v>
      </c>
      <c r="K2141">
        <v>0</v>
      </c>
      <c r="L2141">
        <v>2400</v>
      </c>
      <c r="M2141">
        <v>2400</v>
      </c>
      <c r="N2141">
        <v>0</v>
      </c>
    </row>
    <row r="2142" spans="1:14" x14ac:dyDescent="0.25">
      <c r="A2142">
        <v>1301.129091</v>
      </c>
      <c r="B2142" s="1">
        <f>DATE(2013,11,22) + TIME(3,5,53)</f>
        <v>41600.12908564815</v>
      </c>
      <c r="C2142">
        <v>1328.8843993999999</v>
      </c>
      <c r="D2142">
        <v>1327.4272461</v>
      </c>
      <c r="E2142">
        <v>1338.0909423999999</v>
      </c>
      <c r="F2142">
        <v>1335.7285156</v>
      </c>
      <c r="G2142">
        <v>80</v>
      </c>
      <c r="H2142">
        <v>78.475456238000007</v>
      </c>
      <c r="I2142">
        <v>50</v>
      </c>
      <c r="J2142">
        <v>49.982440947999997</v>
      </c>
      <c r="K2142">
        <v>0</v>
      </c>
      <c r="L2142">
        <v>2400</v>
      </c>
      <c r="M2142">
        <v>2400</v>
      </c>
      <c r="N2142">
        <v>0</v>
      </c>
    </row>
    <row r="2143" spans="1:14" x14ac:dyDescent="0.25">
      <c r="A2143">
        <v>1301.987468</v>
      </c>
      <c r="B2143" s="1">
        <f>DATE(2013,11,22) + TIME(23,41,57)</f>
        <v>41600.98746527778</v>
      </c>
      <c r="C2143">
        <v>1328.8521728999999</v>
      </c>
      <c r="D2143">
        <v>1327.3826904</v>
      </c>
      <c r="E2143">
        <v>1338.0858154</v>
      </c>
      <c r="F2143">
        <v>1335.7260742000001</v>
      </c>
      <c r="G2143">
        <v>80</v>
      </c>
      <c r="H2143">
        <v>78.424896239999995</v>
      </c>
      <c r="I2143">
        <v>50</v>
      </c>
      <c r="J2143">
        <v>49.982425689999999</v>
      </c>
      <c r="K2143">
        <v>0</v>
      </c>
      <c r="L2143">
        <v>2400</v>
      </c>
      <c r="M2143">
        <v>2400</v>
      </c>
      <c r="N2143">
        <v>0</v>
      </c>
    </row>
    <row r="2144" spans="1:14" x14ac:dyDescent="0.25">
      <c r="A2144">
        <v>1302.854</v>
      </c>
      <c r="B2144" s="1">
        <f>DATE(2013,11,23) + TIME(20,29,45)</f>
        <v>41601.853993055556</v>
      </c>
      <c r="C2144">
        <v>1328.8199463000001</v>
      </c>
      <c r="D2144">
        <v>1327.3382568</v>
      </c>
      <c r="E2144">
        <v>1338.0808105000001</v>
      </c>
      <c r="F2144">
        <v>1335.7236327999999</v>
      </c>
      <c r="G2144">
        <v>80</v>
      </c>
      <c r="H2144">
        <v>78.373779296999999</v>
      </c>
      <c r="I2144">
        <v>50</v>
      </c>
      <c r="J2144">
        <v>49.982410430999998</v>
      </c>
      <c r="K2144">
        <v>0</v>
      </c>
      <c r="L2144">
        <v>2400</v>
      </c>
      <c r="M2144">
        <v>2400</v>
      </c>
      <c r="N2144">
        <v>0</v>
      </c>
    </row>
    <row r="2145" spans="1:14" x14ac:dyDescent="0.25">
      <c r="A2145">
        <v>1303.7347520000001</v>
      </c>
      <c r="B2145" s="1">
        <f>DATE(2013,11,24) + TIME(17,38,2)</f>
        <v>41602.73474537037</v>
      </c>
      <c r="C2145">
        <v>1328.7877197</v>
      </c>
      <c r="D2145">
        <v>1327.2939452999999</v>
      </c>
      <c r="E2145">
        <v>1338.0759277</v>
      </c>
      <c r="F2145">
        <v>1335.7211914</v>
      </c>
      <c r="G2145">
        <v>80</v>
      </c>
      <c r="H2145">
        <v>78.322105407999999</v>
      </c>
      <c r="I2145">
        <v>50</v>
      </c>
      <c r="J2145">
        <v>49.982398987000003</v>
      </c>
      <c r="K2145">
        <v>0</v>
      </c>
      <c r="L2145">
        <v>2400</v>
      </c>
      <c r="M2145">
        <v>2400</v>
      </c>
      <c r="N2145">
        <v>0</v>
      </c>
    </row>
    <row r="2146" spans="1:14" x14ac:dyDescent="0.25">
      <c r="A2146">
        <v>1304.6358110000001</v>
      </c>
      <c r="B2146" s="1">
        <f>DATE(2013,11,25) + TIME(15,15,34)</f>
        <v>41603.635810185187</v>
      </c>
      <c r="C2146">
        <v>1328.7556152</v>
      </c>
      <c r="D2146">
        <v>1327.2496338000001</v>
      </c>
      <c r="E2146">
        <v>1338.0711670000001</v>
      </c>
      <c r="F2146">
        <v>1335.7189940999999</v>
      </c>
      <c r="G2146">
        <v>80</v>
      </c>
      <c r="H2146">
        <v>78.269668578999998</v>
      </c>
      <c r="I2146">
        <v>50</v>
      </c>
      <c r="J2146">
        <v>49.982383728000002</v>
      </c>
      <c r="K2146">
        <v>0</v>
      </c>
      <c r="L2146">
        <v>2400</v>
      </c>
      <c r="M2146">
        <v>2400</v>
      </c>
      <c r="N2146">
        <v>0</v>
      </c>
    </row>
    <row r="2147" spans="1:14" x14ac:dyDescent="0.25">
      <c r="A2147">
        <v>1305.563611</v>
      </c>
      <c r="B2147" s="1">
        <f>DATE(2013,11,26) + TIME(13,31,36)</f>
        <v>41604.563611111109</v>
      </c>
      <c r="C2147">
        <v>1328.7232666</v>
      </c>
      <c r="D2147">
        <v>1327.2052002</v>
      </c>
      <c r="E2147">
        <v>1338.0665283000001</v>
      </c>
      <c r="F2147">
        <v>1335.7167969</v>
      </c>
      <c r="G2147">
        <v>80</v>
      </c>
      <c r="H2147">
        <v>78.216148376000007</v>
      </c>
      <c r="I2147">
        <v>50</v>
      </c>
      <c r="J2147">
        <v>49.982368469000001</v>
      </c>
      <c r="K2147">
        <v>0</v>
      </c>
      <c r="L2147">
        <v>2400</v>
      </c>
      <c r="M2147">
        <v>2400</v>
      </c>
      <c r="N2147">
        <v>0</v>
      </c>
    </row>
    <row r="2148" spans="1:14" x14ac:dyDescent="0.25">
      <c r="A2148">
        <v>1306.525224</v>
      </c>
      <c r="B2148" s="1">
        <f>DATE(2013,11,27) + TIME(12,36,19)</f>
        <v>41605.525219907409</v>
      </c>
      <c r="C2148">
        <v>1328.6905518000001</v>
      </c>
      <c r="D2148">
        <v>1327.1604004000001</v>
      </c>
      <c r="E2148">
        <v>1338.0617675999999</v>
      </c>
      <c r="F2148">
        <v>1335.7145995999999</v>
      </c>
      <c r="G2148">
        <v>80</v>
      </c>
      <c r="H2148">
        <v>78.161170959000003</v>
      </c>
      <c r="I2148">
        <v>50</v>
      </c>
      <c r="J2148">
        <v>49.982357024999999</v>
      </c>
      <c r="K2148">
        <v>0</v>
      </c>
      <c r="L2148">
        <v>2400</v>
      </c>
      <c r="M2148">
        <v>2400</v>
      </c>
      <c r="N2148">
        <v>0</v>
      </c>
    </row>
    <row r="2149" spans="1:14" x14ac:dyDescent="0.25">
      <c r="A2149">
        <v>1307.5286799999999</v>
      </c>
      <c r="B2149" s="1">
        <f>DATE(2013,11,28) + TIME(12,41,17)</f>
        <v>41606.528668981482</v>
      </c>
      <c r="C2149">
        <v>1328.6573486</v>
      </c>
      <c r="D2149">
        <v>1327.1148682</v>
      </c>
      <c r="E2149">
        <v>1338.0571289</v>
      </c>
      <c r="F2149">
        <v>1335.7124022999999</v>
      </c>
      <c r="G2149">
        <v>80</v>
      </c>
      <c r="H2149">
        <v>78.104293823000006</v>
      </c>
      <c r="I2149">
        <v>50</v>
      </c>
      <c r="J2149">
        <v>49.982341765999998</v>
      </c>
      <c r="K2149">
        <v>0</v>
      </c>
      <c r="L2149">
        <v>2400</v>
      </c>
      <c r="M2149">
        <v>2400</v>
      </c>
      <c r="N2149">
        <v>0</v>
      </c>
    </row>
    <row r="2150" spans="1:14" x14ac:dyDescent="0.25">
      <c r="A2150">
        <v>1308.5833849999999</v>
      </c>
      <c r="B2150" s="1">
        <f>DATE(2013,11,29) + TIME(14,0,4)</f>
        <v>41607.583379629628</v>
      </c>
      <c r="C2150">
        <v>1328.6232910000001</v>
      </c>
      <c r="D2150">
        <v>1327.0684814000001</v>
      </c>
      <c r="E2150">
        <v>1338.0524902</v>
      </c>
      <c r="F2150">
        <v>1335.7103271000001</v>
      </c>
      <c r="G2150">
        <v>80</v>
      </c>
      <c r="H2150">
        <v>78.045005798000005</v>
      </c>
      <c r="I2150">
        <v>50</v>
      </c>
      <c r="J2150">
        <v>49.982326508</v>
      </c>
      <c r="K2150">
        <v>0</v>
      </c>
      <c r="L2150">
        <v>2400</v>
      </c>
      <c r="M2150">
        <v>2400</v>
      </c>
      <c r="N2150">
        <v>0</v>
      </c>
    </row>
    <row r="2151" spans="1:14" x14ac:dyDescent="0.25">
      <c r="A2151">
        <v>1309.662953</v>
      </c>
      <c r="B2151" s="1">
        <f>DATE(2013,11,30) + TIME(15,54,39)</f>
        <v>41608.662951388891</v>
      </c>
      <c r="C2151">
        <v>1328.5883789</v>
      </c>
      <c r="D2151">
        <v>1327.0209961</v>
      </c>
      <c r="E2151">
        <v>1338.0477295000001</v>
      </c>
      <c r="F2151">
        <v>1335.7081298999999</v>
      </c>
      <c r="G2151">
        <v>80</v>
      </c>
      <c r="H2151">
        <v>77.983528136999993</v>
      </c>
      <c r="I2151">
        <v>50</v>
      </c>
      <c r="J2151">
        <v>49.982315063000001</v>
      </c>
      <c r="K2151">
        <v>0</v>
      </c>
      <c r="L2151">
        <v>2400</v>
      </c>
      <c r="M2151">
        <v>2400</v>
      </c>
      <c r="N2151">
        <v>0</v>
      </c>
    </row>
    <row r="2152" spans="1:14" x14ac:dyDescent="0.25">
      <c r="A2152">
        <v>1310</v>
      </c>
      <c r="B2152" s="1">
        <f>DATE(2013,12,1) + TIME(0,0,0)</f>
        <v>41609</v>
      </c>
      <c r="C2152">
        <v>1328.5552978999999</v>
      </c>
      <c r="D2152">
        <v>1326.9771728999999</v>
      </c>
      <c r="E2152">
        <v>1338.0428466999999</v>
      </c>
      <c r="F2152">
        <v>1335.7059326000001</v>
      </c>
      <c r="G2152">
        <v>80</v>
      </c>
      <c r="H2152">
        <v>77.949546814000001</v>
      </c>
      <c r="I2152">
        <v>50</v>
      </c>
      <c r="J2152">
        <v>49.982307433999999</v>
      </c>
      <c r="K2152">
        <v>0</v>
      </c>
      <c r="L2152">
        <v>2400</v>
      </c>
      <c r="M2152">
        <v>2400</v>
      </c>
      <c r="N2152">
        <v>0</v>
      </c>
    </row>
    <row r="2153" spans="1:14" x14ac:dyDescent="0.25">
      <c r="A2153">
        <v>1311.111613</v>
      </c>
      <c r="B2153" s="1">
        <f>DATE(2013,12,2) + TIME(2,40,43)</f>
        <v>41610.111608796295</v>
      </c>
      <c r="C2153">
        <v>1328.5383300999999</v>
      </c>
      <c r="D2153">
        <v>1326.9514160000001</v>
      </c>
      <c r="E2153">
        <v>1338.0415039</v>
      </c>
      <c r="F2153">
        <v>1335.7054443</v>
      </c>
      <c r="G2153">
        <v>80</v>
      </c>
      <c r="H2153">
        <v>77.894935607999997</v>
      </c>
      <c r="I2153">
        <v>50</v>
      </c>
      <c r="J2153">
        <v>49.982295989999997</v>
      </c>
      <c r="K2153">
        <v>0</v>
      </c>
      <c r="L2153">
        <v>2400</v>
      </c>
      <c r="M2153">
        <v>2400</v>
      </c>
      <c r="N2153">
        <v>0</v>
      </c>
    </row>
    <row r="2154" spans="1:14" x14ac:dyDescent="0.25">
      <c r="A2154">
        <v>1312.2442779999999</v>
      </c>
      <c r="B2154" s="1">
        <f>DATE(2013,12,3) + TIME(5,51,45)</f>
        <v>41611.244270833333</v>
      </c>
      <c r="C2154">
        <v>1328.5050048999999</v>
      </c>
      <c r="D2154">
        <v>1326.9068603999999</v>
      </c>
      <c r="E2154">
        <v>1338.0368652</v>
      </c>
      <c r="F2154">
        <v>1335.7033690999999</v>
      </c>
      <c r="G2154">
        <v>80</v>
      </c>
      <c r="H2154">
        <v>77.833061217999997</v>
      </c>
      <c r="I2154">
        <v>50</v>
      </c>
      <c r="J2154">
        <v>49.982280731000003</v>
      </c>
      <c r="K2154">
        <v>0</v>
      </c>
      <c r="L2154">
        <v>2400</v>
      </c>
      <c r="M2154">
        <v>2400</v>
      </c>
      <c r="N2154">
        <v>0</v>
      </c>
    </row>
    <row r="2155" spans="1:14" x14ac:dyDescent="0.25">
      <c r="A2155">
        <v>1313.3949789999999</v>
      </c>
      <c r="B2155" s="1">
        <f>DATE(2013,12,4) + TIME(9,28,46)</f>
        <v>41612.394976851851</v>
      </c>
      <c r="C2155">
        <v>1328.4700928</v>
      </c>
      <c r="D2155">
        <v>1326.8598632999999</v>
      </c>
      <c r="E2155">
        <v>1338.0323486</v>
      </c>
      <c r="F2155">
        <v>1335.7014160000001</v>
      </c>
      <c r="G2155">
        <v>80</v>
      </c>
      <c r="H2155">
        <v>77.767601013000004</v>
      </c>
      <c r="I2155">
        <v>50</v>
      </c>
      <c r="J2155">
        <v>49.982269287000001</v>
      </c>
      <c r="K2155">
        <v>0</v>
      </c>
      <c r="L2155">
        <v>2400</v>
      </c>
      <c r="M2155">
        <v>2400</v>
      </c>
      <c r="N2155">
        <v>0</v>
      </c>
    </row>
    <row r="2156" spans="1:14" x14ac:dyDescent="0.25">
      <c r="A2156">
        <v>1314.572424</v>
      </c>
      <c r="B2156" s="1">
        <f>DATE(2013,12,5) + TIME(13,44,17)</f>
        <v>41613.572418981479</v>
      </c>
      <c r="C2156">
        <v>1328.4346923999999</v>
      </c>
      <c r="D2156">
        <v>1326.8120117000001</v>
      </c>
      <c r="E2156">
        <v>1338.027832</v>
      </c>
      <c r="F2156">
        <v>1335.6994629000001</v>
      </c>
      <c r="G2156">
        <v>80</v>
      </c>
      <c r="H2156">
        <v>77.699783324999999</v>
      </c>
      <c r="I2156">
        <v>50</v>
      </c>
      <c r="J2156">
        <v>49.982254028</v>
      </c>
      <c r="K2156">
        <v>0</v>
      </c>
      <c r="L2156">
        <v>2400</v>
      </c>
      <c r="M2156">
        <v>2400</v>
      </c>
      <c r="N2156">
        <v>0</v>
      </c>
    </row>
    <row r="2157" spans="1:14" x14ac:dyDescent="0.25">
      <c r="A2157">
        <v>1315.7857200000001</v>
      </c>
      <c r="B2157" s="1">
        <f>DATE(2013,12,6) + TIME(18,51,26)</f>
        <v>41614.785717592589</v>
      </c>
      <c r="C2157">
        <v>1328.3989257999999</v>
      </c>
      <c r="D2157">
        <v>1326.7635498</v>
      </c>
      <c r="E2157">
        <v>1338.0234375</v>
      </c>
      <c r="F2157">
        <v>1335.6976318</v>
      </c>
      <c r="G2157">
        <v>80</v>
      </c>
      <c r="H2157">
        <v>77.629737853999998</v>
      </c>
      <c r="I2157">
        <v>50</v>
      </c>
      <c r="J2157">
        <v>49.982242583999998</v>
      </c>
      <c r="K2157">
        <v>0</v>
      </c>
      <c r="L2157">
        <v>2400</v>
      </c>
      <c r="M2157">
        <v>2400</v>
      </c>
      <c r="N2157">
        <v>0</v>
      </c>
    </row>
    <row r="2158" spans="1:14" x14ac:dyDescent="0.25">
      <c r="A2158">
        <v>1317.044922</v>
      </c>
      <c r="B2158" s="1">
        <f>DATE(2013,12,8) + TIME(1,4,41)</f>
        <v>41616.044918981483</v>
      </c>
      <c r="C2158">
        <v>1328.362793</v>
      </c>
      <c r="D2158">
        <v>1326.7147216999999</v>
      </c>
      <c r="E2158">
        <v>1338.019043</v>
      </c>
      <c r="F2158">
        <v>1335.6958007999999</v>
      </c>
      <c r="G2158">
        <v>80</v>
      </c>
      <c r="H2158">
        <v>77.557098389000004</v>
      </c>
      <c r="I2158">
        <v>50</v>
      </c>
      <c r="J2158">
        <v>49.982227324999997</v>
      </c>
      <c r="K2158">
        <v>0</v>
      </c>
      <c r="L2158">
        <v>2400</v>
      </c>
      <c r="M2158">
        <v>2400</v>
      </c>
      <c r="N2158">
        <v>0</v>
      </c>
    </row>
    <row r="2159" spans="1:14" x14ac:dyDescent="0.25">
      <c r="A2159">
        <v>1318.361521</v>
      </c>
      <c r="B2159" s="1">
        <f>DATE(2013,12,9) + TIME(8,40,35)</f>
        <v>41617.361516203702</v>
      </c>
      <c r="C2159">
        <v>1328.3259277</v>
      </c>
      <c r="D2159">
        <v>1326.6650391000001</v>
      </c>
      <c r="E2159">
        <v>1338.0145264</v>
      </c>
      <c r="F2159">
        <v>1335.6939697</v>
      </c>
      <c r="G2159">
        <v>80</v>
      </c>
      <c r="H2159">
        <v>77.481285095000004</v>
      </c>
      <c r="I2159">
        <v>50</v>
      </c>
      <c r="J2159">
        <v>49.982215881000002</v>
      </c>
      <c r="K2159">
        <v>0</v>
      </c>
      <c r="L2159">
        <v>2400</v>
      </c>
      <c r="M2159">
        <v>2400</v>
      </c>
      <c r="N2159">
        <v>0</v>
      </c>
    </row>
    <row r="2160" spans="1:14" x14ac:dyDescent="0.25">
      <c r="A2160">
        <v>1319.7307969999999</v>
      </c>
      <c r="B2160" s="1">
        <f>DATE(2013,12,10) + TIME(17,32,20)</f>
        <v>41618.730787037035</v>
      </c>
      <c r="C2160">
        <v>1328.2883300999999</v>
      </c>
      <c r="D2160">
        <v>1326.6145019999999</v>
      </c>
      <c r="E2160">
        <v>1338.0101318</v>
      </c>
      <c r="F2160">
        <v>1335.6922606999999</v>
      </c>
      <c r="G2160">
        <v>80</v>
      </c>
      <c r="H2160">
        <v>77.401893615999995</v>
      </c>
      <c r="I2160">
        <v>50</v>
      </c>
      <c r="J2160">
        <v>49.982200622999997</v>
      </c>
      <c r="K2160">
        <v>0</v>
      </c>
      <c r="L2160">
        <v>2400</v>
      </c>
      <c r="M2160">
        <v>2400</v>
      </c>
      <c r="N2160">
        <v>0</v>
      </c>
    </row>
    <row r="2161" spans="1:14" x14ac:dyDescent="0.25">
      <c r="A2161">
        <v>1321.1589650000001</v>
      </c>
      <c r="B2161" s="1">
        <f>DATE(2013,12,12) + TIME(3,48,54)</f>
        <v>41620.158958333333</v>
      </c>
      <c r="C2161">
        <v>1328.2498779</v>
      </c>
      <c r="D2161">
        <v>1326.5628661999999</v>
      </c>
      <c r="E2161">
        <v>1338.0054932</v>
      </c>
      <c r="F2161">
        <v>1335.6904297000001</v>
      </c>
      <c r="G2161">
        <v>80</v>
      </c>
      <c r="H2161">
        <v>77.318702697999996</v>
      </c>
      <c r="I2161">
        <v>50</v>
      </c>
      <c r="J2161">
        <v>49.982189177999999</v>
      </c>
      <c r="K2161">
        <v>0</v>
      </c>
      <c r="L2161">
        <v>2400</v>
      </c>
      <c r="M2161">
        <v>2400</v>
      </c>
      <c r="N2161">
        <v>0</v>
      </c>
    </row>
    <row r="2162" spans="1:14" x14ac:dyDescent="0.25">
      <c r="A2162">
        <v>1322.6014110000001</v>
      </c>
      <c r="B2162" s="1">
        <f>DATE(2013,12,13) + TIME(14,26,1)</f>
        <v>41621.601400462961</v>
      </c>
      <c r="C2162">
        <v>1328.2106934000001</v>
      </c>
      <c r="D2162">
        <v>1326.5102539</v>
      </c>
      <c r="E2162">
        <v>1338.0009766000001</v>
      </c>
      <c r="F2162">
        <v>1335.6887207</v>
      </c>
      <c r="G2162">
        <v>80</v>
      </c>
      <c r="H2162">
        <v>77.232223511000001</v>
      </c>
      <c r="I2162">
        <v>50</v>
      </c>
      <c r="J2162">
        <v>49.982173920000001</v>
      </c>
      <c r="K2162">
        <v>0</v>
      </c>
      <c r="L2162">
        <v>2400</v>
      </c>
      <c r="M2162">
        <v>2400</v>
      </c>
      <c r="N2162">
        <v>0</v>
      </c>
    </row>
    <row r="2163" spans="1:14" x14ac:dyDescent="0.25">
      <c r="A2163">
        <v>1324.069248</v>
      </c>
      <c r="B2163" s="1">
        <f>DATE(2013,12,15) + TIME(1,39,42)</f>
        <v>41623.069236111114</v>
      </c>
      <c r="C2163">
        <v>1328.1715088000001</v>
      </c>
      <c r="D2163">
        <v>1326.4576416</v>
      </c>
      <c r="E2163">
        <v>1337.9964600000001</v>
      </c>
      <c r="F2163">
        <v>1335.6870117000001</v>
      </c>
      <c r="G2163">
        <v>80</v>
      </c>
      <c r="H2163">
        <v>77.143463135000005</v>
      </c>
      <c r="I2163">
        <v>50</v>
      </c>
      <c r="J2163">
        <v>49.982162475999999</v>
      </c>
      <c r="K2163">
        <v>0</v>
      </c>
      <c r="L2163">
        <v>2400</v>
      </c>
      <c r="M2163">
        <v>2400</v>
      </c>
      <c r="N2163">
        <v>0</v>
      </c>
    </row>
    <row r="2164" spans="1:14" x14ac:dyDescent="0.25">
      <c r="A2164">
        <v>1325.5647899999999</v>
      </c>
      <c r="B2164" s="1">
        <f>DATE(2013,12,16) + TIME(13,33,17)</f>
        <v>41624.564780092594</v>
      </c>
      <c r="C2164">
        <v>1328.1323242000001</v>
      </c>
      <c r="D2164">
        <v>1326.4051514</v>
      </c>
      <c r="E2164">
        <v>1337.9920654</v>
      </c>
      <c r="F2164">
        <v>1335.6853027</v>
      </c>
      <c r="G2164">
        <v>80</v>
      </c>
      <c r="H2164">
        <v>77.052383422999995</v>
      </c>
      <c r="I2164">
        <v>50</v>
      </c>
      <c r="J2164">
        <v>49.982147216999998</v>
      </c>
      <c r="K2164">
        <v>0</v>
      </c>
      <c r="L2164">
        <v>2400</v>
      </c>
      <c r="M2164">
        <v>2400</v>
      </c>
      <c r="N2164">
        <v>0</v>
      </c>
    </row>
    <row r="2165" spans="1:14" x14ac:dyDescent="0.25">
      <c r="A2165">
        <v>1327.0890879999999</v>
      </c>
      <c r="B2165" s="1">
        <f>DATE(2013,12,18) + TIME(2,8,17)</f>
        <v>41626.089085648149</v>
      </c>
      <c r="C2165">
        <v>1328.0932617000001</v>
      </c>
      <c r="D2165">
        <v>1326.3527832</v>
      </c>
      <c r="E2165">
        <v>1337.987793</v>
      </c>
      <c r="F2165">
        <v>1335.6837158000001</v>
      </c>
      <c r="G2165">
        <v>80</v>
      </c>
      <c r="H2165">
        <v>76.958854674999998</v>
      </c>
      <c r="I2165">
        <v>50</v>
      </c>
      <c r="J2165">
        <v>49.982135773000003</v>
      </c>
      <c r="K2165">
        <v>0</v>
      </c>
      <c r="L2165">
        <v>2400</v>
      </c>
      <c r="M2165">
        <v>2400</v>
      </c>
      <c r="N2165">
        <v>0</v>
      </c>
    </row>
    <row r="2166" spans="1:14" x14ac:dyDescent="0.25">
      <c r="A2166">
        <v>1328.6531660000001</v>
      </c>
      <c r="B2166" s="1">
        <f>DATE(2013,12,19) + TIME(15,40,33)</f>
        <v>41627.65315972222</v>
      </c>
      <c r="C2166">
        <v>1328.0541992000001</v>
      </c>
      <c r="D2166">
        <v>1326.3005370999999</v>
      </c>
      <c r="E2166">
        <v>1337.9835204999999</v>
      </c>
      <c r="F2166">
        <v>1335.6821289</v>
      </c>
      <c r="G2166">
        <v>80</v>
      </c>
      <c r="H2166">
        <v>76.862586974999999</v>
      </c>
      <c r="I2166">
        <v>50</v>
      </c>
      <c r="J2166">
        <v>49.982120514000002</v>
      </c>
      <c r="K2166">
        <v>0</v>
      </c>
      <c r="L2166">
        <v>2400</v>
      </c>
      <c r="M2166">
        <v>2400</v>
      </c>
      <c r="N2166">
        <v>0</v>
      </c>
    </row>
    <row r="2167" spans="1:14" x14ac:dyDescent="0.25">
      <c r="A2167">
        <v>1330.270049</v>
      </c>
      <c r="B2167" s="1">
        <f>DATE(2013,12,21) + TIME(6,28,52)</f>
        <v>41629.270046296297</v>
      </c>
      <c r="C2167">
        <v>1328.0150146000001</v>
      </c>
      <c r="D2167">
        <v>1326.2482910000001</v>
      </c>
      <c r="E2167">
        <v>1337.979126</v>
      </c>
      <c r="F2167">
        <v>1335.6805420000001</v>
      </c>
      <c r="G2167">
        <v>80</v>
      </c>
      <c r="H2167">
        <v>76.762924193999993</v>
      </c>
      <c r="I2167">
        <v>50</v>
      </c>
      <c r="J2167">
        <v>49.98210907</v>
      </c>
      <c r="K2167">
        <v>0</v>
      </c>
      <c r="L2167">
        <v>2400</v>
      </c>
      <c r="M2167">
        <v>2400</v>
      </c>
      <c r="N2167">
        <v>0</v>
      </c>
    </row>
    <row r="2168" spans="1:14" x14ac:dyDescent="0.25">
      <c r="A2168">
        <v>1331.95442</v>
      </c>
      <c r="B2168" s="1">
        <f>DATE(2013,12,22) + TIME(22,54,21)</f>
        <v>41630.954409722224</v>
      </c>
      <c r="C2168">
        <v>1327.9753418</v>
      </c>
      <c r="D2168">
        <v>1326.1955565999999</v>
      </c>
      <c r="E2168">
        <v>1337.9748535000001</v>
      </c>
      <c r="F2168">
        <v>1335.6790771000001</v>
      </c>
      <c r="G2168">
        <v>80</v>
      </c>
      <c r="H2168">
        <v>76.659027100000003</v>
      </c>
      <c r="I2168">
        <v>50</v>
      </c>
      <c r="J2168">
        <v>49.982097625999998</v>
      </c>
      <c r="K2168">
        <v>0</v>
      </c>
      <c r="L2168">
        <v>2400</v>
      </c>
      <c r="M2168">
        <v>2400</v>
      </c>
      <c r="N2168">
        <v>0</v>
      </c>
    </row>
    <row r="2169" spans="1:14" x14ac:dyDescent="0.25">
      <c r="A2169">
        <v>1333.7233289999999</v>
      </c>
      <c r="B2169" s="1">
        <f>DATE(2013,12,24) + TIME(17,21,35)</f>
        <v>41632.723321759258</v>
      </c>
      <c r="C2169">
        <v>1327.9350586</v>
      </c>
      <c r="D2169">
        <v>1326.1419678</v>
      </c>
      <c r="E2169">
        <v>1337.9705810999999</v>
      </c>
      <c r="F2169">
        <v>1335.6776123</v>
      </c>
      <c r="G2169">
        <v>80</v>
      </c>
      <c r="H2169">
        <v>76.549873352000006</v>
      </c>
      <c r="I2169">
        <v>50</v>
      </c>
      <c r="J2169">
        <v>49.982082366999997</v>
      </c>
      <c r="K2169">
        <v>0</v>
      </c>
      <c r="L2169">
        <v>2400</v>
      </c>
      <c r="M2169">
        <v>2400</v>
      </c>
      <c r="N2169">
        <v>0</v>
      </c>
    </row>
    <row r="2170" spans="1:14" x14ac:dyDescent="0.25">
      <c r="A2170">
        <v>1334.638933</v>
      </c>
      <c r="B2170" s="1">
        <f>DATE(2013,12,25) + TIME(15,20,3)</f>
        <v>41633.638923611114</v>
      </c>
      <c r="C2170">
        <v>1327.8947754000001</v>
      </c>
      <c r="D2170">
        <v>1326.0895995999999</v>
      </c>
      <c r="E2170">
        <v>1337.9660644999999</v>
      </c>
      <c r="F2170">
        <v>1335.6760254000001</v>
      </c>
      <c r="G2170">
        <v>80</v>
      </c>
      <c r="H2170">
        <v>76.457641601999995</v>
      </c>
      <c r="I2170">
        <v>50</v>
      </c>
      <c r="J2170">
        <v>49.982070923000002</v>
      </c>
      <c r="K2170">
        <v>0</v>
      </c>
      <c r="L2170">
        <v>2400</v>
      </c>
      <c r="M2170">
        <v>2400</v>
      </c>
      <c r="N2170">
        <v>0</v>
      </c>
    </row>
    <row r="2171" spans="1:14" x14ac:dyDescent="0.25">
      <c r="A2171">
        <v>1336.3401879999999</v>
      </c>
      <c r="B2171" s="1">
        <f>DATE(2013,12,27) + TIME(8,9,52)</f>
        <v>41635.340185185189</v>
      </c>
      <c r="C2171">
        <v>1327.8676757999999</v>
      </c>
      <c r="D2171">
        <v>1326.0504149999999</v>
      </c>
      <c r="E2171">
        <v>1337.9638672000001</v>
      </c>
      <c r="F2171">
        <v>1335.675293</v>
      </c>
      <c r="G2171">
        <v>80</v>
      </c>
      <c r="H2171">
        <v>76.368347168</v>
      </c>
      <c r="I2171">
        <v>50</v>
      </c>
      <c r="J2171">
        <v>49.982063293000003</v>
      </c>
      <c r="K2171">
        <v>0</v>
      </c>
      <c r="L2171">
        <v>2400</v>
      </c>
      <c r="M2171">
        <v>2400</v>
      </c>
      <c r="N2171">
        <v>0</v>
      </c>
    </row>
    <row r="2172" spans="1:14" x14ac:dyDescent="0.25">
      <c r="A2172">
        <v>1338.171677</v>
      </c>
      <c r="B2172" s="1">
        <f>DATE(2013,12,29) + TIME(4,7,12)</f>
        <v>41637.171666666669</v>
      </c>
      <c r="C2172">
        <v>1327.8316649999999</v>
      </c>
      <c r="D2172">
        <v>1326.0037841999999</v>
      </c>
      <c r="E2172">
        <v>1337.9598389</v>
      </c>
      <c r="F2172">
        <v>1335.6739502</v>
      </c>
      <c r="G2172">
        <v>80</v>
      </c>
      <c r="H2172">
        <v>76.259696959999999</v>
      </c>
      <c r="I2172">
        <v>50</v>
      </c>
      <c r="J2172">
        <v>49.982051849000001</v>
      </c>
      <c r="K2172">
        <v>0</v>
      </c>
      <c r="L2172">
        <v>2400</v>
      </c>
      <c r="M2172">
        <v>2400</v>
      </c>
      <c r="N2172">
        <v>0</v>
      </c>
    </row>
    <row r="2173" spans="1:14" x14ac:dyDescent="0.25">
      <c r="A2173">
        <v>1340.0339799999999</v>
      </c>
      <c r="B2173" s="1">
        <f>DATE(2013,12,31) + TIME(0,48,55)</f>
        <v>41639.03396990741</v>
      </c>
      <c r="C2173">
        <v>1327.7921143000001</v>
      </c>
      <c r="D2173">
        <v>1325.9522704999999</v>
      </c>
      <c r="E2173">
        <v>1337.9555664</v>
      </c>
      <c r="F2173">
        <v>1335.6724853999999</v>
      </c>
      <c r="G2173">
        <v>80</v>
      </c>
      <c r="H2173">
        <v>76.140243530000006</v>
      </c>
      <c r="I2173">
        <v>50</v>
      </c>
      <c r="J2173">
        <v>49.982036591000004</v>
      </c>
      <c r="K2173">
        <v>0</v>
      </c>
      <c r="L2173">
        <v>2400</v>
      </c>
      <c r="M2173">
        <v>2400</v>
      </c>
      <c r="N2173">
        <v>0</v>
      </c>
    </row>
    <row r="2174" spans="1:14" x14ac:dyDescent="0.25">
      <c r="A2174">
        <v>1341</v>
      </c>
      <c r="B2174" s="1">
        <f>DATE(2014,1,1) + TIME(0,0,0)</f>
        <v>41640</v>
      </c>
      <c r="C2174">
        <v>1327.7526855000001</v>
      </c>
      <c r="D2174">
        <v>1325.901001</v>
      </c>
      <c r="E2174">
        <v>1337.9512939000001</v>
      </c>
      <c r="F2174">
        <v>1335.6711425999999</v>
      </c>
      <c r="G2174">
        <v>80</v>
      </c>
      <c r="H2174">
        <v>76.038833617999998</v>
      </c>
      <c r="I2174">
        <v>50</v>
      </c>
      <c r="J2174">
        <v>49.982025145999998</v>
      </c>
      <c r="K2174">
        <v>0</v>
      </c>
      <c r="L2174">
        <v>2400</v>
      </c>
      <c r="M2174">
        <v>2400</v>
      </c>
      <c r="N2174">
        <v>0</v>
      </c>
    </row>
    <row r="2175" spans="1:14" x14ac:dyDescent="0.25">
      <c r="A2175">
        <v>1342.909445</v>
      </c>
      <c r="B2175" s="1">
        <f>DATE(2014,1,2) + TIME(21,49,36)</f>
        <v>41641.909444444442</v>
      </c>
      <c r="C2175">
        <v>1327.7260742000001</v>
      </c>
      <c r="D2175">
        <v>1325.8626709</v>
      </c>
      <c r="E2175">
        <v>1337.9492187999999</v>
      </c>
      <c r="F2175">
        <v>1335.6704102000001</v>
      </c>
      <c r="G2175">
        <v>80</v>
      </c>
      <c r="H2175">
        <v>75.941520690999994</v>
      </c>
      <c r="I2175">
        <v>50</v>
      </c>
      <c r="J2175">
        <v>49.982017517000003</v>
      </c>
      <c r="K2175">
        <v>0</v>
      </c>
      <c r="L2175">
        <v>2400</v>
      </c>
      <c r="M2175">
        <v>2400</v>
      </c>
      <c r="N2175">
        <v>0</v>
      </c>
    </row>
    <row r="2176" spans="1:14" x14ac:dyDescent="0.25">
      <c r="A2176">
        <v>1344.9236189999999</v>
      </c>
      <c r="B2176" s="1">
        <f>DATE(2014,1,4) + TIME(22,10,0)</f>
        <v>41643.923611111109</v>
      </c>
      <c r="C2176">
        <v>1327.6892089999999</v>
      </c>
      <c r="D2176">
        <v>1325.8157959</v>
      </c>
      <c r="E2176">
        <v>1337.9450684000001</v>
      </c>
      <c r="F2176">
        <v>1335.6690673999999</v>
      </c>
      <c r="G2176">
        <v>80</v>
      </c>
      <c r="H2176">
        <v>75.817527771000002</v>
      </c>
      <c r="I2176">
        <v>50</v>
      </c>
      <c r="J2176">
        <v>49.982006073000001</v>
      </c>
      <c r="K2176">
        <v>0</v>
      </c>
      <c r="L2176">
        <v>2400</v>
      </c>
      <c r="M2176">
        <v>2400</v>
      </c>
      <c r="N2176">
        <v>0</v>
      </c>
    </row>
    <row r="2177" spans="1:14" x14ac:dyDescent="0.25">
      <c r="A2177">
        <v>1347.0273609999999</v>
      </c>
      <c r="B2177" s="1">
        <f>DATE(2014,1,7) + TIME(0,39,23)</f>
        <v>41646.027349537035</v>
      </c>
      <c r="C2177">
        <v>1327.6489257999999</v>
      </c>
      <c r="D2177">
        <v>1325.7631836</v>
      </c>
      <c r="E2177">
        <v>1337.9407959</v>
      </c>
      <c r="F2177">
        <v>1335.6677245999999</v>
      </c>
      <c r="G2177">
        <v>80</v>
      </c>
      <c r="H2177">
        <v>75.681068420000003</v>
      </c>
      <c r="I2177">
        <v>50</v>
      </c>
      <c r="J2177">
        <v>49.981994628999999</v>
      </c>
      <c r="K2177">
        <v>0</v>
      </c>
      <c r="L2177">
        <v>2400</v>
      </c>
      <c r="M2177">
        <v>2400</v>
      </c>
      <c r="N2177">
        <v>0</v>
      </c>
    </row>
    <row r="2178" spans="1:14" x14ac:dyDescent="0.25">
      <c r="A2178">
        <v>1349.216357</v>
      </c>
      <c r="B2178" s="1">
        <f>DATE(2014,1,9) + TIME(5,11,33)</f>
        <v>41648.216354166667</v>
      </c>
      <c r="C2178">
        <v>1327.6069336</v>
      </c>
      <c r="D2178">
        <v>1325.7081298999999</v>
      </c>
      <c r="E2178">
        <v>1337.9364014</v>
      </c>
      <c r="F2178">
        <v>1335.6663818</v>
      </c>
      <c r="G2178">
        <v>80</v>
      </c>
      <c r="H2178">
        <v>75.536201477000006</v>
      </c>
      <c r="I2178">
        <v>50</v>
      </c>
      <c r="J2178">
        <v>49.981983184999997</v>
      </c>
      <c r="K2178">
        <v>0</v>
      </c>
      <c r="L2178">
        <v>2400</v>
      </c>
      <c r="M2178">
        <v>2400</v>
      </c>
      <c r="N2178">
        <v>0</v>
      </c>
    </row>
    <row r="2179" spans="1:14" x14ac:dyDescent="0.25">
      <c r="A2179">
        <v>1351.479159</v>
      </c>
      <c r="B2179" s="1">
        <f>DATE(2014,1,11) + TIME(11,29,59)</f>
        <v>41650.479155092595</v>
      </c>
      <c r="C2179">
        <v>1327.5640868999999</v>
      </c>
      <c r="D2179">
        <v>1325.6518555</v>
      </c>
      <c r="E2179">
        <v>1337.9320068</v>
      </c>
      <c r="F2179">
        <v>1335.6650391000001</v>
      </c>
      <c r="G2179">
        <v>80</v>
      </c>
      <c r="H2179">
        <v>75.384109496999997</v>
      </c>
      <c r="I2179">
        <v>50</v>
      </c>
      <c r="J2179">
        <v>49.981971741000002</v>
      </c>
      <c r="K2179">
        <v>0</v>
      </c>
      <c r="L2179">
        <v>2400</v>
      </c>
      <c r="M2179">
        <v>2400</v>
      </c>
      <c r="N2179">
        <v>0</v>
      </c>
    </row>
    <row r="2180" spans="1:14" x14ac:dyDescent="0.25">
      <c r="A2180">
        <v>1353.762565</v>
      </c>
      <c r="B2180" s="1">
        <f>DATE(2014,1,13) + TIME(18,18,5)</f>
        <v>41652.762557870374</v>
      </c>
      <c r="C2180">
        <v>1327.5206298999999</v>
      </c>
      <c r="D2180">
        <v>1325.5949707</v>
      </c>
      <c r="E2180">
        <v>1337.9276123</v>
      </c>
      <c r="F2180">
        <v>1335.6636963000001</v>
      </c>
      <c r="G2180">
        <v>80</v>
      </c>
      <c r="H2180">
        <v>75.226226807000003</v>
      </c>
      <c r="I2180">
        <v>50</v>
      </c>
      <c r="J2180">
        <v>49.981960297000001</v>
      </c>
      <c r="K2180">
        <v>0</v>
      </c>
      <c r="L2180">
        <v>2400</v>
      </c>
      <c r="M2180">
        <v>2400</v>
      </c>
      <c r="N2180">
        <v>0</v>
      </c>
    </row>
    <row r="2181" spans="1:14" x14ac:dyDescent="0.25">
      <c r="A2181">
        <v>1356.0815789999999</v>
      </c>
      <c r="B2181" s="1">
        <f>DATE(2014,1,16) + TIME(1,57,28)</f>
        <v>41655.081574074073</v>
      </c>
      <c r="C2181">
        <v>1327.4774170000001</v>
      </c>
      <c r="D2181">
        <v>1325.5382079999999</v>
      </c>
      <c r="E2181">
        <v>1337.9232178</v>
      </c>
      <c r="F2181">
        <v>1335.6623535000001</v>
      </c>
      <c r="G2181">
        <v>80</v>
      </c>
      <c r="H2181">
        <v>75.064903259000005</v>
      </c>
      <c r="I2181">
        <v>50</v>
      </c>
      <c r="J2181">
        <v>49.981948852999999</v>
      </c>
      <c r="K2181">
        <v>0</v>
      </c>
      <c r="L2181">
        <v>2400</v>
      </c>
      <c r="M2181">
        <v>2400</v>
      </c>
      <c r="N2181">
        <v>0</v>
      </c>
    </row>
    <row r="2182" spans="1:14" x14ac:dyDescent="0.25">
      <c r="A2182">
        <v>1358.4631489999999</v>
      </c>
      <c r="B2182" s="1">
        <f>DATE(2014,1,18) + TIME(11,6,56)</f>
        <v>41657.463148148148</v>
      </c>
      <c r="C2182">
        <v>1327.4345702999999</v>
      </c>
      <c r="D2182">
        <v>1325.4819336</v>
      </c>
      <c r="E2182">
        <v>1337.9189452999999</v>
      </c>
      <c r="F2182">
        <v>1335.6610106999999</v>
      </c>
      <c r="G2182">
        <v>80</v>
      </c>
      <c r="H2182">
        <v>74.899475097999996</v>
      </c>
      <c r="I2182">
        <v>50</v>
      </c>
      <c r="J2182">
        <v>49.981937408</v>
      </c>
      <c r="K2182">
        <v>0</v>
      </c>
      <c r="L2182">
        <v>2400</v>
      </c>
      <c r="M2182">
        <v>2400</v>
      </c>
      <c r="N2182">
        <v>0</v>
      </c>
    </row>
    <row r="2183" spans="1:14" x14ac:dyDescent="0.25">
      <c r="A2183">
        <v>1360.9304959999999</v>
      </c>
      <c r="B2183" s="1">
        <f>DATE(2014,1,20) + TIME(22,19,54)</f>
        <v>41659.930486111109</v>
      </c>
      <c r="C2183">
        <v>1327.3917236</v>
      </c>
      <c r="D2183">
        <v>1325.4257812000001</v>
      </c>
      <c r="E2183">
        <v>1337.9145507999999</v>
      </c>
      <c r="F2183">
        <v>1335.659668</v>
      </c>
      <c r="G2183">
        <v>80</v>
      </c>
      <c r="H2183">
        <v>74.728355407999999</v>
      </c>
      <c r="I2183">
        <v>50</v>
      </c>
      <c r="J2183">
        <v>49.981925963999998</v>
      </c>
      <c r="K2183">
        <v>0</v>
      </c>
      <c r="L2183">
        <v>2400</v>
      </c>
      <c r="M2183">
        <v>2400</v>
      </c>
      <c r="N2183">
        <v>0</v>
      </c>
    </row>
    <row r="2184" spans="1:14" x14ac:dyDescent="0.25">
      <c r="A2184">
        <v>1363.426397</v>
      </c>
      <c r="B2184" s="1">
        <f>DATE(2014,1,23) + TIME(10,14,0)</f>
        <v>41662.426388888889</v>
      </c>
      <c r="C2184">
        <v>1327.3485106999999</v>
      </c>
      <c r="D2184">
        <v>1325.3693848</v>
      </c>
      <c r="E2184">
        <v>1337.9101562000001</v>
      </c>
      <c r="F2184">
        <v>1335.6584473</v>
      </c>
      <c r="G2184">
        <v>80</v>
      </c>
      <c r="H2184">
        <v>74.550994872999993</v>
      </c>
      <c r="I2184">
        <v>50</v>
      </c>
      <c r="J2184">
        <v>49.981914519999997</v>
      </c>
      <c r="K2184">
        <v>0</v>
      </c>
      <c r="L2184">
        <v>2400</v>
      </c>
      <c r="M2184">
        <v>2400</v>
      </c>
      <c r="N2184">
        <v>0</v>
      </c>
    </row>
    <row r="2185" spans="1:14" x14ac:dyDescent="0.25">
      <c r="A2185">
        <v>1365.9670840000001</v>
      </c>
      <c r="B2185" s="1">
        <f>DATE(2014,1,25) + TIME(23,12,36)</f>
        <v>41664.967083333337</v>
      </c>
      <c r="C2185">
        <v>1327.3055420000001</v>
      </c>
      <c r="D2185">
        <v>1325.3132324000001</v>
      </c>
      <c r="E2185">
        <v>1337.9058838000001</v>
      </c>
      <c r="F2185">
        <v>1335.6571045000001</v>
      </c>
      <c r="G2185">
        <v>80</v>
      </c>
      <c r="H2185">
        <v>74.369697571000003</v>
      </c>
      <c r="I2185">
        <v>50</v>
      </c>
      <c r="J2185">
        <v>49.981903076000002</v>
      </c>
      <c r="K2185">
        <v>0</v>
      </c>
      <c r="L2185">
        <v>2400</v>
      </c>
      <c r="M2185">
        <v>2400</v>
      </c>
      <c r="N2185">
        <v>0</v>
      </c>
    </row>
    <row r="2186" spans="1:14" x14ac:dyDescent="0.25">
      <c r="A2186">
        <v>1368.596814</v>
      </c>
      <c r="B2186" s="1">
        <f>DATE(2014,1,28) + TIME(14,19,24)</f>
        <v>41667.596805555557</v>
      </c>
      <c r="C2186">
        <v>1327.2628173999999</v>
      </c>
      <c r="D2186">
        <v>1325.2574463000001</v>
      </c>
      <c r="E2186">
        <v>1337.9016113</v>
      </c>
      <c r="F2186">
        <v>1335.6557617000001</v>
      </c>
      <c r="G2186">
        <v>80</v>
      </c>
      <c r="H2186">
        <v>74.183555603000002</v>
      </c>
      <c r="I2186">
        <v>50</v>
      </c>
      <c r="J2186">
        <v>49.981895446999999</v>
      </c>
      <c r="K2186">
        <v>0</v>
      </c>
      <c r="L2186">
        <v>2400</v>
      </c>
      <c r="M2186">
        <v>2400</v>
      </c>
      <c r="N2186">
        <v>0</v>
      </c>
    </row>
    <row r="2187" spans="1:14" x14ac:dyDescent="0.25">
      <c r="A2187">
        <v>1371.340637</v>
      </c>
      <c r="B2187" s="1">
        <f>DATE(2014,1,31) + TIME(8,10,31)</f>
        <v>41670.340636574074</v>
      </c>
      <c r="C2187">
        <v>1327.2199707</v>
      </c>
      <c r="D2187">
        <v>1325.2015381000001</v>
      </c>
      <c r="E2187">
        <v>1337.8972168</v>
      </c>
      <c r="F2187">
        <v>1335.6545410000001</v>
      </c>
      <c r="G2187">
        <v>80</v>
      </c>
      <c r="H2187">
        <v>73.990013122999997</v>
      </c>
      <c r="I2187">
        <v>50</v>
      </c>
      <c r="J2187">
        <v>49.981884002999998</v>
      </c>
      <c r="K2187">
        <v>0</v>
      </c>
      <c r="L2187">
        <v>2400</v>
      </c>
      <c r="M2187">
        <v>2400</v>
      </c>
      <c r="N2187">
        <v>0</v>
      </c>
    </row>
    <row r="2188" spans="1:14" x14ac:dyDescent="0.25">
      <c r="A2188">
        <v>1372</v>
      </c>
      <c r="B2188" s="1">
        <f>DATE(2014,2,1) + TIME(0,0,0)</f>
        <v>41671</v>
      </c>
      <c r="C2188">
        <v>1327.1776123</v>
      </c>
      <c r="D2188">
        <v>1325.1489257999999</v>
      </c>
      <c r="E2188">
        <v>1337.8927002</v>
      </c>
      <c r="F2188">
        <v>1335.6530762</v>
      </c>
      <c r="G2188">
        <v>80</v>
      </c>
      <c r="H2188">
        <v>73.858253478999998</v>
      </c>
      <c r="I2188">
        <v>50</v>
      </c>
      <c r="J2188">
        <v>49.981872559000003</v>
      </c>
      <c r="K2188">
        <v>0</v>
      </c>
      <c r="L2188">
        <v>2400</v>
      </c>
      <c r="M2188">
        <v>2400</v>
      </c>
      <c r="N2188">
        <v>0</v>
      </c>
    </row>
    <row r="2189" spans="1:14" x14ac:dyDescent="0.25">
      <c r="A2189">
        <v>1374.86175</v>
      </c>
      <c r="B2189" s="1">
        <f>DATE(2014,2,3) + TIME(20,40,55)</f>
        <v>41673.861747685187</v>
      </c>
      <c r="C2189">
        <v>1327.1594238</v>
      </c>
      <c r="D2189">
        <v>1325.1192627</v>
      </c>
      <c r="E2189">
        <v>1337.8917236</v>
      </c>
      <c r="F2189">
        <v>1335.652832</v>
      </c>
      <c r="G2189">
        <v>80</v>
      </c>
      <c r="H2189">
        <v>73.724853515999996</v>
      </c>
      <c r="I2189">
        <v>50</v>
      </c>
      <c r="J2189">
        <v>49.981868744000003</v>
      </c>
      <c r="K2189">
        <v>0</v>
      </c>
      <c r="L2189">
        <v>2400</v>
      </c>
      <c r="M2189">
        <v>2400</v>
      </c>
      <c r="N2189">
        <v>0</v>
      </c>
    </row>
    <row r="2190" spans="1:14" x14ac:dyDescent="0.25">
      <c r="A2190">
        <v>1377.830997</v>
      </c>
      <c r="B2190" s="1">
        <f>DATE(2014,2,6) + TIME(19,56,38)</f>
        <v>41676.830995370372</v>
      </c>
      <c r="C2190">
        <v>1327.1206055</v>
      </c>
      <c r="D2190">
        <v>1325.0717772999999</v>
      </c>
      <c r="E2190">
        <v>1337.887207</v>
      </c>
      <c r="F2190">
        <v>1335.6514893000001</v>
      </c>
      <c r="G2190">
        <v>80</v>
      </c>
      <c r="H2190">
        <v>73.523178100999999</v>
      </c>
      <c r="I2190">
        <v>50</v>
      </c>
      <c r="J2190">
        <v>49.981861115000001</v>
      </c>
      <c r="K2190">
        <v>0</v>
      </c>
      <c r="L2190">
        <v>2400</v>
      </c>
      <c r="M2190">
        <v>2400</v>
      </c>
      <c r="N2190">
        <v>0</v>
      </c>
    </row>
    <row r="2191" spans="1:14" x14ac:dyDescent="0.25">
      <c r="A2191">
        <v>1380.8611619999999</v>
      </c>
      <c r="B2191" s="1">
        <f>DATE(2014,2,9) + TIME(20,40,4)</f>
        <v>41679.861157407409</v>
      </c>
      <c r="C2191">
        <v>1327.0769043</v>
      </c>
      <c r="D2191">
        <v>1325.0155029</v>
      </c>
      <c r="E2191">
        <v>1337.8826904</v>
      </c>
      <c r="F2191">
        <v>1335.6500243999999</v>
      </c>
      <c r="G2191">
        <v>80</v>
      </c>
      <c r="H2191">
        <v>73.303787231000001</v>
      </c>
      <c r="I2191">
        <v>50</v>
      </c>
      <c r="J2191">
        <v>49.981853485000002</v>
      </c>
      <c r="K2191">
        <v>0</v>
      </c>
      <c r="L2191">
        <v>2400</v>
      </c>
      <c r="M2191">
        <v>2400</v>
      </c>
      <c r="N2191">
        <v>0</v>
      </c>
    </row>
    <row r="2192" spans="1:14" x14ac:dyDescent="0.25">
      <c r="A2192">
        <v>1383.9912429999999</v>
      </c>
      <c r="B2192" s="1">
        <f>DATE(2014,2,12) + TIME(23,47,23)</f>
        <v>41682.991238425922</v>
      </c>
      <c r="C2192">
        <v>1327.0325928</v>
      </c>
      <c r="D2192">
        <v>1324.9580077999999</v>
      </c>
      <c r="E2192">
        <v>1337.8780518000001</v>
      </c>
      <c r="F2192">
        <v>1335.6486815999999</v>
      </c>
      <c r="G2192">
        <v>80</v>
      </c>
      <c r="H2192">
        <v>73.076354980000005</v>
      </c>
      <c r="I2192">
        <v>50</v>
      </c>
      <c r="J2192">
        <v>49.981845856</v>
      </c>
      <c r="K2192">
        <v>0</v>
      </c>
      <c r="L2192">
        <v>2400</v>
      </c>
      <c r="M2192">
        <v>2400</v>
      </c>
      <c r="N2192">
        <v>0</v>
      </c>
    </row>
    <row r="2193" spans="1:14" x14ac:dyDescent="0.25">
      <c r="A2193">
        <v>1387.1620780000001</v>
      </c>
      <c r="B2193" s="1">
        <f>DATE(2014,2,16) + TIME(3,53,23)</f>
        <v>41686.16207175926</v>
      </c>
      <c r="C2193">
        <v>1326.9879149999999</v>
      </c>
      <c r="D2193">
        <v>1324.9000243999999</v>
      </c>
      <c r="E2193">
        <v>1337.8735352000001</v>
      </c>
      <c r="F2193">
        <v>1335.6472168</v>
      </c>
      <c r="G2193">
        <v>80</v>
      </c>
      <c r="H2193">
        <v>72.841156006000006</v>
      </c>
      <c r="I2193">
        <v>50</v>
      </c>
      <c r="J2193">
        <v>49.981834411999998</v>
      </c>
      <c r="K2193">
        <v>0</v>
      </c>
      <c r="L2193">
        <v>2400</v>
      </c>
      <c r="M2193">
        <v>2400</v>
      </c>
      <c r="N2193">
        <v>0</v>
      </c>
    </row>
    <row r="2194" spans="1:14" x14ac:dyDescent="0.25">
      <c r="A2194">
        <v>1390.3547430000001</v>
      </c>
      <c r="B2194" s="1">
        <f>DATE(2014,2,19) + TIME(8,30,49)</f>
        <v>41689.354733796295</v>
      </c>
      <c r="C2194">
        <v>1326.9434814000001</v>
      </c>
      <c r="D2194">
        <v>1324.8422852000001</v>
      </c>
      <c r="E2194">
        <v>1337.8688964999999</v>
      </c>
      <c r="F2194">
        <v>1335.6457519999999</v>
      </c>
      <c r="G2194">
        <v>80</v>
      </c>
      <c r="H2194">
        <v>72.601448059000006</v>
      </c>
      <c r="I2194">
        <v>50</v>
      </c>
      <c r="J2194">
        <v>49.981826781999999</v>
      </c>
      <c r="K2194">
        <v>0</v>
      </c>
      <c r="L2194">
        <v>2400</v>
      </c>
      <c r="M2194">
        <v>2400</v>
      </c>
      <c r="N2194">
        <v>0</v>
      </c>
    </row>
    <row r="2195" spans="1:14" x14ac:dyDescent="0.25">
      <c r="A2195">
        <v>1393.60097</v>
      </c>
      <c r="B2195" s="1">
        <f>DATE(2014,2,22) + TIME(14,25,23)</f>
        <v>41692.600960648146</v>
      </c>
      <c r="C2195">
        <v>1326.8997803</v>
      </c>
      <c r="D2195">
        <v>1324.7855225000001</v>
      </c>
      <c r="E2195">
        <v>1337.8643798999999</v>
      </c>
      <c r="F2195">
        <v>1335.6442870999999</v>
      </c>
      <c r="G2195">
        <v>80</v>
      </c>
      <c r="H2195">
        <v>72.358551024999997</v>
      </c>
      <c r="I2195">
        <v>50</v>
      </c>
      <c r="J2195">
        <v>49.981819153000004</v>
      </c>
      <c r="K2195">
        <v>0</v>
      </c>
      <c r="L2195">
        <v>2400</v>
      </c>
      <c r="M2195">
        <v>2400</v>
      </c>
      <c r="N2195">
        <v>0</v>
      </c>
    </row>
    <row r="2196" spans="1:14" x14ac:dyDescent="0.25">
      <c r="A2196">
        <v>1396.968402</v>
      </c>
      <c r="B2196" s="1">
        <f>DATE(2014,2,25) + TIME(23,14,29)</f>
        <v>41695.968391203707</v>
      </c>
      <c r="C2196">
        <v>1326.8565673999999</v>
      </c>
      <c r="D2196">
        <v>1324.7293701000001</v>
      </c>
      <c r="E2196">
        <v>1337.8598632999999</v>
      </c>
      <c r="F2196">
        <v>1335.6428223</v>
      </c>
      <c r="G2196">
        <v>80</v>
      </c>
      <c r="H2196">
        <v>72.110130310000002</v>
      </c>
      <c r="I2196">
        <v>50</v>
      </c>
      <c r="J2196">
        <v>49.981815337999997</v>
      </c>
      <c r="K2196">
        <v>0</v>
      </c>
      <c r="L2196">
        <v>2400</v>
      </c>
      <c r="M2196">
        <v>2400</v>
      </c>
      <c r="N2196">
        <v>0</v>
      </c>
    </row>
    <row r="2197" spans="1:14" x14ac:dyDescent="0.25">
      <c r="A2197">
        <v>1400</v>
      </c>
      <c r="B2197" s="1">
        <f>DATE(2014,3,1) + TIME(0,0,0)</f>
        <v>41699</v>
      </c>
      <c r="C2197">
        <v>1326.8132324000001</v>
      </c>
      <c r="D2197">
        <v>1324.6734618999999</v>
      </c>
      <c r="E2197">
        <v>1337.8553466999999</v>
      </c>
      <c r="F2197">
        <v>1335.6413574000001</v>
      </c>
      <c r="G2197">
        <v>80</v>
      </c>
      <c r="H2197">
        <v>71.857406616000006</v>
      </c>
      <c r="I2197">
        <v>50</v>
      </c>
      <c r="J2197">
        <v>49.981803894000002</v>
      </c>
      <c r="K2197">
        <v>0</v>
      </c>
      <c r="L2197">
        <v>2400</v>
      </c>
      <c r="M2197">
        <v>2400</v>
      </c>
      <c r="N2197">
        <v>0</v>
      </c>
    </row>
    <row r="2198" spans="1:14" x14ac:dyDescent="0.25">
      <c r="A2198">
        <v>1403.528092</v>
      </c>
      <c r="B2198" s="1">
        <f>DATE(2014,3,4) + TIME(12,40,27)</f>
        <v>41702.528090277781</v>
      </c>
      <c r="C2198">
        <v>1326.7734375</v>
      </c>
      <c r="D2198">
        <v>1324.6207274999999</v>
      </c>
      <c r="E2198">
        <v>1337.8511963000001</v>
      </c>
      <c r="F2198">
        <v>1335.6400146000001</v>
      </c>
      <c r="G2198">
        <v>80</v>
      </c>
      <c r="H2198">
        <v>71.616157532000003</v>
      </c>
      <c r="I2198">
        <v>50</v>
      </c>
      <c r="J2198">
        <v>49.981800079000003</v>
      </c>
      <c r="K2198">
        <v>0</v>
      </c>
      <c r="L2198">
        <v>2400</v>
      </c>
      <c r="M2198">
        <v>2400</v>
      </c>
      <c r="N2198">
        <v>0</v>
      </c>
    </row>
    <row r="2199" spans="1:14" x14ac:dyDescent="0.25">
      <c r="A2199">
        <v>1407.3809799999999</v>
      </c>
      <c r="B2199" s="1">
        <f>DATE(2014,3,8) + TIME(9,8,36)</f>
        <v>41706.380972222221</v>
      </c>
      <c r="C2199">
        <v>1326.7313231999999</v>
      </c>
      <c r="D2199">
        <v>1324.5670166</v>
      </c>
      <c r="E2199">
        <v>1337.8465576000001</v>
      </c>
      <c r="F2199">
        <v>1335.6384277</v>
      </c>
      <c r="G2199">
        <v>80</v>
      </c>
      <c r="H2199">
        <v>71.345252990999995</v>
      </c>
      <c r="I2199">
        <v>50</v>
      </c>
      <c r="J2199">
        <v>49.981796265</v>
      </c>
      <c r="K2199">
        <v>0</v>
      </c>
      <c r="L2199">
        <v>2400</v>
      </c>
      <c r="M2199">
        <v>2400</v>
      </c>
      <c r="N2199">
        <v>0</v>
      </c>
    </row>
    <row r="2200" spans="1:14" x14ac:dyDescent="0.25">
      <c r="A2200">
        <v>1411.2398390000001</v>
      </c>
      <c r="B2200" s="1">
        <f>DATE(2014,3,12) + TIME(5,45,22)</f>
        <v>41710.239837962959</v>
      </c>
      <c r="C2200">
        <v>1326.6862793</v>
      </c>
      <c r="D2200">
        <v>1324.5093993999999</v>
      </c>
      <c r="E2200">
        <v>1337.8416748</v>
      </c>
      <c r="F2200">
        <v>1335.6367187999999</v>
      </c>
      <c r="G2200">
        <v>80</v>
      </c>
      <c r="H2200">
        <v>71.050712584999999</v>
      </c>
      <c r="I2200">
        <v>50</v>
      </c>
      <c r="J2200">
        <v>49.98179245</v>
      </c>
      <c r="K2200">
        <v>0</v>
      </c>
      <c r="L2200">
        <v>2400</v>
      </c>
      <c r="M2200">
        <v>2400</v>
      </c>
      <c r="N2200">
        <v>0</v>
      </c>
    </row>
    <row r="2201" spans="1:14" x14ac:dyDescent="0.25">
      <c r="A2201">
        <v>1415.100809</v>
      </c>
      <c r="B2201" s="1">
        <f>DATE(2014,3,16) + TIME(2,25,9)</f>
        <v>41714.100798611114</v>
      </c>
      <c r="C2201">
        <v>1326.6412353999999</v>
      </c>
      <c r="D2201">
        <v>1324.4509277</v>
      </c>
      <c r="E2201">
        <v>1337.8366699000001</v>
      </c>
      <c r="F2201">
        <v>1335.6348877</v>
      </c>
      <c r="G2201">
        <v>80</v>
      </c>
      <c r="H2201">
        <v>70.752601623999993</v>
      </c>
      <c r="I2201">
        <v>50</v>
      </c>
      <c r="J2201">
        <v>49.981788635000001</v>
      </c>
      <c r="K2201">
        <v>0</v>
      </c>
      <c r="L2201">
        <v>2400</v>
      </c>
      <c r="M2201">
        <v>2400</v>
      </c>
      <c r="N2201">
        <v>0</v>
      </c>
    </row>
    <row r="2202" spans="1:14" x14ac:dyDescent="0.25">
      <c r="A2202">
        <v>1419.008961</v>
      </c>
      <c r="B2202" s="1">
        <f>DATE(2014,3,20) + TIME(0,12,54)</f>
        <v>41718.008958333332</v>
      </c>
      <c r="C2202">
        <v>1326.5972899999999</v>
      </c>
      <c r="D2202">
        <v>1324.3937988</v>
      </c>
      <c r="E2202">
        <v>1337.8319091999999</v>
      </c>
      <c r="F2202">
        <v>1335.6331786999999</v>
      </c>
      <c r="G2202">
        <v>80</v>
      </c>
      <c r="H2202">
        <v>70.452133179</v>
      </c>
      <c r="I2202">
        <v>50</v>
      </c>
      <c r="J2202">
        <v>49.981781005999999</v>
      </c>
      <c r="K2202">
        <v>0</v>
      </c>
      <c r="L2202">
        <v>2400</v>
      </c>
      <c r="M2202">
        <v>2400</v>
      </c>
      <c r="N2202">
        <v>0</v>
      </c>
    </row>
    <row r="2203" spans="1:14" x14ac:dyDescent="0.25">
      <c r="A2203">
        <v>1423.0070189999999</v>
      </c>
      <c r="B2203" s="1">
        <f>DATE(2014,3,24) + TIME(0,10,6)</f>
        <v>41722.007013888891</v>
      </c>
      <c r="C2203">
        <v>1326.5539550999999</v>
      </c>
      <c r="D2203">
        <v>1324.3377685999999</v>
      </c>
      <c r="E2203">
        <v>1337.8271483999999</v>
      </c>
      <c r="F2203">
        <v>1335.6314697</v>
      </c>
      <c r="G2203">
        <v>80</v>
      </c>
      <c r="H2203">
        <v>70.147865295000003</v>
      </c>
      <c r="I2203">
        <v>50</v>
      </c>
      <c r="J2203">
        <v>49.981781005999999</v>
      </c>
      <c r="K2203">
        <v>0</v>
      </c>
      <c r="L2203">
        <v>2400</v>
      </c>
      <c r="M2203">
        <v>2400</v>
      </c>
      <c r="N2203">
        <v>0</v>
      </c>
    </row>
    <row r="2204" spans="1:14" x14ac:dyDescent="0.25">
      <c r="A2204">
        <v>1427.1535329999999</v>
      </c>
      <c r="B2204" s="1">
        <f>DATE(2014,3,28) + TIME(3,41,5)</f>
        <v>41726.15353009259</v>
      </c>
      <c r="C2204">
        <v>1326.5112305</v>
      </c>
      <c r="D2204">
        <v>1324.2823486</v>
      </c>
      <c r="E2204">
        <v>1337.8222656</v>
      </c>
      <c r="F2204">
        <v>1335.6296387</v>
      </c>
      <c r="G2204">
        <v>80</v>
      </c>
      <c r="H2204">
        <v>69.833747864000003</v>
      </c>
      <c r="I2204">
        <v>50</v>
      </c>
      <c r="J2204">
        <v>49.981777190999999</v>
      </c>
      <c r="K2204">
        <v>0</v>
      </c>
      <c r="L2204">
        <v>2400</v>
      </c>
      <c r="M2204">
        <v>2400</v>
      </c>
      <c r="N2204">
        <v>0</v>
      </c>
    </row>
    <row r="2205" spans="1:14" x14ac:dyDescent="0.25">
      <c r="A2205">
        <v>1431</v>
      </c>
      <c r="B2205" s="1">
        <f>DATE(2014,4,1) + TIME(0,0,0)</f>
        <v>41730</v>
      </c>
      <c r="C2205">
        <v>1326.4682617000001</v>
      </c>
      <c r="D2205">
        <v>1324.2268065999999</v>
      </c>
      <c r="E2205">
        <v>1337.8173827999999</v>
      </c>
      <c r="F2205">
        <v>1335.6278076000001</v>
      </c>
      <c r="G2205">
        <v>80</v>
      </c>
      <c r="H2205">
        <v>69.515213012999993</v>
      </c>
      <c r="I2205">
        <v>50</v>
      </c>
      <c r="J2205">
        <v>49.981773376</v>
      </c>
      <c r="K2205">
        <v>0</v>
      </c>
      <c r="L2205">
        <v>2400</v>
      </c>
      <c r="M2205">
        <v>2400</v>
      </c>
      <c r="N2205">
        <v>0</v>
      </c>
    </row>
    <row r="2206" spans="1:14" x14ac:dyDescent="0.25">
      <c r="A2206">
        <v>1435.3635670000001</v>
      </c>
      <c r="B2206" s="1">
        <f>DATE(2014,4,5) + TIME(8,43,32)</f>
        <v>41734.363564814812</v>
      </c>
      <c r="C2206">
        <v>1326.4281006000001</v>
      </c>
      <c r="D2206">
        <v>1324.1740723</v>
      </c>
      <c r="E2206">
        <v>1337.8128661999999</v>
      </c>
      <c r="F2206">
        <v>1335.6259766000001</v>
      </c>
      <c r="G2206">
        <v>80</v>
      </c>
      <c r="H2206">
        <v>69.201515197999996</v>
      </c>
      <c r="I2206">
        <v>50</v>
      </c>
      <c r="J2206">
        <v>49.981773376</v>
      </c>
      <c r="K2206">
        <v>0</v>
      </c>
      <c r="L2206">
        <v>2400</v>
      </c>
      <c r="M2206">
        <v>2400</v>
      </c>
      <c r="N2206">
        <v>0</v>
      </c>
    </row>
    <row r="2207" spans="1:14" x14ac:dyDescent="0.25">
      <c r="A2207">
        <v>1437.738216</v>
      </c>
      <c r="B2207" s="1">
        <f>DATE(2014,4,7) + TIME(17,43,1)</f>
        <v>41736.738206018519</v>
      </c>
      <c r="C2207">
        <v>1326.3863524999999</v>
      </c>
      <c r="D2207">
        <v>1324.121582</v>
      </c>
      <c r="E2207">
        <v>1337.8078613</v>
      </c>
      <c r="F2207">
        <v>1335.6240233999999</v>
      </c>
      <c r="G2207">
        <v>80</v>
      </c>
      <c r="H2207">
        <v>68.897750853999995</v>
      </c>
      <c r="I2207">
        <v>50</v>
      </c>
      <c r="J2207">
        <v>49.981765746999997</v>
      </c>
      <c r="K2207">
        <v>0</v>
      </c>
      <c r="L2207">
        <v>2400</v>
      </c>
      <c r="M2207">
        <v>2400</v>
      </c>
      <c r="N2207">
        <v>0</v>
      </c>
    </row>
    <row r="2208" spans="1:14" x14ac:dyDescent="0.25">
      <c r="A2208">
        <v>1440.1128639999999</v>
      </c>
      <c r="B2208" s="1">
        <f>DATE(2014,4,10) + TIME(2,42,31)</f>
        <v>41739.112858796296</v>
      </c>
      <c r="C2208">
        <v>1326.3582764</v>
      </c>
      <c r="D2208">
        <v>1324.0816649999999</v>
      </c>
      <c r="E2208">
        <v>1337.8051757999999</v>
      </c>
      <c r="F2208">
        <v>1335.6229248</v>
      </c>
      <c r="G2208">
        <v>80</v>
      </c>
      <c r="H2208">
        <v>68.678283691000004</v>
      </c>
      <c r="I2208">
        <v>50</v>
      </c>
      <c r="J2208">
        <v>49.981761931999998</v>
      </c>
      <c r="K2208">
        <v>0</v>
      </c>
      <c r="L2208">
        <v>2400</v>
      </c>
      <c r="M2208">
        <v>2400</v>
      </c>
      <c r="N2208">
        <v>0</v>
      </c>
    </row>
    <row r="2209" spans="1:14" x14ac:dyDescent="0.25">
      <c r="A2209">
        <v>1442.4875119999999</v>
      </c>
      <c r="B2209" s="1">
        <f>DATE(2014,4,12) + TIME(11,42,1)</f>
        <v>41741.487511574072</v>
      </c>
      <c r="C2209">
        <v>1326.3343506000001</v>
      </c>
      <c r="D2209">
        <v>1324.0496826000001</v>
      </c>
      <c r="E2209">
        <v>1337.8026123</v>
      </c>
      <c r="F2209">
        <v>1335.6218262</v>
      </c>
      <c r="G2209">
        <v>80</v>
      </c>
      <c r="H2209">
        <v>68.490570067999997</v>
      </c>
      <c r="I2209">
        <v>50</v>
      </c>
      <c r="J2209">
        <v>49.981761931999998</v>
      </c>
      <c r="K2209">
        <v>0</v>
      </c>
      <c r="L2209">
        <v>2400</v>
      </c>
      <c r="M2209">
        <v>2400</v>
      </c>
      <c r="N2209">
        <v>0</v>
      </c>
    </row>
    <row r="2210" spans="1:14" x14ac:dyDescent="0.25">
      <c r="A2210">
        <v>1447.236809</v>
      </c>
      <c r="B2210" s="1">
        <f>DATE(2014,4,17) + TIME(5,41,0)</f>
        <v>41746.236805555556</v>
      </c>
      <c r="C2210">
        <v>1326.3120117000001</v>
      </c>
      <c r="D2210">
        <v>1324.0200195</v>
      </c>
      <c r="E2210">
        <v>1337.7999268000001</v>
      </c>
      <c r="F2210">
        <v>1335.6207274999999</v>
      </c>
      <c r="G2210">
        <v>80</v>
      </c>
      <c r="H2210">
        <v>68.27734375</v>
      </c>
      <c r="I2210">
        <v>50</v>
      </c>
      <c r="J2210">
        <v>49.981773376</v>
      </c>
      <c r="K2210">
        <v>0</v>
      </c>
      <c r="L2210">
        <v>2400</v>
      </c>
      <c r="M2210">
        <v>2400</v>
      </c>
      <c r="N2210">
        <v>0</v>
      </c>
    </row>
    <row r="2211" spans="1:14" x14ac:dyDescent="0.25">
      <c r="A2211">
        <v>1451.9871840000001</v>
      </c>
      <c r="B2211" s="1">
        <f>DATE(2014,4,21) + TIME(23,41,32)</f>
        <v>41750.987175925926</v>
      </c>
      <c r="C2211">
        <v>1326.2753906</v>
      </c>
      <c r="D2211">
        <v>1323.9765625</v>
      </c>
      <c r="E2211">
        <v>1337.7946777</v>
      </c>
      <c r="F2211">
        <v>1335.6185303</v>
      </c>
      <c r="G2211">
        <v>80</v>
      </c>
      <c r="H2211">
        <v>67.923614502000007</v>
      </c>
      <c r="I2211">
        <v>50</v>
      </c>
      <c r="J2211">
        <v>49.981777190999999</v>
      </c>
      <c r="K2211">
        <v>0</v>
      </c>
      <c r="L2211">
        <v>2400</v>
      </c>
      <c r="M2211">
        <v>2400</v>
      </c>
      <c r="N2211">
        <v>0</v>
      </c>
    </row>
    <row r="2212" spans="1:14" x14ac:dyDescent="0.25">
      <c r="A2212">
        <v>1456.8595539999999</v>
      </c>
      <c r="B2212" s="1">
        <f>DATE(2014,4,26) + TIME(20,37,45)</f>
        <v>41755.859548611108</v>
      </c>
      <c r="C2212">
        <v>1326.2342529</v>
      </c>
      <c r="D2212">
        <v>1323.9233397999999</v>
      </c>
      <c r="E2212">
        <v>1337.7895507999999</v>
      </c>
      <c r="F2212">
        <v>1335.6162108999999</v>
      </c>
      <c r="G2212">
        <v>80</v>
      </c>
      <c r="H2212">
        <v>67.531570435000006</v>
      </c>
      <c r="I2212">
        <v>50</v>
      </c>
      <c r="J2212">
        <v>49.981781005999999</v>
      </c>
      <c r="K2212">
        <v>0</v>
      </c>
      <c r="L2212">
        <v>2400</v>
      </c>
      <c r="M2212">
        <v>2400</v>
      </c>
      <c r="N2212">
        <v>0</v>
      </c>
    </row>
    <row r="2213" spans="1:14" x14ac:dyDescent="0.25">
      <c r="A2213">
        <v>1461</v>
      </c>
      <c r="B2213" s="1">
        <f>DATE(2014,5,1) + TIME(0,0,0)</f>
        <v>41760</v>
      </c>
      <c r="C2213">
        <v>1326.1928711</v>
      </c>
      <c r="D2213">
        <v>1323.8701172000001</v>
      </c>
      <c r="E2213">
        <v>1337.7843018000001</v>
      </c>
      <c r="F2213">
        <v>1335.6138916</v>
      </c>
      <c r="G2213">
        <v>80</v>
      </c>
      <c r="H2213">
        <v>67.189109802000004</v>
      </c>
      <c r="I2213">
        <v>50</v>
      </c>
      <c r="J2213">
        <v>49.981777190999999</v>
      </c>
      <c r="K2213">
        <v>0</v>
      </c>
      <c r="L2213">
        <v>2400</v>
      </c>
      <c r="M2213">
        <v>2400</v>
      </c>
      <c r="N2213">
        <v>0</v>
      </c>
    </row>
    <row r="2214" spans="1:14" x14ac:dyDescent="0.25">
      <c r="A2214">
        <v>1461.0000010000001</v>
      </c>
      <c r="B2214" s="1">
        <f>DATE(2014,5,1) + TIME(0,0,0)</f>
        <v>41760</v>
      </c>
      <c r="C2214">
        <v>1329.3878173999999</v>
      </c>
      <c r="D2214">
        <v>1327.1368408000001</v>
      </c>
      <c r="E2214">
        <v>1334.9592285000001</v>
      </c>
      <c r="F2214">
        <v>1333.2946777</v>
      </c>
      <c r="G2214">
        <v>80</v>
      </c>
      <c r="H2214">
        <v>67.189262389999996</v>
      </c>
      <c r="I2214">
        <v>50</v>
      </c>
      <c r="J2214">
        <v>49.981697083</v>
      </c>
      <c r="K2214">
        <v>2400</v>
      </c>
      <c r="L2214">
        <v>0</v>
      </c>
      <c r="M2214">
        <v>0</v>
      </c>
      <c r="N2214">
        <v>2400</v>
      </c>
    </row>
    <row r="2215" spans="1:14" x14ac:dyDescent="0.25">
      <c r="A2215">
        <v>1461.000004</v>
      </c>
      <c r="B2215" s="1">
        <f>DATE(2014,5,1) + TIME(0,0,0)</f>
        <v>41760</v>
      </c>
      <c r="C2215">
        <v>1330.5717772999999</v>
      </c>
      <c r="D2215">
        <v>1328.4306641000001</v>
      </c>
      <c r="E2215">
        <v>1333.9365233999999</v>
      </c>
      <c r="F2215">
        <v>1332.2722168</v>
      </c>
      <c r="G2215">
        <v>80</v>
      </c>
      <c r="H2215">
        <v>67.189506531000006</v>
      </c>
      <c r="I2215">
        <v>50</v>
      </c>
      <c r="J2215">
        <v>49.981567382999998</v>
      </c>
      <c r="K2215">
        <v>2400</v>
      </c>
      <c r="L2215">
        <v>0</v>
      </c>
      <c r="M2215">
        <v>0</v>
      </c>
      <c r="N2215">
        <v>2400</v>
      </c>
    </row>
    <row r="2216" spans="1:14" x14ac:dyDescent="0.25">
      <c r="A2216">
        <v>1461.0000130000001</v>
      </c>
      <c r="B2216" s="1">
        <f>DATE(2014,5,1) + TIME(0,0,1)</f>
        <v>41760.000011574077</v>
      </c>
      <c r="C2216">
        <v>1331.9829102000001</v>
      </c>
      <c r="D2216">
        <v>1329.8120117000001</v>
      </c>
      <c r="E2216">
        <v>1332.7773437999999</v>
      </c>
      <c r="F2216">
        <v>1331.1132812000001</v>
      </c>
      <c r="G2216">
        <v>80</v>
      </c>
      <c r="H2216">
        <v>67.189903259000005</v>
      </c>
      <c r="I2216">
        <v>50</v>
      </c>
      <c r="J2216">
        <v>49.981422424000002</v>
      </c>
      <c r="K2216">
        <v>2400</v>
      </c>
      <c r="L2216">
        <v>0</v>
      </c>
      <c r="M2216">
        <v>0</v>
      </c>
      <c r="N2216">
        <v>2400</v>
      </c>
    </row>
    <row r="2217" spans="1:14" x14ac:dyDescent="0.25">
      <c r="A2217">
        <v>1461.0000399999999</v>
      </c>
      <c r="B2217" s="1">
        <f>DATE(2014,5,1) + TIME(0,0,3)</f>
        <v>41760.000034722223</v>
      </c>
      <c r="C2217">
        <v>1333.4067382999999</v>
      </c>
      <c r="D2217">
        <v>1331.1739502</v>
      </c>
      <c r="E2217">
        <v>1331.6420897999999</v>
      </c>
      <c r="F2217">
        <v>1329.9775391000001</v>
      </c>
      <c r="G2217">
        <v>80</v>
      </c>
      <c r="H2217">
        <v>67.190719603999995</v>
      </c>
      <c r="I2217">
        <v>50</v>
      </c>
      <c r="J2217">
        <v>49.981277466000002</v>
      </c>
      <c r="K2217">
        <v>2400</v>
      </c>
      <c r="L2217">
        <v>0</v>
      </c>
      <c r="M2217">
        <v>0</v>
      </c>
      <c r="N2217">
        <v>2400</v>
      </c>
    </row>
    <row r="2218" spans="1:14" x14ac:dyDescent="0.25">
      <c r="A2218">
        <v>1461.000121</v>
      </c>
      <c r="B2218" s="1">
        <f>DATE(2014,5,1) + TIME(0,0,10)</f>
        <v>41760.000115740739</v>
      </c>
      <c r="C2218">
        <v>1334.8013916</v>
      </c>
      <c r="D2218">
        <v>1332.5104980000001</v>
      </c>
      <c r="E2218">
        <v>1330.5246582</v>
      </c>
      <c r="F2218">
        <v>1328.8526611</v>
      </c>
      <c r="G2218">
        <v>80</v>
      </c>
      <c r="H2218">
        <v>67.192840575999995</v>
      </c>
      <c r="I2218">
        <v>50</v>
      </c>
      <c r="J2218">
        <v>49.981128693000002</v>
      </c>
      <c r="K2218">
        <v>2400</v>
      </c>
      <c r="L2218">
        <v>0</v>
      </c>
      <c r="M2218">
        <v>0</v>
      </c>
      <c r="N2218">
        <v>2400</v>
      </c>
    </row>
    <row r="2219" spans="1:14" x14ac:dyDescent="0.25">
      <c r="A2219">
        <v>1461.000364</v>
      </c>
      <c r="B2219" s="1">
        <f>DATE(2014,5,1) + TIME(0,0,31)</f>
        <v>41760.000358796293</v>
      </c>
      <c r="C2219">
        <v>1336.1673584</v>
      </c>
      <c r="D2219">
        <v>1333.8175048999999</v>
      </c>
      <c r="E2219">
        <v>1329.3909911999999</v>
      </c>
      <c r="F2219">
        <v>1327.6931152</v>
      </c>
      <c r="G2219">
        <v>80</v>
      </c>
      <c r="H2219">
        <v>67.198997497999997</v>
      </c>
      <c r="I2219">
        <v>50</v>
      </c>
      <c r="J2219">
        <v>49.980964661000002</v>
      </c>
      <c r="K2219">
        <v>2400</v>
      </c>
      <c r="L2219">
        <v>0</v>
      </c>
      <c r="M2219">
        <v>0</v>
      </c>
      <c r="N2219">
        <v>2400</v>
      </c>
    </row>
    <row r="2220" spans="1:14" x14ac:dyDescent="0.25">
      <c r="A2220">
        <v>1461.0010930000001</v>
      </c>
      <c r="B2220" s="1">
        <f>DATE(2014,5,1) + TIME(0,1,34)</f>
        <v>41760.001087962963</v>
      </c>
      <c r="C2220">
        <v>1337.3927002</v>
      </c>
      <c r="D2220">
        <v>1334.9873047000001</v>
      </c>
      <c r="E2220">
        <v>1328.2985839999999</v>
      </c>
      <c r="F2220">
        <v>1326.5632324000001</v>
      </c>
      <c r="G2220">
        <v>80</v>
      </c>
      <c r="H2220">
        <v>67.217498778999996</v>
      </c>
      <c r="I2220">
        <v>50</v>
      </c>
      <c r="J2220">
        <v>49.980770110999998</v>
      </c>
      <c r="K2220">
        <v>2400</v>
      </c>
      <c r="L2220">
        <v>0</v>
      </c>
      <c r="M2220">
        <v>0</v>
      </c>
      <c r="N2220">
        <v>2400</v>
      </c>
    </row>
    <row r="2221" spans="1:14" x14ac:dyDescent="0.25">
      <c r="A2221">
        <v>1461.0032799999999</v>
      </c>
      <c r="B2221" s="1">
        <f>DATE(2014,5,1) + TIME(0,4,43)</f>
        <v>41760.003275462965</v>
      </c>
      <c r="C2221">
        <v>1338.2364502</v>
      </c>
      <c r="D2221">
        <v>1335.7967529</v>
      </c>
      <c r="E2221">
        <v>1327.4868164</v>
      </c>
      <c r="F2221">
        <v>1325.7265625</v>
      </c>
      <c r="G2221">
        <v>80</v>
      </c>
      <c r="H2221">
        <v>67.273216247999997</v>
      </c>
      <c r="I2221">
        <v>50</v>
      </c>
      <c r="J2221">
        <v>49.980484009000001</v>
      </c>
      <c r="K2221">
        <v>2400</v>
      </c>
      <c r="L2221">
        <v>0</v>
      </c>
      <c r="M2221">
        <v>0</v>
      </c>
      <c r="N2221">
        <v>2400</v>
      </c>
    </row>
    <row r="2222" spans="1:14" x14ac:dyDescent="0.25">
      <c r="A2222">
        <v>1461.0098410000001</v>
      </c>
      <c r="B2222" s="1">
        <f>DATE(2014,5,1) + TIME(0,14,10)</f>
        <v>41760.009837962964</v>
      </c>
      <c r="C2222">
        <v>1338.5810547000001</v>
      </c>
      <c r="D2222">
        <v>1336.1354980000001</v>
      </c>
      <c r="E2222">
        <v>1327.1441649999999</v>
      </c>
      <c r="F2222">
        <v>1325.3756103999999</v>
      </c>
      <c r="G2222">
        <v>80</v>
      </c>
      <c r="H2222">
        <v>67.438652039000004</v>
      </c>
      <c r="I2222">
        <v>50</v>
      </c>
      <c r="J2222">
        <v>49.979896545000003</v>
      </c>
      <c r="K2222">
        <v>2400</v>
      </c>
      <c r="L2222">
        <v>0</v>
      </c>
      <c r="M2222">
        <v>0</v>
      </c>
      <c r="N2222">
        <v>2400</v>
      </c>
    </row>
    <row r="2223" spans="1:14" x14ac:dyDescent="0.25">
      <c r="A2223">
        <v>1461.029524</v>
      </c>
      <c r="B2223" s="1">
        <f>DATE(2014,5,1) + TIME(0,42,30)</f>
        <v>41760.029513888891</v>
      </c>
      <c r="C2223">
        <v>1338.6164550999999</v>
      </c>
      <c r="D2223">
        <v>1336.1901855000001</v>
      </c>
      <c r="E2223">
        <v>1327.0844727000001</v>
      </c>
      <c r="F2223">
        <v>1325.3145752</v>
      </c>
      <c r="G2223">
        <v>80</v>
      </c>
      <c r="H2223">
        <v>67.915237426999994</v>
      </c>
      <c r="I2223">
        <v>50</v>
      </c>
      <c r="J2223">
        <v>49.978279114000003</v>
      </c>
      <c r="K2223">
        <v>2400</v>
      </c>
      <c r="L2223">
        <v>0</v>
      </c>
      <c r="M2223">
        <v>0</v>
      </c>
      <c r="N2223">
        <v>2400</v>
      </c>
    </row>
    <row r="2224" spans="1:14" x14ac:dyDescent="0.25">
      <c r="A2224">
        <v>1461.0500070000001</v>
      </c>
      <c r="B2224" s="1">
        <f>DATE(2014,5,1) + TIME(1,12,0)</f>
        <v>41760.050000000003</v>
      </c>
      <c r="C2224">
        <v>1338.6228027</v>
      </c>
      <c r="D2224">
        <v>1336.2022704999999</v>
      </c>
      <c r="E2224">
        <v>1327.0812988</v>
      </c>
      <c r="F2224">
        <v>1325.3112793</v>
      </c>
      <c r="G2224">
        <v>80</v>
      </c>
      <c r="H2224">
        <v>68.393524170000006</v>
      </c>
      <c r="I2224">
        <v>50</v>
      </c>
      <c r="J2224">
        <v>49.976615905999999</v>
      </c>
      <c r="K2224">
        <v>2400</v>
      </c>
      <c r="L2224">
        <v>0</v>
      </c>
      <c r="M2224">
        <v>0</v>
      </c>
      <c r="N2224">
        <v>2400</v>
      </c>
    </row>
    <row r="2225" spans="1:14" x14ac:dyDescent="0.25">
      <c r="A2225">
        <v>1461.070923</v>
      </c>
      <c r="B2225" s="1">
        <f>DATE(2014,5,1) + TIME(1,42,7)</f>
        <v>41760.070914351854</v>
      </c>
      <c r="C2225">
        <v>1338.6273193</v>
      </c>
      <c r="D2225">
        <v>1336.2114257999999</v>
      </c>
      <c r="E2225">
        <v>1327.0811768000001</v>
      </c>
      <c r="F2225">
        <v>1325.3111572</v>
      </c>
      <c r="G2225">
        <v>80</v>
      </c>
      <c r="H2225">
        <v>68.864250182999996</v>
      </c>
      <c r="I2225">
        <v>50</v>
      </c>
      <c r="J2225">
        <v>49.974933624000002</v>
      </c>
      <c r="K2225">
        <v>2400</v>
      </c>
      <c r="L2225">
        <v>0</v>
      </c>
      <c r="M2225">
        <v>0</v>
      </c>
      <c r="N2225">
        <v>2400</v>
      </c>
    </row>
    <row r="2226" spans="1:14" x14ac:dyDescent="0.25">
      <c r="A2226">
        <v>1461.092296</v>
      </c>
      <c r="B2226" s="1">
        <f>DATE(2014,5,1) + TIME(2,12,54)</f>
        <v>41760.092291666668</v>
      </c>
      <c r="C2226">
        <v>1338.6335449000001</v>
      </c>
      <c r="D2226">
        <v>1336.2211914</v>
      </c>
      <c r="E2226">
        <v>1327.0811768000001</v>
      </c>
      <c r="F2226">
        <v>1325.3110352000001</v>
      </c>
      <c r="G2226">
        <v>80</v>
      </c>
      <c r="H2226">
        <v>69.327415466000005</v>
      </c>
      <c r="I2226">
        <v>50</v>
      </c>
      <c r="J2226">
        <v>49.973224639999998</v>
      </c>
      <c r="K2226">
        <v>2400</v>
      </c>
      <c r="L2226">
        <v>0</v>
      </c>
      <c r="M2226">
        <v>0</v>
      </c>
      <c r="N2226">
        <v>2400</v>
      </c>
    </row>
    <row r="2227" spans="1:14" x14ac:dyDescent="0.25">
      <c r="A2227">
        <v>1461.1141459999999</v>
      </c>
      <c r="B2227" s="1">
        <f>DATE(2014,5,1) + TIME(2,44,22)</f>
        <v>41760.11414351852</v>
      </c>
      <c r="C2227">
        <v>1338.6417236</v>
      </c>
      <c r="D2227">
        <v>1336.2321777</v>
      </c>
      <c r="E2227">
        <v>1327.0811768000001</v>
      </c>
      <c r="F2227">
        <v>1325.3110352000001</v>
      </c>
      <c r="G2227">
        <v>80</v>
      </c>
      <c r="H2227">
        <v>69.782974242999998</v>
      </c>
      <c r="I2227">
        <v>50</v>
      </c>
      <c r="J2227">
        <v>49.971492767000001</v>
      </c>
      <c r="K2227">
        <v>2400</v>
      </c>
      <c r="L2227">
        <v>0</v>
      </c>
      <c r="M2227">
        <v>0</v>
      </c>
      <c r="N2227">
        <v>2400</v>
      </c>
    </row>
    <row r="2228" spans="1:14" x14ac:dyDescent="0.25">
      <c r="A2228">
        <v>1461.1364960000001</v>
      </c>
      <c r="B2228" s="1">
        <f>DATE(2014,5,1) + TIME(3,16,33)</f>
        <v>41760.136493055557</v>
      </c>
      <c r="C2228">
        <v>1338.6518555</v>
      </c>
      <c r="D2228">
        <v>1336.2442627</v>
      </c>
      <c r="E2228">
        <v>1327.0811768000001</v>
      </c>
      <c r="F2228">
        <v>1325.3109131000001</v>
      </c>
      <c r="G2228">
        <v>80</v>
      </c>
      <c r="H2228">
        <v>70.230697632000002</v>
      </c>
      <c r="I2228">
        <v>50</v>
      </c>
      <c r="J2228">
        <v>49.969730376999998</v>
      </c>
      <c r="K2228">
        <v>2400</v>
      </c>
      <c r="L2228">
        <v>0</v>
      </c>
      <c r="M2228">
        <v>0</v>
      </c>
      <c r="N2228">
        <v>2400</v>
      </c>
    </row>
    <row r="2229" spans="1:14" x14ac:dyDescent="0.25">
      <c r="A2229">
        <v>1461.159369</v>
      </c>
      <c r="B2229" s="1">
        <f>DATE(2014,5,1) + TIME(3,49,29)</f>
        <v>41760.159363425926</v>
      </c>
      <c r="C2229">
        <v>1338.6639404</v>
      </c>
      <c r="D2229">
        <v>1336.2573242000001</v>
      </c>
      <c r="E2229">
        <v>1327.0811768000001</v>
      </c>
      <c r="F2229">
        <v>1325.3109131000001</v>
      </c>
      <c r="G2229">
        <v>80</v>
      </c>
      <c r="H2229">
        <v>70.670455933</v>
      </c>
      <c r="I2229">
        <v>50</v>
      </c>
      <c r="J2229">
        <v>49.967945098999998</v>
      </c>
      <c r="K2229">
        <v>2400</v>
      </c>
      <c r="L2229">
        <v>0</v>
      </c>
      <c r="M2229">
        <v>0</v>
      </c>
      <c r="N2229">
        <v>2400</v>
      </c>
    </row>
    <row r="2230" spans="1:14" x14ac:dyDescent="0.25">
      <c r="A2230">
        <v>1461.1827920000001</v>
      </c>
      <c r="B2230" s="1">
        <f>DATE(2014,5,1) + TIME(4,23,13)</f>
        <v>41760.182789351849</v>
      </c>
      <c r="C2230">
        <v>1338.6778564000001</v>
      </c>
      <c r="D2230">
        <v>1336.2713623</v>
      </c>
      <c r="E2230">
        <v>1327.0811768000001</v>
      </c>
      <c r="F2230">
        <v>1325.3107910000001</v>
      </c>
      <c r="G2230">
        <v>80</v>
      </c>
      <c r="H2230">
        <v>71.102310181000007</v>
      </c>
      <c r="I2230">
        <v>50</v>
      </c>
      <c r="J2230">
        <v>49.966129303000002</v>
      </c>
      <c r="K2230">
        <v>2400</v>
      </c>
      <c r="L2230">
        <v>0</v>
      </c>
      <c r="M2230">
        <v>0</v>
      </c>
      <c r="N2230">
        <v>2400</v>
      </c>
    </row>
    <row r="2231" spans="1:14" x14ac:dyDescent="0.25">
      <c r="A2231">
        <v>1461.2067950000001</v>
      </c>
      <c r="B2231" s="1">
        <f>DATE(2014,5,1) + TIME(4,57,47)</f>
        <v>41760.206793981481</v>
      </c>
      <c r="C2231">
        <v>1338.6936035000001</v>
      </c>
      <c r="D2231">
        <v>1336.286499</v>
      </c>
      <c r="E2231">
        <v>1327.0811768000001</v>
      </c>
      <c r="F2231">
        <v>1325.3106689000001</v>
      </c>
      <c r="G2231">
        <v>80</v>
      </c>
      <c r="H2231">
        <v>71.526176453000005</v>
      </c>
      <c r="I2231">
        <v>50</v>
      </c>
      <c r="J2231">
        <v>49.964282990000001</v>
      </c>
      <c r="K2231">
        <v>2400</v>
      </c>
      <c r="L2231">
        <v>0</v>
      </c>
      <c r="M2231">
        <v>0</v>
      </c>
      <c r="N2231">
        <v>2400</v>
      </c>
    </row>
    <row r="2232" spans="1:14" x14ac:dyDescent="0.25">
      <c r="A2232">
        <v>1461.2314080000001</v>
      </c>
      <c r="B2232" s="1">
        <f>DATE(2014,5,1) + TIME(5,33,13)</f>
        <v>41760.231400462966</v>
      </c>
      <c r="C2232">
        <v>1338.7109375</v>
      </c>
      <c r="D2232">
        <v>1336.3024902</v>
      </c>
      <c r="E2232">
        <v>1327.0810547000001</v>
      </c>
      <c r="F2232">
        <v>1325.3105469</v>
      </c>
      <c r="G2232">
        <v>80</v>
      </c>
      <c r="H2232">
        <v>71.941925049000005</v>
      </c>
      <c r="I2232">
        <v>50</v>
      </c>
      <c r="J2232">
        <v>49.962406158</v>
      </c>
      <c r="K2232">
        <v>2400</v>
      </c>
      <c r="L2232">
        <v>0</v>
      </c>
      <c r="M2232">
        <v>0</v>
      </c>
      <c r="N2232">
        <v>2400</v>
      </c>
    </row>
    <row r="2233" spans="1:14" x14ac:dyDescent="0.25">
      <c r="A2233">
        <v>1461.2566469999999</v>
      </c>
      <c r="B2233" s="1">
        <f>DATE(2014,5,1) + TIME(6,9,34)</f>
        <v>41760.256643518522</v>
      </c>
      <c r="C2233">
        <v>1338.7298584</v>
      </c>
      <c r="D2233">
        <v>1336.3194579999999</v>
      </c>
      <c r="E2233">
        <v>1327.0810547000001</v>
      </c>
      <c r="F2233">
        <v>1325.3104248</v>
      </c>
      <c r="G2233">
        <v>80</v>
      </c>
      <c r="H2233">
        <v>72.349128723000007</v>
      </c>
      <c r="I2233">
        <v>50</v>
      </c>
      <c r="J2233">
        <v>49.960498809999997</v>
      </c>
      <c r="K2233">
        <v>2400</v>
      </c>
      <c r="L2233">
        <v>0</v>
      </c>
      <c r="M2233">
        <v>0</v>
      </c>
      <c r="N2233">
        <v>2400</v>
      </c>
    </row>
    <row r="2234" spans="1:14" x14ac:dyDescent="0.25">
      <c r="A2234">
        <v>1461.282516</v>
      </c>
      <c r="B2234" s="1">
        <f>DATE(2014,5,1) + TIME(6,46,49)</f>
        <v>41760.282511574071</v>
      </c>
      <c r="C2234">
        <v>1338.7503661999999</v>
      </c>
      <c r="D2234">
        <v>1336.3372803</v>
      </c>
      <c r="E2234">
        <v>1327.0809326000001</v>
      </c>
      <c r="F2234">
        <v>1325.3103027</v>
      </c>
      <c r="G2234">
        <v>80</v>
      </c>
      <c r="H2234">
        <v>72.747238159000005</v>
      </c>
      <c r="I2234">
        <v>50</v>
      </c>
      <c r="J2234">
        <v>49.958557128999999</v>
      </c>
      <c r="K2234">
        <v>2400</v>
      </c>
      <c r="L2234">
        <v>0</v>
      </c>
      <c r="M2234">
        <v>0</v>
      </c>
      <c r="N2234">
        <v>2400</v>
      </c>
    </row>
    <row r="2235" spans="1:14" x14ac:dyDescent="0.25">
      <c r="A2235">
        <v>1461.309051</v>
      </c>
      <c r="B2235" s="1">
        <f>DATE(2014,5,1) + TIME(7,25,2)</f>
        <v>41760.309050925927</v>
      </c>
      <c r="C2235">
        <v>1338.7723389</v>
      </c>
      <c r="D2235">
        <v>1336.355957</v>
      </c>
      <c r="E2235">
        <v>1327.0809326000001</v>
      </c>
      <c r="F2235">
        <v>1325.3101807</v>
      </c>
      <c r="G2235">
        <v>80</v>
      </c>
      <c r="H2235">
        <v>73.136100768999995</v>
      </c>
      <c r="I2235">
        <v>50</v>
      </c>
      <c r="J2235">
        <v>49.956581116000002</v>
      </c>
      <c r="K2235">
        <v>2400</v>
      </c>
      <c r="L2235">
        <v>0</v>
      </c>
      <c r="M2235">
        <v>0</v>
      </c>
      <c r="N2235">
        <v>2400</v>
      </c>
    </row>
    <row r="2236" spans="1:14" x14ac:dyDescent="0.25">
      <c r="A2236">
        <v>1461.336286</v>
      </c>
      <c r="B2236" s="1">
        <f>DATE(2014,5,1) + TIME(8,4,15)</f>
        <v>41760.336284722223</v>
      </c>
      <c r="C2236">
        <v>1338.7957764</v>
      </c>
      <c r="D2236">
        <v>1336.3752440999999</v>
      </c>
      <c r="E2236">
        <v>1327.0808105000001</v>
      </c>
      <c r="F2236">
        <v>1325.3100586</v>
      </c>
      <c r="G2236">
        <v>80</v>
      </c>
      <c r="H2236">
        <v>73.515548706000004</v>
      </c>
      <c r="I2236">
        <v>50</v>
      </c>
      <c r="J2236">
        <v>49.954570769999997</v>
      </c>
      <c r="K2236">
        <v>2400</v>
      </c>
      <c r="L2236">
        <v>0</v>
      </c>
      <c r="M2236">
        <v>0</v>
      </c>
      <c r="N2236">
        <v>2400</v>
      </c>
    </row>
    <row r="2237" spans="1:14" x14ac:dyDescent="0.25">
      <c r="A2237">
        <v>1461.3642540000001</v>
      </c>
      <c r="B2237" s="1">
        <f>DATE(2014,5,1) + TIME(8,44,31)</f>
        <v>41760.364247685182</v>
      </c>
      <c r="C2237">
        <v>1338.8203125</v>
      </c>
      <c r="D2237">
        <v>1336.3953856999999</v>
      </c>
      <c r="E2237">
        <v>1327.0806885</v>
      </c>
      <c r="F2237">
        <v>1325.3098144999999</v>
      </c>
      <c r="G2237">
        <v>80</v>
      </c>
      <c r="H2237">
        <v>73.885337829999997</v>
      </c>
      <c r="I2237">
        <v>50</v>
      </c>
      <c r="J2237">
        <v>49.952522278000004</v>
      </c>
      <c r="K2237">
        <v>2400</v>
      </c>
      <c r="L2237">
        <v>0</v>
      </c>
      <c r="M2237">
        <v>0</v>
      </c>
      <c r="N2237">
        <v>2400</v>
      </c>
    </row>
    <row r="2238" spans="1:14" x14ac:dyDescent="0.25">
      <c r="A2238">
        <v>1461.3930009999999</v>
      </c>
      <c r="B2238" s="1">
        <f>DATE(2014,5,1) + TIME(9,25,55)</f>
        <v>41760.392997685187</v>
      </c>
      <c r="C2238">
        <v>1338.8461914</v>
      </c>
      <c r="D2238">
        <v>1336.4160156</v>
      </c>
      <c r="E2238">
        <v>1327.0806885</v>
      </c>
      <c r="F2238">
        <v>1325.3096923999999</v>
      </c>
      <c r="G2238">
        <v>80</v>
      </c>
      <c r="H2238">
        <v>74.245368958</v>
      </c>
      <c r="I2238">
        <v>50</v>
      </c>
      <c r="J2238">
        <v>49.950435638000002</v>
      </c>
      <c r="K2238">
        <v>2400</v>
      </c>
      <c r="L2238">
        <v>0</v>
      </c>
      <c r="M2238">
        <v>0</v>
      </c>
      <c r="N2238">
        <v>2400</v>
      </c>
    </row>
    <row r="2239" spans="1:14" x14ac:dyDescent="0.25">
      <c r="A2239">
        <v>1461.4225710000001</v>
      </c>
      <c r="B2239" s="1">
        <f>DATE(2014,5,1) + TIME(10,8,30)</f>
        <v>41760.422569444447</v>
      </c>
      <c r="C2239">
        <v>1338.8731689000001</v>
      </c>
      <c r="D2239">
        <v>1336.4373779</v>
      </c>
      <c r="E2239">
        <v>1327.0805664</v>
      </c>
      <c r="F2239">
        <v>1325.3094481999999</v>
      </c>
      <c r="G2239">
        <v>80</v>
      </c>
      <c r="H2239">
        <v>74.595428467000005</v>
      </c>
      <c r="I2239">
        <v>50</v>
      </c>
      <c r="J2239">
        <v>49.948307036999999</v>
      </c>
      <c r="K2239">
        <v>2400</v>
      </c>
      <c r="L2239">
        <v>0</v>
      </c>
      <c r="M2239">
        <v>0</v>
      </c>
      <c r="N2239">
        <v>2400</v>
      </c>
    </row>
    <row r="2240" spans="1:14" x14ac:dyDescent="0.25">
      <c r="A2240">
        <v>1461.4530099999999</v>
      </c>
      <c r="B2240" s="1">
        <f>DATE(2014,5,1) + TIME(10,52,20)</f>
        <v>41760.453009259261</v>
      </c>
      <c r="C2240">
        <v>1338.9011230000001</v>
      </c>
      <c r="D2240">
        <v>1336.4592285000001</v>
      </c>
      <c r="E2240">
        <v>1327.0804443</v>
      </c>
      <c r="F2240">
        <v>1325.3093262</v>
      </c>
      <c r="G2240">
        <v>80</v>
      </c>
      <c r="H2240">
        <v>74.935325622999997</v>
      </c>
      <c r="I2240">
        <v>50</v>
      </c>
      <c r="J2240">
        <v>49.946136475000003</v>
      </c>
      <c r="K2240">
        <v>2400</v>
      </c>
      <c r="L2240">
        <v>0</v>
      </c>
      <c r="M2240">
        <v>0</v>
      </c>
      <c r="N2240">
        <v>2400</v>
      </c>
    </row>
    <row r="2241" spans="1:14" x14ac:dyDescent="0.25">
      <c r="A2241">
        <v>1461.484369</v>
      </c>
      <c r="B2241" s="1">
        <f>DATE(2014,5,1) + TIME(11,37,29)</f>
        <v>41760.484363425923</v>
      </c>
      <c r="C2241">
        <v>1338.9300536999999</v>
      </c>
      <c r="D2241">
        <v>1336.4815673999999</v>
      </c>
      <c r="E2241">
        <v>1327.0803223</v>
      </c>
      <c r="F2241">
        <v>1325.309082</v>
      </c>
      <c r="G2241">
        <v>80</v>
      </c>
      <c r="H2241">
        <v>75.264648437999995</v>
      </c>
      <c r="I2241">
        <v>50</v>
      </c>
      <c r="J2241">
        <v>49.943916321000003</v>
      </c>
      <c r="K2241">
        <v>2400</v>
      </c>
      <c r="L2241">
        <v>0</v>
      </c>
      <c r="M2241">
        <v>0</v>
      </c>
      <c r="N2241">
        <v>2400</v>
      </c>
    </row>
    <row r="2242" spans="1:14" x14ac:dyDescent="0.25">
      <c r="A2242">
        <v>1461.5167019999999</v>
      </c>
      <c r="B2242" s="1">
        <f>DATE(2014,5,1) + TIME(12,24,3)</f>
        <v>41760.516701388886</v>
      </c>
      <c r="C2242">
        <v>1338.9599608999999</v>
      </c>
      <c r="D2242">
        <v>1336.5045166</v>
      </c>
      <c r="E2242">
        <v>1327.0802002</v>
      </c>
      <c r="F2242">
        <v>1325.3088379000001</v>
      </c>
      <c r="G2242">
        <v>80</v>
      </c>
      <c r="H2242">
        <v>75.583335876000007</v>
      </c>
      <c r="I2242">
        <v>50</v>
      </c>
      <c r="J2242">
        <v>49.941650391000003</v>
      </c>
      <c r="K2242">
        <v>2400</v>
      </c>
      <c r="L2242">
        <v>0</v>
      </c>
      <c r="M2242">
        <v>0</v>
      </c>
      <c r="N2242">
        <v>2400</v>
      </c>
    </row>
    <row r="2243" spans="1:14" x14ac:dyDescent="0.25">
      <c r="A2243">
        <v>1461.5500689999999</v>
      </c>
      <c r="B2243" s="1">
        <f>DATE(2014,5,1) + TIME(13,12,5)</f>
        <v>41760.550057870372</v>
      </c>
      <c r="C2243">
        <v>1338.9906006000001</v>
      </c>
      <c r="D2243">
        <v>1336.5277100000001</v>
      </c>
      <c r="E2243">
        <v>1327.0800781</v>
      </c>
      <c r="F2243">
        <v>1325.3085937999999</v>
      </c>
      <c r="G2243">
        <v>80</v>
      </c>
      <c r="H2243">
        <v>75.891220093000001</v>
      </c>
      <c r="I2243">
        <v>50</v>
      </c>
      <c r="J2243">
        <v>49.939331054999997</v>
      </c>
      <c r="K2243">
        <v>2400</v>
      </c>
      <c r="L2243">
        <v>0</v>
      </c>
      <c r="M2243">
        <v>0</v>
      </c>
      <c r="N2243">
        <v>2400</v>
      </c>
    </row>
    <row r="2244" spans="1:14" x14ac:dyDescent="0.25">
      <c r="A2244">
        <v>1461.584533</v>
      </c>
      <c r="B2244" s="1">
        <f>DATE(2014,5,1) + TIME(14,1,43)</f>
        <v>41760.58452546296</v>
      </c>
      <c r="C2244">
        <v>1339.0220947</v>
      </c>
      <c r="D2244">
        <v>1336.5513916</v>
      </c>
      <c r="E2244">
        <v>1327.0799560999999</v>
      </c>
      <c r="F2244">
        <v>1325.3083495999999</v>
      </c>
      <c r="G2244">
        <v>80</v>
      </c>
      <c r="H2244">
        <v>76.188102721999996</v>
      </c>
      <c r="I2244">
        <v>50</v>
      </c>
      <c r="J2244">
        <v>49.936958312999998</v>
      </c>
      <c r="K2244">
        <v>2400</v>
      </c>
      <c r="L2244">
        <v>0</v>
      </c>
      <c r="M2244">
        <v>0</v>
      </c>
      <c r="N2244">
        <v>2400</v>
      </c>
    </row>
    <row r="2245" spans="1:14" x14ac:dyDescent="0.25">
      <c r="A2245">
        <v>1461.6201619999999</v>
      </c>
      <c r="B2245" s="1">
        <f>DATE(2014,5,1) + TIME(14,53,2)</f>
        <v>41760.620162037034</v>
      </c>
      <c r="C2245">
        <v>1339.0541992000001</v>
      </c>
      <c r="D2245">
        <v>1336.5754394999999</v>
      </c>
      <c r="E2245">
        <v>1327.0798339999999</v>
      </c>
      <c r="F2245">
        <v>1325.3081055</v>
      </c>
      <c r="G2245">
        <v>80</v>
      </c>
      <c r="H2245">
        <v>76.473777771000002</v>
      </c>
      <c r="I2245">
        <v>50</v>
      </c>
      <c r="J2245">
        <v>49.934524535999998</v>
      </c>
      <c r="K2245">
        <v>2400</v>
      </c>
      <c r="L2245">
        <v>0</v>
      </c>
      <c r="M2245">
        <v>0</v>
      </c>
      <c r="N2245">
        <v>2400</v>
      </c>
    </row>
    <row r="2246" spans="1:14" x14ac:dyDescent="0.25">
      <c r="A2246">
        <v>1461.657033</v>
      </c>
      <c r="B2246" s="1">
        <f>DATE(2014,5,1) + TIME(15,46,7)</f>
        <v>41760.657025462962</v>
      </c>
      <c r="C2246">
        <v>1339.0867920000001</v>
      </c>
      <c r="D2246">
        <v>1336.5996094</v>
      </c>
      <c r="E2246">
        <v>1327.0795897999999</v>
      </c>
      <c r="F2246">
        <v>1325.3078613</v>
      </c>
      <c r="G2246">
        <v>80</v>
      </c>
      <c r="H2246">
        <v>76.748062133999994</v>
      </c>
      <c r="I2246">
        <v>50</v>
      </c>
      <c r="J2246">
        <v>49.932033539000003</v>
      </c>
      <c r="K2246">
        <v>2400</v>
      </c>
      <c r="L2246">
        <v>0</v>
      </c>
      <c r="M2246">
        <v>0</v>
      </c>
      <c r="N2246">
        <v>2400</v>
      </c>
    </row>
    <row r="2247" spans="1:14" x14ac:dyDescent="0.25">
      <c r="A2247">
        <v>1461.695242</v>
      </c>
      <c r="B2247" s="1">
        <f>DATE(2014,5,1) + TIME(16,41,8)</f>
        <v>41760.695231481484</v>
      </c>
      <c r="C2247">
        <v>1339.1199951000001</v>
      </c>
      <c r="D2247">
        <v>1336.6240233999999</v>
      </c>
      <c r="E2247">
        <v>1327.0794678</v>
      </c>
      <c r="F2247">
        <v>1325.3076172000001</v>
      </c>
      <c r="G2247">
        <v>80</v>
      </c>
      <c r="H2247">
        <v>77.010871886999993</v>
      </c>
      <c r="I2247">
        <v>50</v>
      </c>
      <c r="J2247">
        <v>49.929473877</v>
      </c>
      <c r="K2247">
        <v>2400</v>
      </c>
      <c r="L2247">
        <v>0</v>
      </c>
      <c r="M2247">
        <v>0</v>
      </c>
      <c r="N2247">
        <v>2400</v>
      </c>
    </row>
    <row r="2248" spans="1:14" x14ac:dyDescent="0.25">
      <c r="A2248">
        <v>1461.734868</v>
      </c>
      <c r="B2248" s="1">
        <f>DATE(2014,5,1) + TIME(17,38,12)</f>
        <v>41760.734861111108</v>
      </c>
      <c r="C2248">
        <v>1339.1535644999999</v>
      </c>
      <c r="D2248">
        <v>1336.6486815999999</v>
      </c>
      <c r="E2248">
        <v>1327.0792236</v>
      </c>
      <c r="F2248">
        <v>1325.3073730000001</v>
      </c>
      <c r="G2248">
        <v>80</v>
      </c>
      <c r="H2248">
        <v>77.261978149000001</v>
      </c>
      <c r="I2248">
        <v>50</v>
      </c>
      <c r="J2248">
        <v>49.926841736</v>
      </c>
      <c r="K2248">
        <v>2400</v>
      </c>
      <c r="L2248">
        <v>0</v>
      </c>
      <c r="M2248">
        <v>0</v>
      </c>
      <c r="N2248">
        <v>2400</v>
      </c>
    </row>
    <row r="2249" spans="1:14" x14ac:dyDescent="0.25">
      <c r="A2249">
        <v>1461.776008</v>
      </c>
      <c r="B2249" s="1">
        <f>DATE(2014,5,1) + TIME(18,37,27)</f>
        <v>41760.776006944441</v>
      </c>
      <c r="C2249">
        <v>1339.1875</v>
      </c>
      <c r="D2249">
        <v>1336.6734618999999</v>
      </c>
      <c r="E2249">
        <v>1327.0791016000001</v>
      </c>
      <c r="F2249">
        <v>1325.3070068</v>
      </c>
      <c r="G2249">
        <v>80</v>
      </c>
      <c r="H2249">
        <v>77.501220703000001</v>
      </c>
      <c r="I2249">
        <v>50</v>
      </c>
      <c r="J2249">
        <v>49.92414093</v>
      </c>
      <c r="K2249">
        <v>2400</v>
      </c>
      <c r="L2249">
        <v>0</v>
      </c>
      <c r="M2249">
        <v>0</v>
      </c>
      <c r="N2249">
        <v>2400</v>
      </c>
    </row>
    <row r="2250" spans="1:14" x14ac:dyDescent="0.25">
      <c r="A2250">
        <v>1461.8187700000001</v>
      </c>
      <c r="B2250" s="1">
        <f>DATE(2014,5,1) + TIME(19,39,1)</f>
        <v>41760.818761574075</v>
      </c>
      <c r="C2250">
        <v>1339.2218018000001</v>
      </c>
      <c r="D2250">
        <v>1336.6982422000001</v>
      </c>
      <c r="E2250">
        <v>1327.0788574000001</v>
      </c>
      <c r="F2250">
        <v>1325.3067627</v>
      </c>
      <c r="G2250">
        <v>80</v>
      </c>
      <c r="H2250">
        <v>77.728485106999997</v>
      </c>
      <c r="I2250">
        <v>50</v>
      </c>
      <c r="J2250">
        <v>49.921356201000002</v>
      </c>
      <c r="K2250">
        <v>2400</v>
      </c>
      <c r="L2250">
        <v>0</v>
      </c>
      <c r="M2250">
        <v>0</v>
      </c>
      <c r="N2250">
        <v>2400</v>
      </c>
    </row>
    <row r="2251" spans="1:14" x14ac:dyDescent="0.25">
      <c r="A2251">
        <v>1461.8632729999999</v>
      </c>
      <c r="B2251" s="1">
        <f>DATE(2014,5,1) + TIME(20,43,6)</f>
        <v>41760.863263888888</v>
      </c>
      <c r="C2251">
        <v>1339.2561035000001</v>
      </c>
      <c r="D2251">
        <v>1336.7230225000001</v>
      </c>
      <c r="E2251">
        <v>1327.0787353999999</v>
      </c>
      <c r="F2251">
        <v>1325.3063964999999</v>
      </c>
      <c r="G2251">
        <v>80</v>
      </c>
      <c r="H2251">
        <v>77.943679810000006</v>
      </c>
      <c r="I2251">
        <v>50</v>
      </c>
      <c r="J2251">
        <v>49.918487548999998</v>
      </c>
      <c r="K2251">
        <v>2400</v>
      </c>
      <c r="L2251">
        <v>0</v>
      </c>
      <c r="M2251">
        <v>0</v>
      </c>
      <c r="N2251">
        <v>2400</v>
      </c>
    </row>
    <row r="2252" spans="1:14" x14ac:dyDescent="0.25">
      <c r="A2252">
        <v>1461.9096509999999</v>
      </c>
      <c r="B2252" s="1">
        <f>DATE(2014,5,1) + TIME(21,49,53)</f>
        <v>41760.909641203703</v>
      </c>
      <c r="C2252">
        <v>1339.2906493999999</v>
      </c>
      <c r="D2252">
        <v>1336.7478027</v>
      </c>
      <c r="E2252">
        <v>1327.0784911999999</v>
      </c>
      <c r="F2252">
        <v>1325.3061522999999</v>
      </c>
      <c r="G2252">
        <v>80</v>
      </c>
      <c r="H2252">
        <v>78.146751404</v>
      </c>
      <c r="I2252">
        <v>50</v>
      </c>
      <c r="J2252">
        <v>49.915527343999997</v>
      </c>
      <c r="K2252">
        <v>2400</v>
      </c>
      <c r="L2252">
        <v>0</v>
      </c>
      <c r="M2252">
        <v>0</v>
      </c>
      <c r="N2252">
        <v>2400</v>
      </c>
    </row>
    <row r="2253" spans="1:14" x14ac:dyDescent="0.25">
      <c r="A2253">
        <v>1461.958052</v>
      </c>
      <c r="B2253" s="1">
        <f>DATE(2014,5,1) + TIME(22,59,35)</f>
        <v>41760.958043981482</v>
      </c>
      <c r="C2253">
        <v>1339.3250731999999</v>
      </c>
      <c r="D2253">
        <v>1336.7724608999999</v>
      </c>
      <c r="E2253">
        <v>1327.0782471</v>
      </c>
      <c r="F2253">
        <v>1325.3057861</v>
      </c>
      <c r="G2253">
        <v>80</v>
      </c>
      <c r="H2253">
        <v>78.337684631000002</v>
      </c>
      <c r="I2253">
        <v>50</v>
      </c>
      <c r="J2253">
        <v>49.912471771</v>
      </c>
      <c r="K2253">
        <v>2400</v>
      </c>
      <c r="L2253">
        <v>0</v>
      </c>
      <c r="M2253">
        <v>0</v>
      </c>
      <c r="N2253">
        <v>2400</v>
      </c>
    </row>
    <row r="2254" spans="1:14" x14ac:dyDescent="0.25">
      <c r="A2254">
        <v>1462.0086409999999</v>
      </c>
      <c r="B2254" s="1">
        <f>DATE(2014,5,2) + TIME(0,12,26)</f>
        <v>41761.008634259262</v>
      </c>
      <c r="C2254">
        <v>1339.3594971</v>
      </c>
      <c r="D2254">
        <v>1336.7971190999999</v>
      </c>
      <c r="E2254">
        <v>1327.0780029</v>
      </c>
      <c r="F2254">
        <v>1325.3054199000001</v>
      </c>
      <c r="G2254">
        <v>80</v>
      </c>
      <c r="H2254">
        <v>78.516487122000001</v>
      </c>
      <c r="I2254">
        <v>50</v>
      </c>
      <c r="J2254">
        <v>49.909309387</v>
      </c>
      <c r="K2254">
        <v>2400</v>
      </c>
      <c r="L2254">
        <v>0</v>
      </c>
      <c r="M2254">
        <v>0</v>
      </c>
      <c r="N2254">
        <v>2400</v>
      </c>
    </row>
    <row r="2255" spans="1:14" x14ac:dyDescent="0.25">
      <c r="A2255">
        <v>1462.061604</v>
      </c>
      <c r="B2255" s="1">
        <f>DATE(2014,5,2) + TIME(1,28,42)</f>
        <v>41761.061597222222</v>
      </c>
      <c r="C2255">
        <v>1339.3936768000001</v>
      </c>
      <c r="D2255">
        <v>1336.8214111</v>
      </c>
      <c r="E2255">
        <v>1327.0777588000001</v>
      </c>
      <c r="F2255">
        <v>1325.3050536999999</v>
      </c>
      <c r="G2255">
        <v>80</v>
      </c>
      <c r="H2255">
        <v>78.683227539000001</v>
      </c>
      <c r="I2255">
        <v>50</v>
      </c>
      <c r="J2255">
        <v>49.906032562</v>
      </c>
      <c r="K2255">
        <v>2400</v>
      </c>
      <c r="L2255">
        <v>0</v>
      </c>
      <c r="M2255">
        <v>0</v>
      </c>
      <c r="N2255">
        <v>2400</v>
      </c>
    </row>
    <row r="2256" spans="1:14" x14ac:dyDescent="0.25">
      <c r="A2256">
        <v>1462.11715</v>
      </c>
      <c r="B2256" s="1">
        <f>DATE(2014,5,2) + TIME(2,48,41)</f>
        <v>41761.1171412037</v>
      </c>
      <c r="C2256">
        <v>1339.4277344</v>
      </c>
      <c r="D2256">
        <v>1336.8455810999999</v>
      </c>
      <c r="E2256">
        <v>1327.0775146000001</v>
      </c>
      <c r="F2256">
        <v>1325.3046875</v>
      </c>
      <c r="G2256">
        <v>80</v>
      </c>
      <c r="H2256">
        <v>78.837997436999999</v>
      </c>
      <c r="I2256">
        <v>50</v>
      </c>
      <c r="J2256">
        <v>49.902633667000003</v>
      </c>
      <c r="K2256">
        <v>2400</v>
      </c>
      <c r="L2256">
        <v>0</v>
      </c>
      <c r="M2256">
        <v>0</v>
      </c>
      <c r="N2256">
        <v>2400</v>
      </c>
    </row>
    <row r="2257" spans="1:14" x14ac:dyDescent="0.25">
      <c r="A2257">
        <v>1462.1755350000001</v>
      </c>
      <c r="B2257" s="1">
        <f>DATE(2014,5,2) + TIME(4,12,46)</f>
        <v>41761.175532407404</v>
      </c>
      <c r="C2257">
        <v>1339.4613036999999</v>
      </c>
      <c r="D2257">
        <v>1336.8693848</v>
      </c>
      <c r="E2257">
        <v>1327.0772704999999</v>
      </c>
      <c r="F2257">
        <v>1325.3043213000001</v>
      </c>
      <c r="G2257">
        <v>80</v>
      </c>
      <c r="H2257">
        <v>78.980979919000006</v>
      </c>
      <c r="I2257">
        <v>50</v>
      </c>
      <c r="J2257">
        <v>49.899097443000002</v>
      </c>
      <c r="K2257">
        <v>2400</v>
      </c>
      <c r="L2257">
        <v>0</v>
      </c>
      <c r="M2257">
        <v>0</v>
      </c>
      <c r="N2257">
        <v>2400</v>
      </c>
    </row>
    <row r="2258" spans="1:14" x14ac:dyDescent="0.25">
      <c r="A2258">
        <v>1462.237044</v>
      </c>
      <c r="B2258" s="1">
        <f>DATE(2014,5,2) + TIME(5,41,20)</f>
        <v>41761.237037037034</v>
      </c>
      <c r="C2258">
        <v>1339.4945068</v>
      </c>
      <c r="D2258">
        <v>1336.8928223</v>
      </c>
      <c r="E2258">
        <v>1327.0770264</v>
      </c>
      <c r="F2258">
        <v>1325.3038329999999</v>
      </c>
      <c r="G2258">
        <v>80</v>
      </c>
      <c r="H2258">
        <v>79.112388611</v>
      </c>
      <c r="I2258">
        <v>50</v>
      </c>
      <c r="J2258">
        <v>49.895416259999998</v>
      </c>
      <c r="K2258">
        <v>2400</v>
      </c>
      <c r="L2258">
        <v>0</v>
      </c>
      <c r="M2258">
        <v>0</v>
      </c>
      <c r="N2258">
        <v>2400</v>
      </c>
    </row>
    <row r="2259" spans="1:14" x14ac:dyDescent="0.25">
      <c r="A2259">
        <v>1462.301968</v>
      </c>
      <c r="B2259" s="1">
        <f>DATE(2014,5,2) + TIME(7,14,50)</f>
        <v>41761.30196759259</v>
      </c>
      <c r="C2259">
        <v>1339.5273437999999</v>
      </c>
      <c r="D2259">
        <v>1336.9158935999999</v>
      </c>
      <c r="E2259">
        <v>1327.0767822</v>
      </c>
      <c r="F2259">
        <v>1325.3034668</v>
      </c>
      <c r="G2259">
        <v>80</v>
      </c>
      <c r="H2259">
        <v>79.232398986999996</v>
      </c>
      <c r="I2259">
        <v>50</v>
      </c>
      <c r="J2259">
        <v>49.891571044999999</v>
      </c>
      <c r="K2259">
        <v>2400</v>
      </c>
      <c r="L2259">
        <v>0</v>
      </c>
      <c r="M2259">
        <v>0</v>
      </c>
      <c r="N2259">
        <v>2400</v>
      </c>
    </row>
    <row r="2260" spans="1:14" x14ac:dyDescent="0.25">
      <c r="A2260">
        <v>1462.37067</v>
      </c>
      <c r="B2260" s="1">
        <f>DATE(2014,5,2) + TIME(8,53,45)</f>
        <v>41761.370659722219</v>
      </c>
      <c r="C2260">
        <v>1339.5594481999999</v>
      </c>
      <c r="D2260">
        <v>1336.9385986</v>
      </c>
      <c r="E2260">
        <v>1327.0764160000001</v>
      </c>
      <c r="F2260">
        <v>1325.3029785000001</v>
      </c>
      <c r="G2260">
        <v>80</v>
      </c>
      <c r="H2260">
        <v>79.341308593999997</v>
      </c>
      <c r="I2260">
        <v>50</v>
      </c>
      <c r="J2260">
        <v>49.887554168999998</v>
      </c>
      <c r="K2260">
        <v>2400</v>
      </c>
      <c r="L2260">
        <v>0</v>
      </c>
      <c r="M2260">
        <v>0</v>
      </c>
      <c r="N2260">
        <v>2400</v>
      </c>
    </row>
    <row r="2261" spans="1:14" x14ac:dyDescent="0.25">
      <c r="A2261">
        <v>1462.4435759999999</v>
      </c>
      <c r="B2261" s="1">
        <f>DATE(2014,5,2) + TIME(10,38,44)</f>
        <v>41761.443564814814</v>
      </c>
      <c r="C2261">
        <v>1339.5909423999999</v>
      </c>
      <c r="D2261">
        <v>1336.9606934000001</v>
      </c>
      <c r="E2261">
        <v>1327.0760498</v>
      </c>
      <c r="F2261">
        <v>1325.3024902</v>
      </c>
      <c r="G2261">
        <v>80</v>
      </c>
      <c r="H2261">
        <v>79.439453125</v>
      </c>
      <c r="I2261">
        <v>50</v>
      </c>
      <c r="J2261">
        <v>49.883335113999998</v>
      </c>
      <c r="K2261">
        <v>2400</v>
      </c>
      <c r="L2261">
        <v>0</v>
      </c>
      <c r="M2261">
        <v>0</v>
      </c>
      <c r="N2261">
        <v>2400</v>
      </c>
    </row>
    <row r="2262" spans="1:14" x14ac:dyDescent="0.25">
      <c r="A2262">
        <v>1462.520708</v>
      </c>
      <c r="B2262" s="1">
        <f>DATE(2014,5,2) + TIME(12,29,49)</f>
        <v>41761.52070601852</v>
      </c>
      <c r="C2262">
        <v>1339.621582</v>
      </c>
      <c r="D2262">
        <v>1336.9824219</v>
      </c>
      <c r="E2262">
        <v>1327.0758057</v>
      </c>
      <c r="F2262">
        <v>1325.3020019999999</v>
      </c>
      <c r="G2262">
        <v>80</v>
      </c>
      <c r="H2262">
        <v>79.526786803999997</v>
      </c>
      <c r="I2262">
        <v>50</v>
      </c>
      <c r="J2262">
        <v>49.878929137999997</v>
      </c>
      <c r="K2262">
        <v>2400</v>
      </c>
      <c r="L2262">
        <v>0</v>
      </c>
      <c r="M2262">
        <v>0</v>
      </c>
      <c r="N2262">
        <v>2400</v>
      </c>
    </row>
    <row r="2263" spans="1:14" x14ac:dyDescent="0.25">
      <c r="A2263">
        <v>1462.6024480000001</v>
      </c>
      <c r="B2263" s="1">
        <f>DATE(2014,5,2) + TIME(14,27,31)</f>
        <v>41761.602442129632</v>
      </c>
      <c r="C2263">
        <v>1339.6513672000001</v>
      </c>
      <c r="D2263">
        <v>1337.003418</v>
      </c>
      <c r="E2263">
        <v>1327.0754394999999</v>
      </c>
      <c r="F2263">
        <v>1325.3015137</v>
      </c>
      <c r="G2263">
        <v>80</v>
      </c>
      <c r="H2263">
        <v>79.603797912999994</v>
      </c>
      <c r="I2263">
        <v>50</v>
      </c>
      <c r="J2263">
        <v>49.874313354000002</v>
      </c>
      <c r="K2263">
        <v>2400</v>
      </c>
      <c r="L2263">
        <v>0</v>
      </c>
      <c r="M2263">
        <v>0</v>
      </c>
      <c r="N2263">
        <v>2400</v>
      </c>
    </row>
    <row r="2264" spans="1:14" x14ac:dyDescent="0.25">
      <c r="A2264">
        <v>1462.688187</v>
      </c>
      <c r="B2264" s="1">
        <f>DATE(2014,5,2) + TIME(16,30,59)</f>
        <v>41761.68818287037</v>
      </c>
      <c r="C2264">
        <v>1339.6801757999999</v>
      </c>
      <c r="D2264">
        <v>1337.0236815999999</v>
      </c>
      <c r="E2264">
        <v>1327.0749512</v>
      </c>
      <c r="F2264">
        <v>1325.3010254000001</v>
      </c>
      <c r="G2264">
        <v>80</v>
      </c>
      <c r="H2264">
        <v>79.670425414999997</v>
      </c>
      <c r="I2264">
        <v>50</v>
      </c>
      <c r="J2264">
        <v>49.869522095000001</v>
      </c>
      <c r="K2264">
        <v>2400</v>
      </c>
      <c r="L2264">
        <v>0</v>
      </c>
      <c r="M2264">
        <v>0</v>
      </c>
      <c r="N2264">
        <v>2400</v>
      </c>
    </row>
    <row r="2265" spans="1:14" x14ac:dyDescent="0.25">
      <c r="A2265">
        <v>1462.774093</v>
      </c>
      <c r="B2265" s="1">
        <f>DATE(2014,5,2) + TIME(18,34,41)</f>
        <v>41761.774085648147</v>
      </c>
      <c r="C2265">
        <v>1339.7077637</v>
      </c>
      <c r="D2265">
        <v>1337.0430908000001</v>
      </c>
      <c r="E2265">
        <v>1327.0745850000001</v>
      </c>
      <c r="F2265">
        <v>1325.3004149999999</v>
      </c>
      <c r="G2265">
        <v>80</v>
      </c>
      <c r="H2265">
        <v>79.725410460999996</v>
      </c>
      <c r="I2265">
        <v>50</v>
      </c>
      <c r="J2265">
        <v>49.864757537999999</v>
      </c>
      <c r="K2265">
        <v>2400</v>
      </c>
      <c r="L2265">
        <v>0</v>
      </c>
      <c r="M2265">
        <v>0</v>
      </c>
      <c r="N2265">
        <v>2400</v>
      </c>
    </row>
    <row r="2266" spans="1:14" x14ac:dyDescent="0.25">
      <c r="A2266">
        <v>1462.8605379999999</v>
      </c>
      <c r="B2266" s="1">
        <f>DATE(2014,5,2) + TIME(20,39,10)</f>
        <v>41761.860532407409</v>
      </c>
      <c r="C2266">
        <v>1339.7325439000001</v>
      </c>
      <c r="D2266">
        <v>1337.0607910000001</v>
      </c>
      <c r="E2266">
        <v>1327.0742187999999</v>
      </c>
      <c r="F2266">
        <v>1325.2999268000001</v>
      </c>
      <c r="G2266">
        <v>80</v>
      </c>
      <c r="H2266">
        <v>79.770912170000003</v>
      </c>
      <c r="I2266">
        <v>50</v>
      </c>
      <c r="J2266">
        <v>49.859992980999998</v>
      </c>
      <c r="K2266">
        <v>2400</v>
      </c>
      <c r="L2266">
        <v>0</v>
      </c>
      <c r="M2266">
        <v>0</v>
      </c>
      <c r="N2266">
        <v>2400</v>
      </c>
    </row>
    <row r="2267" spans="1:14" x14ac:dyDescent="0.25">
      <c r="A2267">
        <v>1462.947756</v>
      </c>
      <c r="B2267" s="1">
        <f>DATE(2014,5,2) + TIME(22,44,46)</f>
        <v>41761.947754629633</v>
      </c>
      <c r="C2267">
        <v>1339.7550048999999</v>
      </c>
      <c r="D2267">
        <v>1337.0767822</v>
      </c>
      <c r="E2267">
        <v>1327.0737305</v>
      </c>
      <c r="F2267">
        <v>1325.2993164</v>
      </c>
      <c r="G2267">
        <v>80</v>
      </c>
      <c r="H2267">
        <v>79.808563231999997</v>
      </c>
      <c r="I2267">
        <v>50</v>
      </c>
      <c r="J2267">
        <v>49.855220795000001</v>
      </c>
      <c r="K2267">
        <v>2400</v>
      </c>
      <c r="L2267">
        <v>0</v>
      </c>
      <c r="M2267">
        <v>0</v>
      </c>
      <c r="N2267">
        <v>2400</v>
      </c>
    </row>
    <row r="2268" spans="1:14" x14ac:dyDescent="0.25">
      <c r="A2268">
        <v>1463.0359659999999</v>
      </c>
      <c r="B2268" s="1">
        <f>DATE(2014,5,3) + TIME(0,51,47)</f>
        <v>41762.035960648151</v>
      </c>
      <c r="C2268">
        <v>1339.7752685999999</v>
      </c>
      <c r="D2268">
        <v>1337.0913086</v>
      </c>
      <c r="E2268">
        <v>1327.0733643000001</v>
      </c>
      <c r="F2268">
        <v>1325.2988281</v>
      </c>
      <c r="G2268">
        <v>80</v>
      </c>
      <c r="H2268">
        <v>79.839721679999997</v>
      </c>
      <c r="I2268">
        <v>50</v>
      </c>
      <c r="J2268">
        <v>49.850425719999997</v>
      </c>
      <c r="K2268">
        <v>2400</v>
      </c>
      <c r="L2268">
        <v>0</v>
      </c>
      <c r="M2268">
        <v>0</v>
      </c>
      <c r="N2268">
        <v>2400</v>
      </c>
    </row>
    <row r="2269" spans="1:14" x14ac:dyDescent="0.25">
      <c r="A2269">
        <v>1463.125364</v>
      </c>
      <c r="B2269" s="1">
        <f>DATE(2014,5,3) + TIME(3,0,31)</f>
        <v>41762.125358796293</v>
      </c>
      <c r="C2269">
        <v>1339.793457</v>
      </c>
      <c r="D2269">
        <v>1337.1044922000001</v>
      </c>
      <c r="E2269">
        <v>1327.0729980000001</v>
      </c>
      <c r="F2269">
        <v>1325.2982178</v>
      </c>
      <c r="G2269">
        <v>80</v>
      </c>
      <c r="H2269">
        <v>79.865478515999996</v>
      </c>
      <c r="I2269">
        <v>50</v>
      </c>
      <c r="J2269">
        <v>49.845603943</v>
      </c>
      <c r="K2269">
        <v>2400</v>
      </c>
      <c r="L2269">
        <v>0</v>
      </c>
      <c r="M2269">
        <v>0</v>
      </c>
      <c r="N2269">
        <v>2400</v>
      </c>
    </row>
    <row r="2270" spans="1:14" x14ac:dyDescent="0.25">
      <c r="A2270">
        <v>1463.216179</v>
      </c>
      <c r="B2270" s="1">
        <f>DATE(2014,5,3) + TIME(5,11,17)</f>
        <v>41762.216168981482</v>
      </c>
      <c r="C2270">
        <v>1339.8098144999999</v>
      </c>
      <c r="D2270">
        <v>1337.1164550999999</v>
      </c>
      <c r="E2270">
        <v>1327.0725098</v>
      </c>
      <c r="F2270">
        <v>1325.2976074000001</v>
      </c>
      <c r="G2270">
        <v>80</v>
      </c>
      <c r="H2270">
        <v>79.886764525999993</v>
      </c>
      <c r="I2270">
        <v>50</v>
      </c>
      <c r="J2270">
        <v>49.840736389</v>
      </c>
      <c r="K2270">
        <v>2400</v>
      </c>
      <c r="L2270">
        <v>0</v>
      </c>
      <c r="M2270">
        <v>0</v>
      </c>
      <c r="N2270">
        <v>2400</v>
      </c>
    </row>
    <row r="2271" spans="1:14" x14ac:dyDescent="0.25">
      <c r="A2271">
        <v>1463.308644</v>
      </c>
      <c r="B2271" s="1">
        <f>DATE(2014,5,3) + TIME(7,24,26)</f>
        <v>41762.308634259258</v>
      </c>
      <c r="C2271">
        <v>1339.8245850000001</v>
      </c>
      <c r="D2271">
        <v>1337.1274414</v>
      </c>
      <c r="E2271">
        <v>1327.0721435999999</v>
      </c>
      <c r="F2271">
        <v>1325.2969971</v>
      </c>
      <c r="G2271">
        <v>80</v>
      </c>
      <c r="H2271">
        <v>79.904319763000004</v>
      </c>
      <c r="I2271">
        <v>50</v>
      </c>
      <c r="J2271">
        <v>49.835815429999997</v>
      </c>
      <c r="K2271">
        <v>2400</v>
      </c>
      <c r="L2271">
        <v>0</v>
      </c>
      <c r="M2271">
        <v>0</v>
      </c>
      <c r="N2271">
        <v>2400</v>
      </c>
    </row>
    <row r="2272" spans="1:14" x14ac:dyDescent="0.25">
      <c r="A2272">
        <v>1463.403002</v>
      </c>
      <c r="B2272" s="1">
        <f>DATE(2014,5,3) + TIME(9,40,19)</f>
        <v>41762.402997685182</v>
      </c>
      <c r="C2272">
        <v>1339.8377685999999</v>
      </c>
      <c r="D2272">
        <v>1337.1374512</v>
      </c>
      <c r="E2272">
        <v>1327.0716553</v>
      </c>
      <c r="F2272">
        <v>1325.2965088000001</v>
      </c>
      <c r="G2272">
        <v>80</v>
      </c>
      <c r="H2272">
        <v>79.918777465999995</v>
      </c>
      <c r="I2272">
        <v>50</v>
      </c>
      <c r="J2272">
        <v>49.830825806</v>
      </c>
      <c r="K2272">
        <v>2400</v>
      </c>
      <c r="L2272">
        <v>0</v>
      </c>
      <c r="M2272">
        <v>0</v>
      </c>
      <c r="N2272">
        <v>2400</v>
      </c>
    </row>
    <row r="2273" spans="1:14" x14ac:dyDescent="0.25">
      <c r="A2273">
        <v>1463.4995160000001</v>
      </c>
      <c r="B2273" s="1">
        <f>DATE(2014,5,3) + TIME(11,59,18)</f>
        <v>41762.499513888892</v>
      </c>
      <c r="C2273">
        <v>1339.8496094</v>
      </c>
      <c r="D2273">
        <v>1337.1464844</v>
      </c>
      <c r="E2273">
        <v>1327.0711670000001</v>
      </c>
      <c r="F2273">
        <v>1325.2958983999999</v>
      </c>
      <c r="G2273">
        <v>80</v>
      </c>
      <c r="H2273">
        <v>79.930656432999996</v>
      </c>
      <c r="I2273">
        <v>50</v>
      </c>
      <c r="J2273">
        <v>49.825763702000003</v>
      </c>
      <c r="K2273">
        <v>2400</v>
      </c>
      <c r="L2273">
        <v>0</v>
      </c>
      <c r="M2273">
        <v>0</v>
      </c>
      <c r="N2273">
        <v>2400</v>
      </c>
    </row>
    <row r="2274" spans="1:14" x14ac:dyDescent="0.25">
      <c r="A2274">
        <v>1463.5985519999999</v>
      </c>
      <c r="B2274" s="1">
        <f>DATE(2014,5,3) + TIME(14,21,54)</f>
        <v>41762.598541666666</v>
      </c>
      <c r="C2274">
        <v>1339.8601074000001</v>
      </c>
      <c r="D2274">
        <v>1337.1546631000001</v>
      </c>
      <c r="E2274">
        <v>1327.0706786999999</v>
      </c>
      <c r="F2274">
        <v>1325.2952881000001</v>
      </c>
      <c r="G2274">
        <v>80</v>
      </c>
      <c r="H2274">
        <v>79.940406799000002</v>
      </c>
      <c r="I2274">
        <v>50</v>
      </c>
      <c r="J2274">
        <v>49.820602417000003</v>
      </c>
      <c r="K2274">
        <v>2400</v>
      </c>
      <c r="L2274">
        <v>0</v>
      </c>
      <c r="M2274">
        <v>0</v>
      </c>
      <c r="N2274">
        <v>2400</v>
      </c>
    </row>
    <row r="2275" spans="1:14" x14ac:dyDescent="0.25">
      <c r="A2275">
        <v>1463.700501</v>
      </c>
      <c r="B2275" s="1">
        <f>DATE(2014,5,3) + TIME(16,48,43)</f>
        <v>41762.700497685182</v>
      </c>
      <c r="C2275">
        <v>1339.8692627</v>
      </c>
      <c r="D2275">
        <v>1337.1621094</v>
      </c>
      <c r="E2275">
        <v>1327.0701904</v>
      </c>
      <c r="F2275">
        <v>1325.2946777</v>
      </c>
      <c r="G2275">
        <v>80</v>
      </c>
      <c r="H2275">
        <v>79.948387146000002</v>
      </c>
      <c r="I2275">
        <v>50</v>
      </c>
      <c r="J2275">
        <v>49.815330504999999</v>
      </c>
      <c r="K2275">
        <v>2400</v>
      </c>
      <c r="L2275">
        <v>0</v>
      </c>
      <c r="M2275">
        <v>0</v>
      </c>
      <c r="N2275">
        <v>2400</v>
      </c>
    </row>
    <row r="2276" spans="1:14" x14ac:dyDescent="0.25">
      <c r="A2276">
        <v>1463.805732</v>
      </c>
      <c r="B2276" s="1">
        <f>DATE(2014,5,3) + TIME(19,20,15)</f>
        <v>41762.80572916667</v>
      </c>
      <c r="C2276">
        <v>1339.8754882999999</v>
      </c>
      <c r="D2276">
        <v>1337.1674805</v>
      </c>
      <c r="E2276">
        <v>1327.0697021000001</v>
      </c>
      <c r="F2276">
        <v>1325.2939452999999</v>
      </c>
      <c r="G2276">
        <v>80</v>
      </c>
      <c r="H2276">
        <v>79.954895019999995</v>
      </c>
      <c r="I2276">
        <v>50</v>
      </c>
      <c r="J2276">
        <v>49.809928894000002</v>
      </c>
      <c r="K2276">
        <v>2400</v>
      </c>
      <c r="L2276">
        <v>0</v>
      </c>
      <c r="M2276">
        <v>0</v>
      </c>
      <c r="N2276">
        <v>2400</v>
      </c>
    </row>
    <row r="2277" spans="1:14" x14ac:dyDescent="0.25">
      <c r="A2277">
        <v>1463.914732</v>
      </c>
      <c r="B2277" s="1">
        <f>DATE(2014,5,3) + TIME(21,57,12)</f>
        <v>41762.914722222224</v>
      </c>
      <c r="C2277">
        <v>1339.8806152</v>
      </c>
      <c r="D2277">
        <v>1337.1723632999999</v>
      </c>
      <c r="E2277">
        <v>1327.0692139</v>
      </c>
      <c r="F2277">
        <v>1325.2933350000001</v>
      </c>
      <c r="G2277">
        <v>80</v>
      </c>
      <c r="H2277">
        <v>79.960189818999993</v>
      </c>
      <c r="I2277">
        <v>50</v>
      </c>
      <c r="J2277">
        <v>49.804374695</v>
      </c>
      <c r="K2277">
        <v>2400</v>
      </c>
      <c r="L2277">
        <v>0</v>
      </c>
      <c r="M2277">
        <v>0</v>
      </c>
      <c r="N2277">
        <v>2400</v>
      </c>
    </row>
    <row r="2278" spans="1:14" x14ac:dyDescent="0.25">
      <c r="A2278">
        <v>1464.0275240000001</v>
      </c>
      <c r="B2278" s="1">
        <f>DATE(2014,5,4) + TIME(0,39,38)</f>
        <v>41763.02752314815</v>
      </c>
      <c r="C2278">
        <v>1339.8850098</v>
      </c>
      <c r="D2278">
        <v>1337.1766356999999</v>
      </c>
      <c r="E2278">
        <v>1327.0687256000001</v>
      </c>
      <c r="F2278">
        <v>1325.2927245999999</v>
      </c>
      <c r="G2278">
        <v>80</v>
      </c>
      <c r="H2278">
        <v>79.964462280000006</v>
      </c>
      <c r="I2278">
        <v>50</v>
      </c>
      <c r="J2278">
        <v>49.798671722000002</v>
      </c>
      <c r="K2278">
        <v>2400</v>
      </c>
      <c r="L2278">
        <v>0</v>
      </c>
      <c r="M2278">
        <v>0</v>
      </c>
      <c r="N2278">
        <v>2400</v>
      </c>
    </row>
    <row r="2279" spans="1:14" x14ac:dyDescent="0.25">
      <c r="A2279">
        <v>1464.142378</v>
      </c>
      <c r="B2279" s="1">
        <f>DATE(2014,5,4) + TIME(3,25,1)</f>
        <v>41763.142372685186</v>
      </c>
      <c r="C2279">
        <v>1339.8884277</v>
      </c>
      <c r="D2279">
        <v>1337.1804199000001</v>
      </c>
      <c r="E2279">
        <v>1327.0681152</v>
      </c>
      <c r="F2279">
        <v>1325.2919922000001</v>
      </c>
      <c r="G2279">
        <v>80</v>
      </c>
      <c r="H2279">
        <v>79.967842102000006</v>
      </c>
      <c r="I2279">
        <v>50</v>
      </c>
      <c r="J2279">
        <v>49.792896270999996</v>
      </c>
      <c r="K2279">
        <v>2400</v>
      </c>
      <c r="L2279">
        <v>0</v>
      </c>
      <c r="M2279">
        <v>0</v>
      </c>
      <c r="N2279">
        <v>2400</v>
      </c>
    </row>
    <row r="2280" spans="1:14" x14ac:dyDescent="0.25">
      <c r="A2280">
        <v>1464.2595369999999</v>
      </c>
      <c r="B2280" s="1">
        <f>DATE(2014,5,4) + TIME(6,13,44)</f>
        <v>41763.25953703704</v>
      </c>
      <c r="C2280">
        <v>1339.8911132999999</v>
      </c>
      <c r="D2280">
        <v>1337.1837158000001</v>
      </c>
      <c r="E2280">
        <v>1327.0676269999999</v>
      </c>
      <c r="F2280">
        <v>1325.2912598</v>
      </c>
      <c r="G2280">
        <v>80</v>
      </c>
      <c r="H2280">
        <v>79.970512389999996</v>
      </c>
      <c r="I2280">
        <v>50</v>
      </c>
      <c r="J2280">
        <v>49.787036895999996</v>
      </c>
      <c r="K2280">
        <v>2400</v>
      </c>
      <c r="L2280">
        <v>0</v>
      </c>
      <c r="M2280">
        <v>0</v>
      </c>
      <c r="N2280">
        <v>2400</v>
      </c>
    </row>
    <row r="2281" spans="1:14" x14ac:dyDescent="0.25">
      <c r="A2281">
        <v>1464.379236</v>
      </c>
      <c r="B2281" s="1">
        <f>DATE(2014,5,4) + TIME(9,6,5)</f>
        <v>41763.379224537035</v>
      </c>
      <c r="C2281">
        <v>1339.8929443</v>
      </c>
      <c r="D2281">
        <v>1337.1865233999999</v>
      </c>
      <c r="E2281">
        <v>1327.0670166</v>
      </c>
      <c r="F2281">
        <v>1325.2905272999999</v>
      </c>
      <c r="G2281">
        <v>80</v>
      </c>
      <c r="H2281">
        <v>79.972625731999997</v>
      </c>
      <c r="I2281">
        <v>50</v>
      </c>
      <c r="J2281">
        <v>49.781085967999999</v>
      </c>
      <c r="K2281">
        <v>2400</v>
      </c>
      <c r="L2281">
        <v>0</v>
      </c>
      <c r="M2281">
        <v>0</v>
      </c>
      <c r="N2281">
        <v>2400</v>
      </c>
    </row>
    <row r="2282" spans="1:14" x14ac:dyDescent="0.25">
      <c r="A2282">
        <v>1464.5017330000001</v>
      </c>
      <c r="B2282" s="1">
        <f>DATE(2014,5,4) + TIME(12,2,29)</f>
        <v>41763.50172453704</v>
      </c>
      <c r="C2282">
        <v>1339.894043</v>
      </c>
      <c r="D2282">
        <v>1337.1888428</v>
      </c>
      <c r="E2282">
        <v>1327.0664062000001</v>
      </c>
      <c r="F2282">
        <v>1325.2897949000001</v>
      </c>
      <c r="G2282">
        <v>80</v>
      </c>
      <c r="H2282">
        <v>79.974288939999994</v>
      </c>
      <c r="I2282">
        <v>50</v>
      </c>
      <c r="J2282">
        <v>49.775032043000003</v>
      </c>
      <c r="K2282">
        <v>2400</v>
      </c>
      <c r="L2282">
        <v>0</v>
      </c>
      <c r="M2282">
        <v>0</v>
      </c>
      <c r="N2282">
        <v>2400</v>
      </c>
    </row>
    <row r="2283" spans="1:14" x14ac:dyDescent="0.25">
      <c r="A2283">
        <v>1464.6273080000001</v>
      </c>
      <c r="B2283" s="1">
        <f>DATE(2014,5,4) + TIME(15,3,19)</f>
        <v>41763.627303240741</v>
      </c>
      <c r="C2283">
        <v>1339.8945312000001</v>
      </c>
      <c r="D2283">
        <v>1337.1907959</v>
      </c>
      <c r="E2283">
        <v>1327.0657959</v>
      </c>
      <c r="F2283">
        <v>1325.2889404</v>
      </c>
      <c r="G2283">
        <v>80</v>
      </c>
      <c r="H2283">
        <v>79.975601196</v>
      </c>
      <c r="I2283">
        <v>50</v>
      </c>
      <c r="J2283">
        <v>49.768859863000003</v>
      </c>
      <c r="K2283">
        <v>2400</v>
      </c>
      <c r="L2283">
        <v>0</v>
      </c>
      <c r="M2283">
        <v>0</v>
      </c>
      <c r="N2283">
        <v>2400</v>
      </c>
    </row>
    <row r="2284" spans="1:14" x14ac:dyDescent="0.25">
      <c r="A2284">
        <v>1464.756269</v>
      </c>
      <c r="B2284" s="1">
        <f>DATE(2014,5,4) + TIME(18,9,1)</f>
        <v>41763.756261574075</v>
      </c>
      <c r="C2284">
        <v>1339.8944091999999</v>
      </c>
      <c r="D2284">
        <v>1337.1923827999999</v>
      </c>
      <c r="E2284">
        <v>1327.0651855000001</v>
      </c>
      <c r="F2284">
        <v>1325.2882079999999</v>
      </c>
      <c r="G2284">
        <v>80</v>
      </c>
      <c r="H2284">
        <v>79.976631165000001</v>
      </c>
      <c r="I2284">
        <v>50</v>
      </c>
      <c r="J2284">
        <v>49.762561798</v>
      </c>
      <c r="K2284">
        <v>2400</v>
      </c>
      <c r="L2284">
        <v>0</v>
      </c>
      <c r="M2284">
        <v>0</v>
      </c>
      <c r="N2284">
        <v>2400</v>
      </c>
    </row>
    <row r="2285" spans="1:14" x14ac:dyDescent="0.25">
      <c r="A2285">
        <v>1464.888956</v>
      </c>
      <c r="B2285" s="1">
        <f>DATE(2014,5,4) + TIME(21,20,5)</f>
        <v>41763.88894675926</v>
      </c>
      <c r="C2285">
        <v>1339.8937988</v>
      </c>
      <c r="D2285">
        <v>1337.1937256000001</v>
      </c>
      <c r="E2285">
        <v>1327.0644531</v>
      </c>
      <c r="F2285">
        <v>1325.2873535000001</v>
      </c>
      <c r="G2285">
        <v>80</v>
      </c>
      <c r="H2285">
        <v>79.977432250999996</v>
      </c>
      <c r="I2285">
        <v>50</v>
      </c>
      <c r="J2285">
        <v>49.756126404</v>
      </c>
      <c r="K2285">
        <v>2400</v>
      </c>
      <c r="L2285">
        <v>0</v>
      </c>
      <c r="M2285">
        <v>0</v>
      </c>
      <c r="N2285">
        <v>2400</v>
      </c>
    </row>
    <row r="2286" spans="1:14" x14ac:dyDescent="0.25">
      <c r="A2286">
        <v>1465.025746</v>
      </c>
      <c r="B2286" s="1">
        <f>DATE(2014,5,5) + TIME(0,37,4)</f>
        <v>41764.025740740741</v>
      </c>
      <c r="C2286">
        <v>1339.8925781</v>
      </c>
      <c r="D2286">
        <v>1337.1947021000001</v>
      </c>
      <c r="E2286">
        <v>1327.0638428</v>
      </c>
      <c r="F2286">
        <v>1325.286499</v>
      </c>
      <c r="G2286">
        <v>80</v>
      </c>
      <c r="H2286">
        <v>79.978065490999995</v>
      </c>
      <c r="I2286">
        <v>50</v>
      </c>
      <c r="J2286">
        <v>49.749530792000002</v>
      </c>
      <c r="K2286">
        <v>2400</v>
      </c>
      <c r="L2286">
        <v>0</v>
      </c>
      <c r="M2286">
        <v>0</v>
      </c>
      <c r="N2286">
        <v>2400</v>
      </c>
    </row>
    <row r="2287" spans="1:14" x14ac:dyDescent="0.25">
      <c r="A2287">
        <v>1465.1671409999999</v>
      </c>
      <c r="B2287" s="1">
        <f>DATE(2014,5,5) + TIME(4,0,40)</f>
        <v>41764.167129629626</v>
      </c>
      <c r="C2287">
        <v>1339.8908690999999</v>
      </c>
      <c r="D2287">
        <v>1337.1953125</v>
      </c>
      <c r="E2287">
        <v>1327.0631103999999</v>
      </c>
      <c r="F2287">
        <v>1325.2856445</v>
      </c>
      <c r="G2287">
        <v>80</v>
      </c>
      <c r="H2287">
        <v>79.978553771999998</v>
      </c>
      <c r="I2287">
        <v>50</v>
      </c>
      <c r="J2287">
        <v>49.742759704999997</v>
      </c>
      <c r="K2287">
        <v>2400</v>
      </c>
      <c r="L2287">
        <v>0</v>
      </c>
      <c r="M2287">
        <v>0</v>
      </c>
      <c r="N2287">
        <v>2400</v>
      </c>
    </row>
    <row r="2288" spans="1:14" x14ac:dyDescent="0.25">
      <c r="A2288">
        <v>1465.3139719999999</v>
      </c>
      <c r="B2288" s="1">
        <f>DATE(2014,5,5) + TIME(7,32,7)</f>
        <v>41764.313969907409</v>
      </c>
      <c r="C2288">
        <v>1339.8885498</v>
      </c>
      <c r="D2288">
        <v>1337.1958007999999</v>
      </c>
      <c r="E2288">
        <v>1327.0623779</v>
      </c>
      <c r="F2288">
        <v>1325.284668</v>
      </c>
      <c r="G2288">
        <v>80</v>
      </c>
      <c r="H2288">
        <v>79.978935242000006</v>
      </c>
      <c r="I2288">
        <v>50</v>
      </c>
      <c r="J2288">
        <v>49.735778809000003</v>
      </c>
      <c r="K2288">
        <v>2400</v>
      </c>
      <c r="L2288">
        <v>0</v>
      </c>
      <c r="M2288">
        <v>0</v>
      </c>
      <c r="N2288">
        <v>2400</v>
      </c>
    </row>
    <row r="2289" spans="1:14" x14ac:dyDescent="0.25">
      <c r="A2289">
        <v>1465.4653000000001</v>
      </c>
      <c r="B2289" s="1">
        <f>DATE(2014,5,5) + TIME(11,10,1)</f>
        <v>41764.465289351851</v>
      </c>
      <c r="C2289">
        <v>1339.8858643000001</v>
      </c>
      <c r="D2289">
        <v>1337.1959228999999</v>
      </c>
      <c r="E2289">
        <v>1327.0616454999999</v>
      </c>
      <c r="F2289">
        <v>1325.2836914</v>
      </c>
      <c r="G2289">
        <v>80</v>
      </c>
      <c r="H2289">
        <v>79.979232788000004</v>
      </c>
      <c r="I2289">
        <v>50</v>
      </c>
      <c r="J2289">
        <v>49.728626251000001</v>
      </c>
      <c r="K2289">
        <v>2400</v>
      </c>
      <c r="L2289">
        <v>0</v>
      </c>
      <c r="M2289">
        <v>0</v>
      </c>
      <c r="N2289">
        <v>2400</v>
      </c>
    </row>
    <row r="2290" spans="1:14" x14ac:dyDescent="0.25">
      <c r="A2290">
        <v>1465.620805</v>
      </c>
      <c r="B2290" s="1">
        <f>DATE(2014,5,5) + TIME(14,53,57)</f>
        <v>41764.620798611111</v>
      </c>
      <c r="C2290">
        <v>1339.8813477000001</v>
      </c>
      <c r="D2290">
        <v>1337.1949463000001</v>
      </c>
      <c r="E2290">
        <v>1327.0607910000001</v>
      </c>
      <c r="F2290">
        <v>1325.2827147999999</v>
      </c>
      <c r="G2290">
        <v>80</v>
      </c>
      <c r="H2290">
        <v>79.979454040999997</v>
      </c>
      <c r="I2290">
        <v>50</v>
      </c>
      <c r="J2290">
        <v>49.721317290999998</v>
      </c>
      <c r="K2290">
        <v>2400</v>
      </c>
      <c r="L2290">
        <v>0</v>
      </c>
      <c r="M2290">
        <v>0</v>
      </c>
      <c r="N2290">
        <v>2400</v>
      </c>
    </row>
    <row r="2291" spans="1:14" x14ac:dyDescent="0.25">
      <c r="A2291">
        <v>1465.781019</v>
      </c>
      <c r="B2291" s="1">
        <f>DATE(2014,5,5) + TIME(18,44,40)</f>
        <v>41764.781018518515</v>
      </c>
      <c r="C2291">
        <v>1339.8765868999999</v>
      </c>
      <c r="D2291">
        <v>1337.1937256000001</v>
      </c>
      <c r="E2291">
        <v>1327.0600586</v>
      </c>
      <c r="F2291">
        <v>1325.2817382999999</v>
      </c>
      <c r="G2291">
        <v>80</v>
      </c>
      <c r="H2291">
        <v>79.979629517000006</v>
      </c>
      <c r="I2291">
        <v>50</v>
      </c>
      <c r="J2291">
        <v>49.713832855</v>
      </c>
      <c r="K2291">
        <v>2400</v>
      </c>
      <c r="L2291">
        <v>0</v>
      </c>
      <c r="M2291">
        <v>0</v>
      </c>
      <c r="N2291">
        <v>2400</v>
      </c>
    </row>
    <row r="2292" spans="1:14" x14ac:dyDescent="0.25">
      <c r="A2292">
        <v>1465.9463940000001</v>
      </c>
      <c r="B2292" s="1">
        <f>DATE(2014,5,5) + TIME(22,42,48)</f>
        <v>41764.946388888886</v>
      </c>
      <c r="C2292">
        <v>1339.8714600000001</v>
      </c>
      <c r="D2292">
        <v>1337.1925048999999</v>
      </c>
      <c r="E2292">
        <v>1327.0592041</v>
      </c>
      <c r="F2292">
        <v>1325.2806396000001</v>
      </c>
      <c r="G2292">
        <v>80</v>
      </c>
      <c r="H2292">
        <v>79.979751586999996</v>
      </c>
      <c r="I2292">
        <v>50</v>
      </c>
      <c r="J2292">
        <v>49.706157683999997</v>
      </c>
      <c r="K2292">
        <v>2400</v>
      </c>
      <c r="L2292">
        <v>0</v>
      </c>
      <c r="M2292">
        <v>0</v>
      </c>
      <c r="N2292">
        <v>2400</v>
      </c>
    </row>
    <row r="2293" spans="1:14" x14ac:dyDescent="0.25">
      <c r="A2293">
        <v>1466.1174390000001</v>
      </c>
      <c r="B2293" s="1">
        <f>DATE(2014,5,6) + TIME(2,49,6)</f>
        <v>41765.117430555554</v>
      </c>
      <c r="C2293">
        <v>1339.8660889</v>
      </c>
      <c r="D2293">
        <v>1337.1911620999999</v>
      </c>
      <c r="E2293">
        <v>1327.0582274999999</v>
      </c>
      <c r="F2293">
        <v>1325.2795410000001</v>
      </c>
      <c r="G2293">
        <v>80</v>
      </c>
      <c r="H2293">
        <v>79.979850768999995</v>
      </c>
      <c r="I2293">
        <v>50</v>
      </c>
      <c r="J2293">
        <v>49.698268890000001</v>
      </c>
      <c r="K2293">
        <v>2400</v>
      </c>
      <c r="L2293">
        <v>0</v>
      </c>
      <c r="M2293">
        <v>0</v>
      </c>
      <c r="N2293">
        <v>2400</v>
      </c>
    </row>
    <row r="2294" spans="1:14" x14ac:dyDescent="0.25">
      <c r="A2294">
        <v>1466.2941679999999</v>
      </c>
      <c r="B2294" s="1">
        <f>DATE(2014,5,6) + TIME(7,3,36)</f>
        <v>41765.294166666667</v>
      </c>
      <c r="C2294">
        <v>1339.8604736</v>
      </c>
      <c r="D2294">
        <v>1337.1896973</v>
      </c>
      <c r="E2294">
        <v>1327.0573730000001</v>
      </c>
      <c r="F2294">
        <v>1325.2783202999999</v>
      </c>
      <c r="G2294">
        <v>80</v>
      </c>
      <c r="H2294">
        <v>79.979919433999996</v>
      </c>
      <c r="I2294">
        <v>50</v>
      </c>
      <c r="J2294">
        <v>49.690166472999998</v>
      </c>
      <c r="K2294">
        <v>2400</v>
      </c>
      <c r="L2294">
        <v>0</v>
      </c>
      <c r="M2294">
        <v>0</v>
      </c>
      <c r="N2294">
        <v>2400</v>
      </c>
    </row>
    <row r="2295" spans="1:14" x14ac:dyDescent="0.25">
      <c r="A2295">
        <v>1466.473686</v>
      </c>
      <c r="B2295" s="1">
        <f>DATE(2014,5,6) + TIME(11,22,6)</f>
        <v>41765.473680555559</v>
      </c>
      <c r="C2295">
        <v>1339.8547363</v>
      </c>
      <c r="D2295">
        <v>1337.1881103999999</v>
      </c>
      <c r="E2295">
        <v>1327.0563964999999</v>
      </c>
      <c r="F2295">
        <v>1325.2770995999999</v>
      </c>
      <c r="G2295">
        <v>80</v>
      </c>
      <c r="H2295">
        <v>79.979965210000003</v>
      </c>
      <c r="I2295">
        <v>50</v>
      </c>
      <c r="J2295">
        <v>49.681968689000001</v>
      </c>
      <c r="K2295">
        <v>2400</v>
      </c>
      <c r="L2295">
        <v>0</v>
      </c>
      <c r="M2295">
        <v>0</v>
      </c>
      <c r="N2295">
        <v>2400</v>
      </c>
    </row>
    <row r="2296" spans="1:14" x14ac:dyDescent="0.25">
      <c r="A2296">
        <v>1466.65544</v>
      </c>
      <c r="B2296" s="1">
        <f>DATE(2014,5,6) + TIME(15,43,49)</f>
        <v>41765.655428240738</v>
      </c>
      <c r="C2296">
        <v>1339.8487548999999</v>
      </c>
      <c r="D2296">
        <v>1337.1864014</v>
      </c>
      <c r="E2296">
        <v>1327.0554199000001</v>
      </c>
      <c r="F2296">
        <v>1325.2758789</v>
      </c>
      <c r="G2296">
        <v>80</v>
      </c>
      <c r="H2296">
        <v>79.979995728000006</v>
      </c>
      <c r="I2296">
        <v>50</v>
      </c>
      <c r="J2296">
        <v>49.673690796000002</v>
      </c>
      <c r="K2296">
        <v>2400</v>
      </c>
      <c r="L2296">
        <v>0</v>
      </c>
      <c r="M2296">
        <v>0</v>
      </c>
      <c r="N2296">
        <v>2400</v>
      </c>
    </row>
    <row r="2297" spans="1:14" x14ac:dyDescent="0.25">
      <c r="A2297">
        <v>1466.8399260000001</v>
      </c>
      <c r="B2297" s="1">
        <f>DATE(2014,5,6) + TIME(20,9,29)</f>
        <v>41765.839918981481</v>
      </c>
      <c r="C2297">
        <v>1339.8427733999999</v>
      </c>
      <c r="D2297">
        <v>1337.1846923999999</v>
      </c>
      <c r="E2297">
        <v>1327.0543213000001</v>
      </c>
      <c r="F2297">
        <v>1325.2745361</v>
      </c>
      <c r="G2297">
        <v>80</v>
      </c>
      <c r="H2297">
        <v>79.980018615999995</v>
      </c>
      <c r="I2297">
        <v>50</v>
      </c>
      <c r="J2297">
        <v>49.665325164999999</v>
      </c>
      <c r="K2297">
        <v>2400</v>
      </c>
      <c r="L2297">
        <v>0</v>
      </c>
      <c r="M2297">
        <v>0</v>
      </c>
      <c r="N2297">
        <v>2400</v>
      </c>
    </row>
    <row r="2298" spans="1:14" x14ac:dyDescent="0.25">
      <c r="A2298">
        <v>1467.0276550000001</v>
      </c>
      <c r="B2298" s="1">
        <f>DATE(2014,5,7) + TIME(0,39,49)</f>
        <v>41766.027650462966</v>
      </c>
      <c r="C2298">
        <v>1339.8367920000001</v>
      </c>
      <c r="D2298">
        <v>1337.1829834</v>
      </c>
      <c r="E2298">
        <v>1327.0533447</v>
      </c>
      <c r="F2298">
        <v>1325.2731934000001</v>
      </c>
      <c r="G2298">
        <v>80</v>
      </c>
      <c r="H2298">
        <v>79.980026245000005</v>
      </c>
      <c r="I2298">
        <v>50</v>
      </c>
      <c r="J2298">
        <v>49.656852721999996</v>
      </c>
      <c r="K2298">
        <v>2400</v>
      </c>
      <c r="L2298">
        <v>0</v>
      </c>
      <c r="M2298">
        <v>0</v>
      </c>
      <c r="N2298">
        <v>2400</v>
      </c>
    </row>
    <row r="2299" spans="1:14" x14ac:dyDescent="0.25">
      <c r="A2299">
        <v>1467.2191439999999</v>
      </c>
      <c r="B2299" s="1">
        <f>DATE(2014,5,7) + TIME(5,15,34)</f>
        <v>41766.219143518516</v>
      </c>
      <c r="C2299">
        <v>1339.8306885</v>
      </c>
      <c r="D2299">
        <v>1337.1812743999999</v>
      </c>
      <c r="E2299">
        <v>1327.0522461</v>
      </c>
      <c r="F2299">
        <v>1325.2718506000001</v>
      </c>
      <c r="G2299">
        <v>80</v>
      </c>
      <c r="H2299">
        <v>79.980026245000005</v>
      </c>
      <c r="I2299">
        <v>50</v>
      </c>
      <c r="J2299">
        <v>49.648254395000002</v>
      </c>
      <c r="K2299">
        <v>2400</v>
      </c>
      <c r="L2299">
        <v>0</v>
      </c>
      <c r="M2299">
        <v>0</v>
      </c>
      <c r="N2299">
        <v>2400</v>
      </c>
    </row>
    <row r="2300" spans="1:14" x14ac:dyDescent="0.25">
      <c r="A2300">
        <v>1467.414943</v>
      </c>
      <c r="B2300" s="1">
        <f>DATE(2014,5,7) + TIME(9,57,31)</f>
        <v>41766.414942129632</v>
      </c>
      <c r="C2300">
        <v>1339.8244629000001</v>
      </c>
      <c r="D2300">
        <v>1337.1795654</v>
      </c>
      <c r="E2300">
        <v>1327.0511475000001</v>
      </c>
      <c r="F2300">
        <v>1325.2703856999999</v>
      </c>
      <c r="G2300">
        <v>80</v>
      </c>
      <c r="H2300">
        <v>79.980026245000005</v>
      </c>
      <c r="I2300">
        <v>50</v>
      </c>
      <c r="J2300">
        <v>49.639514923</v>
      </c>
      <c r="K2300">
        <v>2400</v>
      </c>
      <c r="L2300">
        <v>0</v>
      </c>
      <c r="M2300">
        <v>0</v>
      </c>
      <c r="N2300">
        <v>2400</v>
      </c>
    </row>
    <row r="2301" spans="1:14" x14ac:dyDescent="0.25">
      <c r="A2301">
        <v>1467.6156450000001</v>
      </c>
      <c r="B2301" s="1">
        <f>DATE(2014,5,7) + TIME(14,46,31)</f>
        <v>41766.615636574075</v>
      </c>
      <c r="C2301">
        <v>1339.8182373</v>
      </c>
      <c r="D2301">
        <v>1337.1777344</v>
      </c>
      <c r="E2301">
        <v>1327.0500488</v>
      </c>
      <c r="F2301">
        <v>1325.2689209</v>
      </c>
      <c r="G2301">
        <v>80</v>
      </c>
      <c r="H2301">
        <v>79.980010985999996</v>
      </c>
      <c r="I2301">
        <v>50</v>
      </c>
      <c r="J2301">
        <v>49.630607605000002</v>
      </c>
      <c r="K2301">
        <v>2400</v>
      </c>
      <c r="L2301">
        <v>0</v>
      </c>
      <c r="M2301">
        <v>0</v>
      </c>
      <c r="N2301">
        <v>2400</v>
      </c>
    </row>
    <row r="2302" spans="1:14" x14ac:dyDescent="0.25">
      <c r="A2302">
        <v>1467.8225660000001</v>
      </c>
      <c r="B2302" s="1">
        <f>DATE(2014,5,7) + TIME(19,44,29)</f>
        <v>41766.822557870371</v>
      </c>
      <c r="C2302">
        <v>1339.8117675999999</v>
      </c>
      <c r="D2302">
        <v>1337.1759033000001</v>
      </c>
      <c r="E2302">
        <v>1327.0488281</v>
      </c>
      <c r="F2302">
        <v>1325.2674560999999</v>
      </c>
      <c r="G2302">
        <v>80</v>
      </c>
      <c r="H2302">
        <v>79.979995728000006</v>
      </c>
      <c r="I2302">
        <v>50</v>
      </c>
      <c r="J2302">
        <v>49.621494292999998</v>
      </c>
      <c r="K2302">
        <v>2400</v>
      </c>
      <c r="L2302">
        <v>0</v>
      </c>
      <c r="M2302">
        <v>0</v>
      </c>
      <c r="N2302">
        <v>2400</v>
      </c>
    </row>
    <row r="2303" spans="1:14" x14ac:dyDescent="0.25">
      <c r="A2303">
        <v>1468.035783</v>
      </c>
      <c r="B2303" s="1">
        <f>DATE(2014,5,8) + TIME(0,51,31)</f>
        <v>41767.035775462966</v>
      </c>
      <c r="C2303">
        <v>1339.8052978999999</v>
      </c>
      <c r="D2303">
        <v>1337.1740723</v>
      </c>
      <c r="E2303">
        <v>1327.0476074000001</v>
      </c>
      <c r="F2303">
        <v>1325.2658690999999</v>
      </c>
      <c r="G2303">
        <v>80</v>
      </c>
      <c r="H2303">
        <v>79.979980468999997</v>
      </c>
      <c r="I2303">
        <v>50</v>
      </c>
      <c r="J2303">
        <v>49.612167358000001</v>
      </c>
      <c r="K2303">
        <v>2400</v>
      </c>
      <c r="L2303">
        <v>0</v>
      </c>
      <c r="M2303">
        <v>0</v>
      </c>
      <c r="N2303">
        <v>2400</v>
      </c>
    </row>
    <row r="2304" spans="1:14" x14ac:dyDescent="0.25">
      <c r="A2304">
        <v>1468.251544</v>
      </c>
      <c r="B2304" s="1">
        <f>DATE(2014,5,8) + TIME(6,2,13)</f>
        <v>41767.251539351855</v>
      </c>
      <c r="C2304">
        <v>1339.7987060999999</v>
      </c>
      <c r="D2304">
        <v>1337.1721190999999</v>
      </c>
      <c r="E2304">
        <v>1327.0462646000001</v>
      </c>
      <c r="F2304">
        <v>1325.2641602000001</v>
      </c>
      <c r="G2304">
        <v>80</v>
      </c>
      <c r="H2304">
        <v>79.979957580999994</v>
      </c>
      <c r="I2304">
        <v>50</v>
      </c>
      <c r="J2304">
        <v>49.602760314999998</v>
      </c>
      <c r="K2304">
        <v>2400</v>
      </c>
      <c r="L2304">
        <v>0</v>
      </c>
      <c r="M2304">
        <v>0</v>
      </c>
      <c r="N2304">
        <v>2400</v>
      </c>
    </row>
    <row r="2305" spans="1:14" x14ac:dyDescent="0.25">
      <c r="A2305">
        <v>1468.4703870000001</v>
      </c>
      <c r="B2305" s="1">
        <f>DATE(2014,5,8) + TIME(11,17,21)</f>
        <v>41767.470381944448</v>
      </c>
      <c r="C2305">
        <v>1339.7922363</v>
      </c>
      <c r="D2305">
        <v>1337.1702881000001</v>
      </c>
      <c r="E2305">
        <v>1327.0450439000001</v>
      </c>
      <c r="F2305">
        <v>1325.2624512</v>
      </c>
      <c r="G2305">
        <v>80</v>
      </c>
      <c r="H2305">
        <v>79.979934692</v>
      </c>
      <c r="I2305">
        <v>50</v>
      </c>
      <c r="J2305">
        <v>49.593257903999998</v>
      </c>
      <c r="K2305">
        <v>2400</v>
      </c>
      <c r="L2305">
        <v>0</v>
      </c>
      <c r="M2305">
        <v>0</v>
      </c>
      <c r="N2305">
        <v>2400</v>
      </c>
    </row>
    <row r="2306" spans="1:14" x14ac:dyDescent="0.25">
      <c r="A2306">
        <v>1468.6928379999999</v>
      </c>
      <c r="B2306" s="1">
        <f>DATE(2014,5,8) + TIME(16,37,41)</f>
        <v>41767.692835648151</v>
      </c>
      <c r="C2306">
        <v>1339.7856445</v>
      </c>
      <c r="D2306">
        <v>1337.168457</v>
      </c>
      <c r="E2306">
        <v>1327.0437012</v>
      </c>
      <c r="F2306">
        <v>1325.2607422000001</v>
      </c>
      <c r="G2306">
        <v>80</v>
      </c>
      <c r="H2306">
        <v>79.979911803999997</v>
      </c>
      <c r="I2306">
        <v>50</v>
      </c>
      <c r="J2306">
        <v>49.583644866999997</v>
      </c>
      <c r="K2306">
        <v>2400</v>
      </c>
      <c r="L2306">
        <v>0</v>
      </c>
      <c r="M2306">
        <v>0</v>
      </c>
      <c r="N2306">
        <v>2400</v>
      </c>
    </row>
    <row r="2307" spans="1:14" x14ac:dyDescent="0.25">
      <c r="A2307">
        <v>1468.919451</v>
      </c>
      <c r="B2307" s="1">
        <f>DATE(2014,5,8) + TIME(22,4,0)</f>
        <v>41767.919444444444</v>
      </c>
      <c r="C2307">
        <v>1339.7790527</v>
      </c>
      <c r="D2307">
        <v>1337.166626</v>
      </c>
      <c r="E2307">
        <v>1327.0422363</v>
      </c>
      <c r="F2307">
        <v>1325.2589111</v>
      </c>
      <c r="G2307">
        <v>80</v>
      </c>
      <c r="H2307">
        <v>79.979881286999998</v>
      </c>
      <c r="I2307">
        <v>50</v>
      </c>
      <c r="J2307">
        <v>49.573909759999999</v>
      </c>
      <c r="K2307">
        <v>2400</v>
      </c>
      <c r="L2307">
        <v>0</v>
      </c>
      <c r="M2307">
        <v>0</v>
      </c>
      <c r="N2307">
        <v>2400</v>
      </c>
    </row>
    <row r="2308" spans="1:14" x14ac:dyDescent="0.25">
      <c r="A2308">
        <v>1469.150817</v>
      </c>
      <c r="B2308" s="1">
        <f>DATE(2014,5,9) + TIME(3,37,10)</f>
        <v>41768.150810185187</v>
      </c>
      <c r="C2308">
        <v>1339.7725829999999</v>
      </c>
      <c r="D2308">
        <v>1337.1647949000001</v>
      </c>
      <c r="E2308">
        <v>1327.0407714999999</v>
      </c>
      <c r="F2308">
        <v>1325.2569579999999</v>
      </c>
      <c r="G2308">
        <v>80</v>
      </c>
      <c r="H2308">
        <v>79.979850768999995</v>
      </c>
      <c r="I2308">
        <v>50</v>
      </c>
      <c r="J2308">
        <v>49.564029693999998</v>
      </c>
      <c r="K2308">
        <v>2400</v>
      </c>
      <c r="L2308">
        <v>0</v>
      </c>
      <c r="M2308">
        <v>0</v>
      </c>
      <c r="N2308">
        <v>2400</v>
      </c>
    </row>
    <row r="2309" spans="1:14" x14ac:dyDescent="0.25">
      <c r="A2309">
        <v>1469.3875700000001</v>
      </c>
      <c r="B2309" s="1">
        <f>DATE(2014,5,9) + TIME(9,18,6)</f>
        <v>41768.387569444443</v>
      </c>
      <c r="C2309">
        <v>1339.7659911999999</v>
      </c>
      <c r="D2309">
        <v>1337.1629639</v>
      </c>
      <c r="E2309">
        <v>1327.0393065999999</v>
      </c>
      <c r="F2309">
        <v>1325.2550048999999</v>
      </c>
      <c r="G2309">
        <v>80</v>
      </c>
      <c r="H2309">
        <v>79.979827881000006</v>
      </c>
      <c r="I2309">
        <v>50</v>
      </c>
      <c r="J2309">
        <v>49.553981780999997</v>
      </c>
      <c r="K2309">
        <v>2400</v>
      </c>
      <c r="L2309">
        <v>0</v>
      </c>
      <c r="M2309">
        <v>0</v>
      </c>
      <c r="N2309">
        <v>2400</v>
      </c>
    </row>
    <row r="2310" spans="1:14" x14ac:dyDescent="0.25">
      <c r="A2310">
        <v>1469.6304009999999</v>
      </c>
      <c r="B2310" s="1">
        <f>DATE(2014,5,9) + TIME(15,7,46)</f>
        <v>41768.630393518521</v>
      </c>
      <c r="C2310">
        <v>1339.7593993999999</v>
      </c>
      <c r="D2310">
        <v>1337.1611327999999</v>
      </c>
      <c r="E2310">
        <v>1327.0378418</v>
      </c>
      <c r="F2310">
        <v>1325.2530518000001</v>
      </c>
      <c r="G2310">
        <v>80</v>
      </c>
      <c r="H2310">
        <v>79.979789733999993</v>
      </c>
      <c r="I2310">
        <v>50</v>
      </c>
      <c r="J2310">
        <v>49.543750762999998</v>
      </c>
      <c r="K2310">
        <v>2400</v>
      </c>
      <c r="L2310">
        <v>0</v>
      </c>
      <c r="M2310">
        <v>0</v>
      </c>
      <c r="N2310">
        <v>2400</v>
      </c>
    </row>
    <row r="2311" spans="1:14" x14ac:dyDescent="0.25">
      <c r="A2311">
        <v>1469.87844</v>
      </c>
      <c r="B2311" s="1">
        <f>DATE(2014,5,9) + TIME(21,4,57)</f>
        <v>41768.878437500003</v>
      </c>
      <c r="C2311">
        <v>1339.7528076000001</v>
      </c>
      <c r="D2311">
        <v>1337.1593018000001</v>
      </c>
      <c r="E2311">
        <v>1327.0362548999999</v>
      </c>
      <c r="F2311">
        <v>1325.2508545000001</v>
      </c>
      <c r="G2311">
        <v>80</v>
      </c>
      <c r="H2311">
        <v>79.979759216000005</v>
      </c>
      <c r="I2311">
        <v>50</v>
      </c>
      <c r="J2311">
        <v>49.533359527999998</v>
      </c>
      <c r="K2311">
        <v>2400</v>
      </c>
      <c r="L2311">
        <v>0</v>
      </c>
      <c r="M2311">
        <v>0</v>
      </c>
      <c r="N2311">
        <v>2400</v>
      </c>
    </row>
    <row r="2312" spans="1:14" x14ac:dyDescent="0.25">
      <c r="A2312">
        <v>1470.130572</v>
      </c>
      <c r="B2312" s="1">
        <f>DATE(2014,5,10) + TIME(3,8,1)</f>
        <v>41769.130567129629</v>
      </c>
      <c r="C2312">
        <v>1339.7460937999999</v>
      </c>
      <c r="D2312">
        <v>1337.1574707</v>
      </c>
      <c r="E2312">
        <v>1327.0345459</v>
      </c>
      <c r="F2312">
        <v>1325.2487793</v>
      </c>
      <c r="G2312">
        <v>80</v>
      </c>
      <c r="H2312">
        <v>79.979728699000006</v>
      </c>
      <c r="I2312">
        <v>50</v>
      </c>
      <c r="J2312">
        <v>49.522850036999998</v>
      </c>
      <c r="K2312">
        <v>2400</v>
      </c>
      <c r="L2312">
        <v>0</v>
      </c>
      <c r="M2312">
        <v>0</v>
      </c>
      <c r="N2312">
        <v>2400</v>
      </c>
    </row>
    <row r="2313" spans="1:14" x14ac:dyDescent="0.25">
      <c r="A2313">
        <v>1470.3874069999999</v>
      </c>
      <c r="B2313" s="1">
        <f>DATE(2014,5,10) + TIME(9,17,51)</f>
        <v>41769.387395833335</v>
      </c>
      <c r="C2313">
        <v>1339.7395019999999</v>
      </c>
      <c r="D2313">
        <v>1337.1556396000001</v>
      </c>
      <c r="E2313">
        <v>1327.0328368999999</v>
      </c>
      <c r="F2313">
        <v>1325.2464600000001</v>
      </c>
      <c r="G2313">
        <v>80</v>
      </c>
      <c r="H2313">
        <v>79.979690551999994</v>
      </c>
      <c r="I2313">
        <v>50</v>
      </c>
      <c r="J2313">
        <v>49.512203217</v>
      </c>
      <c r="K2313">
        <v>2400</v>
      </c>
      <c r="L2313">
        <v>0</v>
      </c>
      <c r="M2313">
        <v>0</v>
      </c>
      <c r="N2313">
        <v>2400</v>
      </c>
    </row>
    <row r="2314" spans="1:14" x14ac:dyDescent="0.25">
      <c r="A2314">
        <v>1470.6495609999999</v>
      </c>
      <c r="B2314" s="1">
        <f>DATE(2014,5,10) + TIME(15,35,22)</f>
        <v>41769.649560185186</v>
      </c>
      <c r="C2314">
        <v>1339.7329102000001</v>
      </c>
      <c r="D2314">
        <v>1337.1539307</v>
      </c>
      <c r="E2314">
        <v>1327.0311279</v>
      </c>
      <c r="F2314">
        <v>1325.2441406</v>
      </c>
      <c r="G2314">
        <v>80</v>
      </c>
      <c r="H2314">
        <v>79.979660034000005</v>
      </c>
      <c r="I2314">
        <v>50</v>
      </c>
      <c r="J2314">
        <v>49.501403809000003</v>
      </c>
      <c r="K2314">
        <v>2400</v>
      </c>
      <c r="L2314">
        <v>0</v>
      </c>
      <c r="M2314">
        <v>0</v>
      </c>
      <c r="N2314">
        <v>2400</v>
      </c>
    </row>
    <row r="2315" spans="1:14" x14ac:dyDescent="0.25">
      <c r="A2315">
        <v>1470.917684</v>
      </c>
      <c r="B2315" s="1">
        <f>DATE(2014,5,10) + TIME(22,1,27)</f>
        <v>41769.917673611111</v>
      </c>
      <c r="C2315">
        <v>1339.7263184000001</v>
      </c>
      <c r="D2315">
        <v>1337.1520995999999</v>
      </c>
      <c r="E2315">
        <v>1327.0292969</v>
      </c>
      <c r="F2315">
        <v>1325.2416992000001</v>
      </c>
      <c r="G2315">
        <v>80</v>
      </c>
      <c r="H2315">
        <v>79.979621886999993</v>
      </c>
      <c r="I2315">
        <v>50</v>
      </c>
      <c r="J2315">
        <v>49.490428925000003</v>
      </c>
      <c r="K2315">
        <v>2400</v>
      </c>
      <c r="L2315">
        <v>0</v>
      </c>
      <c r="M2315">
        <v>0</v>
      </c>
      <c r="N2315">
        <v>2400</v>
      </c>
    </row>
    <row r="2316" spans="1:14" x14ac:dyDescent="0.25">
      <c r="A2316">
        <v>1471.1924939999999</v>
      </c>
      <c r="B2316" s="1">
        <f>DATE(2014,5,11) + TIME(4,37,11)</f>
        <v>41770.192488425928</v>
      </c>
      <c r="C2316">
        <v>1339.7197266000001</v>
      </c>
      <c r="D2316">
        <v>1337.1503906</v>
      </c>
      <c r="E2316">
        <v>1327.0273437999999</v>
      </c>
      <c r="F2316">
        <v>1325.2392577999999</v>
      </c>
      <c r="G2316">
        <v>80</v>
      </c>
      <c r="H2316">
        <v>79.979591369999994</v>
      </c>
      <c r="I2316">
        <v>50</v>
      </c>
      <c r="J2316">
        <v>49.479263306</v>
      </c>
      <c r="K2316">
        <v>2400</v>
      </c>
      <c r="L2316">
        <v>0</v>
      </c>
      <c r="M2316">
        <v>0</v>
      </c>
      <c r="N2316">
        <v>2400</v>
      </c>
    </row>
    <row r="2317" spans="1:14" x14ac:dyDescent="0.25">
      <c r="A2317">
        <v>1471.4747890000001</v>
      </c>
      <c r="B2317" s="1">
        <f>DATE(2014,5,11) + TIME(11,23,41)</f>
        <v>41770.474780092591</v>
      </c>
      <c r="C2317">
        <v>1339.7131348</v>
      </c>
      <c r="D2317">
        <v>1337.1486815999999</v>
      </c>
      <c r="E2317">
        <v>1327.0253906</v>
      </c>
      <c r="F2317">
        <v>1325.2365723</v>
      </c>
      <c r="G2317">
        <v>80</v>
      </c>
      <c r="H2317">
        <v>79.979553222999996</v>
      </c>
      <c r="I2317">
        <v>50</v>
      </c>
      <c r="J2317">
        <v>49.467876433999997</v>
      </c>
      <c r="K2317">
        <v>2400</v>
      </c>
      <c r="L2317">
        <v>0</v>
      </c>
      <c r="M2317">
        <v>0</v>
      </c>
      <c r="N2317">
        <v>2400</v>
      </c>
    </row>
    <row r="2318" spans="1:14" x14ac:dyDescent="0.25">
      <c r="A2318">
        <v>1471.7654560000001</v>
      </c>
      <c r="B2318" s="1">
        <f>DATE(2014,5,11) + TIME(18,22,15)</f>
        <v>41770.765451388892</v>
      </c>
      <c r="C2318">
        <v>1339.7064209</v>
      </c>
      <c r="D2318">
        <v>1337.1469727000001</v>
      </c>
      <c r="E2318">
        <v>1327.0234375</v>
      </c>
      <c r="F2318">
        <v>1325.2338867000001</v>
      </c>
      <c r="G2318">
        <v>80</v>
      </c>
      <c r="H2318">
        <v>79.979515075999998</v>
      </c>
      <c r="I2318">
        <v>50</v>
      </c>
      <c r="J2318">
        <v>49.456245422000002</v>
      </c>
      <c r="K2318">
        <v>2400</v>
      </c>
      <c r="L2318">
        <v>0</v>
      </c>
      <c r="M2318">
        <v>0</v>
      </c>
      <c r="N2318">
        <v>2400</v>
      </c>
    </row>
    <row r="2319" spans="1:14" x14ac:dyDescent="0.25">
      <c r="A2319">
        <v>1472.065908</v>
      </c>
      <c r="B2319" s="1">
        <f>DATE(2014,5,12) + TIME(1,34,54)</f>
        <v>41771.06590277778</v>
      </c>
      <c r="C2319">
        <v>1339.699707</v>
      </c>
      <c r="D2319">
        <v>1337.1452637</v>
      </c>
      <c r="E2319">
        <v>1327.0212402</v>
      </c>
      <c r="F2319">
        <v>1325.230957</v>
      </c>
      <c r="G2319">
        <v>80</v>
      </c>
      <c r="H2319">
        <v>79.979476929</v>
      </c>
      <c r="I2319">
        <v>50</v>
      </c>
      <c r="J2319">
        <v>49.444320679</v>
      </c>
      <c r="K2319">
        <v>2400</v>
      </c>
      <c r="L2319">
        <v>0</v>
      </c>
      <c r="M2319">
        <v>0</v>
      </c>
      <c r="N2319">
        <v>2400</v>
      </c>
    </row>
    <row r="2320" spans="1:14" x14ac:dyDescent="0.25">
      <c r="A2320">
        <v>1472.374554</v>
      </c>
      <c r="B2320" s="1">
        <f>DATE(2014,5,12) + TIME(8,59,21)</f>
        <v>41771.374548611115</v>
      </c>
      <c r="C2320">
        <v>1339.6929932</v>
      </c>
      <c r="D2320">
        <v>1337.1435547000001</v>
      </c>
      <c r="E2320">
        <v>1327.019043</v>
      </c>
      <c r="F2320">
        <v>1325.2280272999999</v>
      </c>
      <c r="G2320">
        <v>80</v>
      </c>
      <c r="H2320">
        <v>79.979438782000003</v>
      </c>
      <c r="I2320">
        <v>50</v>
      </c>
      <c r="J2320">
        <v>49.432155608999999</v>
      </c>
      <c r="K2320">
        <v>2400</v>
      </c>
      <c r="L2320">
        <v>0</v>
      </c>
      <c r="M2320">
        <v>0</v>
      </c>
      <c r="N2320">
        <v>2400</v>
      </c>
    </row>
    <row r="2321" spans="1:14" x14ac:dyDescent="0.25">
      <c r="A2321">
        <v>1472.68931</v>
      </c>
      <c r="B2321" s="1">
        <f>DATE(2014,5,12) + TIME(16,32,36)</f>
        <v>41771.689305555556</v>
      </c>
      <c r="C2321">
        <v>1339.6861572</v>
      </c>
      <c r="D2321">
        <v>1337.1418457</v>
      </c>
      <c r="E2321">
        <v>1327.0167236</v>
      </c>
      <c r="F2321">
        <v>1325.2248535000001</v>
      </c>
      <c r="G2321">
        <v>80</v>
      </c>
      <c r="H2321">
        <v>79.979400635000005</v>
      </c>
      <c r="I2321">
        <v>50</v>
      </c>
      <c r="J2321">
        <v>49.419807433999999</v>
      </c>
      <c r="K2321">
        <v>2400</v>
      </c>
      <c r="L2321">
        <v>0</v>
      </c>
      <c r="M2321">
        <v>0</v>
      </c>
      <c r="N2321">
        <v>2400</v>
      </c>
    </row>
    <row r="2322" spans="1:14" x14ac:dyDescent="0.25">
      <c r="A2322">
        <v>1473.0122510000001</v>
      </c>
      <c r="B2322" s="1">
        <f>DATE(2014,5,13) + TIME(0,17,38)</f>
        <v>41772.012245370373</v>
      </c>
      <c r="C2322">
        <v>1339.6793213000001</v>
      </c>
      <c r="D2322">
        <v>1337.1401367000001</v>
      </c>
      <c r="E2322">
        <v>1327.0142822</v>
      </c>
      <c r="F2322">
        <v>1325.2215576000001</v>
      </c>
      <c r="G2322">
        <v>80</v>
      </c>
      <c r="H2322">
        <v>79.979362488000007</v>
      </c>
      <c r="I2322">
        <v>50</v>
      </c>
      <c r="J2322">
        <v>49.407226561999998</v>
      </c>
      <c r="K2322">
        <v>2400</v>
      </c>
      <c r="L2322">
        <v>0</v>
      </c>
      <c r="M2322">
        <v>0</v>
      </c>
      <c r="N2322">
        <v>2400</v>
      </c>
    </row>
    <row r="2323" spans="1:14" x14ac:dyDescent="0.25">
      <c r="A2323">
        <v>1473.3460239999999</v>
      </c>
      <c r="B2323" s="1">
        <f>DATE(2014,5,13) + TIME(8,18,16)</f>
        <v>41772.346018518518</v>
      </c>
      <c r="C2323">
        <v>1339.6726074000001</v>
      </c>
      <c r="D2323">
        <v>1337.1384277</v>
      </c>
      <c r="E2323">
        <v>1327.0118408000001</v>
      </c>
      <c r="F2323">
        <v>1325.2182617000001</v>
      </c>
      <c r="G2323">
        <v>80</v>
      </c>
      <c r="H2323">
        <v>79.979324340999995</v>
      </c>
      <c r="I2323">
        <v>50</v>
      </c>
      <c r="J2323">
        <v>49.394336699999997</v>
      </c>
      <c r="K2323">
        <v>2400</v>
      </c>
      <c r="L2323">
        <v>0</v>
      </c>
      <c r="M2323">
        <v>0</v>
      </c>
      <c r="N2323">
        <v>2400</v>
      </c>
    </row>
    <row r="2324" spans="1:14" x14ac:dyDescent="0.25">
      <c r="A2324">
        <v>1473.6859449999999</v>
      </c>
      <c r="B2324" s="1">
        <f>DATE(2014,5,13) + TIME(16,27,45)</f>
        <v>41772.685937499999</v>
      </c>
      <c r="C2324">
        <v>1339.6656493999999</v>
      </c>
      <c r="D2324">
        <v>1337.1368408000001</v>
      </c>
      <c r="E2324">
        <v>1327.0091553</v>
      </c>
      <c r="F2324">
        <v>1325.2147216999999</v>
      </c>
      <c r="G2324">
        <v>80</v>
      </c>
      <c r="H2324">
        <v>79.979286193999997</v>
      </c>
      <c r="I2324">
        <v>50</v>
      </c>
      <c r="J2324">
        <v>49.381267547999997</v>
      </c>
      <c r="K2324">
        <v>2400</v>
      </c>
      <c r="L2324">
        <v>0</v>
      </c>
      <c r="M2324">
        <v>0</v>
      </c>
      <c r="N2324">
        <v>2400</v>
      </c>
    </row>
    <row r="2325" spans="1:14" x14ac:dyDescent="0.25">
      <c r="A2325">
        <v>1474.0295860000001</v>
      </c>
      <c r="B2325" s="1">
        <f>DATE(2014,5,14) + TIME(0,42,36)</f>
        <v>41773.029583333337</v>
      </c>
      <c r="C2325">
        <v>1339.6589355000001</v>
      </c>
      <c r="D2325">
        <v>1337.1351318</v>
      </c>
      <c r="E2325">
        <v>1327.0064697</v>
      </c>
      <c r="F2325">
        <v>1325.2110596</v>
      </c>
      <c r="G2325">
        <v>80</v>
      </c>
      <c r="H2325">
        <v>79.979248046999999</v>
      </c>
      <c r="I2325">
        <v>50</v>
      </c>
      <c r="J2325">
        <v>49.368099213000001</v>
      </c>
      <c r="K2325">
        <v>2400</v>
      </c>
      <c r="L2325">
        <v>0</v>
      </c>
      <c r="M2325">
        <v>0</v>
      </c>
      <c r="N2325">
        <v>2400</v>
      </c>
    </row>
    <row r="2326" spans="1:14" x14ac:dyDescent="0.25">
      <c r="A2326">
        <v>1474.3779549999999</v>
      </c>
      <c r="B2326" s="1">
        <f>DATE(2014,5,14) + TIME(9,4,15)</f>
        <v>41773.377951388888</v>
      </c>
      <c r="C2326">
        <v>1339.6520995999999</v>
      </c>
      <c r="D2326">
        <v>1337.1335449000001</v>
      </c>
      <c r="E2326">
        <v>1327.0037841999999</v>
      </c>
      <c r="F2326">
        <v>1325.2072754000001</v>
      </c>
      <c r="G2326">
        <v>80</v>
      </c>
      <c r="H2326">
        <v>79.979209900000001</v>
      </c>
      <c r="I2326">
        <v>50</v>
      </c>
      <c r="J2326">
        <v>49.354808806999998</v>
      </c>
      <c r="K2326">
        <v>2400</v>
      </c>
      <c r="L2326">
        <v>0</v>
      </c>
      <c r="M2326">
        <v>0</v>
      </c>
      <c r="N2326">
        <v>2400</v>
      </c>
    </row>
    <row r="2327" spans="1:14" x14ac:dyDescent="0.25">
      <c r="A2327">
        <v>1474.7320540000001</v>
      </c>
      <c r="B2327" s="1">
        <f>DATE(2014,5,14) + TIME(17,34,9)</f>
        <v>41773.732048611113</v>
      </c>
      <c r="C2327">
        <v>1339.6455077999999</v>
      </c>
      <c r="D2327">
        <v>1337.1319579999999</v>
      </c>
      <c r="E2327">
        <v>1327.0008545000001</v>
      </c>
      <c r="F2327">
        <v>1325.2033690999999</v>
      </c>
      <c r="G2327">
        <v>80</v>
      </c>
      <c r="H2327">
        <v>79.979171753000003</v>
      </c>
      <c r="I2327">
        <v>50</v>
      </c>
      <c r="J2327">
        <v>49.341388702000003</v>
      </c>
      <c r="K2327">
        <v>2400</v>
      </c>
      <c r="L2327">
        <v>0</v>
      </c>
      <c r="M2327">
        <v>0</v>
      </c>
      <c r="N2327">
        <v>2400</v>
      </c>
    </row>
    <row r="2328" spans="1:14" x14ac:dyDescent="0.25">
      <c r="A2328">
        <v>1475.092946</v>
      </c>
      <c r="B2328" s="1">
        <f>DATE(2014,5,15) + TIME(2,13,50)</f>
        <v>41774.092939814815</v>
      </c>
      <c r="C2328">
        <v>1339.6389160000001</v>
      </c>
      <c r="D2328">
        <v>1337.1303711</v>
      </c>
      <c r="E2328">
        <v>1326.9979248</v>
      </c>
      <c r="F2328">
        <v>1325.1993408000001</v>
      </c>
      <c r="G2328">
        <v>80</v>
      </c>
      <c r="H2328">
        <v>79.979133606000005</v>
      </c>
      <c r="I2328">
        <v>50</v>
      </c>
      <c r="J2328">
        <v>49.327804565000001</v>
      </c>
      <c r="K2328">
        <v>2400</v>
      </c>
      <c r="L2328">
        <v>0</v>
      </c>
      <c r="M2328">
        <v>0</v>
      </c>
      <c r="N2328">
        <v>2400</v>
      </c>
    </row>
    <row r="2329" spans="1:14" x14ac:dyDescent="0.25">
      <c r="A2329">
        <v>1475.461753</v>
      </c>
      <c r="B2329" s="1">
        <f>DATE(2014,5,15) + TIME(11,4,55)</f>
        <v>41774.461747685185</v>
      </c>
      <c r="C2329">
        <v>1339.6323242000001</v>
      </c>
      <c r="D2329">
        <v>1337.1289062000001</v>
      </c>
      <c r="E2329">
        <v>1326.9949951000001</v>
      </c>
      <c r="F2329">
        <v>1325.1951904</v>
      </c>
      <c r="G2329">
        <v>80</v>
      </c>
      <c r="H2329">
        <v>79.979087829999997</v>
      </c>
      <c r="I2329">
        <v>50</v>
      </c>
      <c r="J2329">
        <v>49.314037323000001</v>
      </c>
      <c r="K2329">
        <v>2400</v>
      </c>
      <c r="L2329">
        <v>0</v>
      </c>
      <c r="M2329">
        <v>0</v>
      </c>
      <c r="N2329">
        <v>2400</v>
      </c>
    </row>
    <row r="2330" spans="1:14" x14ac:dyDescent="0.25">
      <c r="A2330">
        <v>1475.838307</v>
      </c>
      <c r="B2330" s="1">
        <f>DATE(2014,5,15) + TIME(20,7,9)</f>
        <v>41774.83829861111</v>
      </c>
      <c r="C2330">
        <v>1339.6257324000001</v>
      </c>
      <c r="D2330">
        <v>1337.1274414</v>
      </c>
      <c r="E2330">
        <v>1326.9918213000001</v>
      </c>
      <c r="F2330">
        <v>1325.190918</v>
      </c>
      <c r="G2330">
        <v>80</v>
      </c>
      <c r="H2330">
        <v>79.979049683</v>
      </c>
      <c r="I2330">
        <v>50</v>
      </c>
      <c r="J2330">
        <v>49.30008316</v>
      </c>
      <c r="K2330">
        <v>2400</v>
      </c>
      <c r="L2330">
        <v>0</v>
      </c>
      <c r="M2330">
        <v>0</v>
      </c>
      <c r="N2330">
        <v>2400</v>
      </c>
    </row>
    <row r="2331" spans="1:14" x14ac:dyDescent="0.25">
      <c r="A2331">
        <v>1476.225856</v>
      </c>
      <c r="B2331" s="1">
        <f>DATE(2014,5,16) + TIME(5,25,13)</f>
        <v>41775.225844907407</v>
      </c>
      <c r="C2331">
        <v>1339.6191406</v>
      </c>
      <c r="D2331">
        <v>1337.1259766000001</v>
      </c>
      <c r="E2331">
        <v>1326.9886475000001</v>
      </c>
      <c r="F2331">
        <v>1325.1864014</v>
      </c>
      <c r="G2331">
        <v>80</v>
      </c>
      <c r="H2331">
        <v>79.979011536000002</v>
      </c>
      <c r="I2331">
        <v>50</v>
      </c>
      <c r="J2331">
        <v>49.285861969000003</v>
      </c>
      <c r="K2331">
        <v>2400</v>
      </c>
      <c r="L2331">
        <v>0</v>
      </c>
      <c r="M2331">
        <v>0</v>
      </c>
      <c r="N2331">
        <v>2400</v>
      </c>
    </row>
    <row r="2332" spans="1:14" x14ac:dyDescent="0.25">
      <c r="A2332">
        <v>1476.6273309999999</v>
      </c>
      <c r="B2332" s="1">
        <f>DATE(2014,5,16) + TIME(15,3,21)</f>
        <v>41775.627326388887</v>
      </c>
      <c r="C2332">
        <v>1339.6126709</v>
      </c>
      <c r="D2332">
        <v>1337.1245117000001</v>
      </c>
      <c r="E2332">
        <v>1326.9852295000001</v>
      </c>
      <c r="F2332">
        <v>1325.1817627</v>
      </c>
      <c r="G2332">
        <v>80</v>
      </c>
      <c r="H2332">
        <v>79.978973389000004</v>
      </c>
      <c r="I2332">
        <v>50</v>
      </c>
      <c r="J2332">
        <v>49.271297455000003</v>
      </c>
      <c r="K2332">
        <v>2400</v>
      </c>
      <c r="L2332">
        <v>0</v>
      </c>
      <c r="M2332">
        <v>0</v>
      </c>
      <c r="N2332">
        <v>2400</v>
      </c>
    </row>
    <row r="2333" spans="1:14" x14ac:dyDescent="0.25">
      <c r="A2333">
        <v>1477.0325949999999</v>
      </c>
      <c r="B2333" s="1">
        <f>DATE(2014,5,17) + TIME(0,46,56)</f>
        <v>41776.032592592594</v>
      </c>
      <c r="C2333">
        <v>1339.605957</v>
      </c>
      <c r="D2333">
        <v>1337.1229248</v>
      </c>
      <c r="E2333">
        <v>1326.9816894999999</v>
      </c>
      <c r="F2333">
        <v>1325.1768798999999</v>
      </c>
      <c r="G2333">
        <v>80</v>
      </c>
      <c r="H2333">
        <v>79.978935242000006</v>
      </c>
      <c r="I2333">
        <v>50</v>
      </c>
      <c r="J2333">
        <v>49.256626128999997</v>
      </c>
      <c r="K2333">
        <v>2400</v>
      </c>
      <c r="L2333">
        <v>0</v>
      </c>
      <c r="M2333">
        <v>0</v>
      </c>
      <c r="N2333">
        <v>2400</v>
      </c>
    </row>
    <row r="2334" spans="1:14" x14ac:dyDescent="0.25">
      <c r="A2334">
        <v>1477.44165</v>
      </c>
      <c r="B2334" s="1">
        <f>DATE(2014,5,17) + TIME(10,35,58)</f>
        <v>41776.441643518519</v>
      </c>
      <c r="C2334">
        <v>1339.5994873</v>
      </c>
      <c r="D2334">
        <v>1337.121582</v>
      </c>
      <c r="E2334">
        <v>1326.9781493999999</v>
      </c>
      <c r="F2334">
        <v>1325.171875</v>
      </c>
      <c r="G2334">
        <v>80</v>
      </c>
      <c r="H2334">
        <v>79.978897094999994</v>
      </c>
      <c r="I2334">
        <v>50</v>
      </c>
      <c r="J2334">
        <v>49.24187088</v>
      </c>
      <c r="K2334">
        <v>2400</v>
      </c>
      <c r="L2334">
        <v>0</v>
      </c>
      <c r="M2334">
        <v>0</v>
      </c>
      <c r="N2334">
        <v>2400</v>
      </c>
    </row>
    <row r="2335" spans="1:14" x14ac:dyDescent="0.25">
      <c r="A2335">
        <v>1477.8556980000001</v>
      </c>
      <c r="B2335" s="1">
        <f>DATE(2014,5,17) + TIME(20,32,12)</f>
        <v>41776.855694444443</v>
      </c>
      <c r="C2335">
        <v>1339.5930175999999</v>
      </c>
      <c r="D2335">
        <v>1337.1201172000001</v>
      </c>
      <c r="E2335">
        <v>1326.9743652</v>
      </c>
      <c r="F2335">
        <v>1325.1667480000001</v>
      </c>
      <c r="G2335">
        <v>80</v>
      </c>
      <c r="H2335">
        <v>79.978858947999996</v>
      </c>
      <c r="I2335">
        <v>50</v>
      </c>
      <c r="J2335">
        <v>49.227024077999999</v>
      </c>
      <c r="K2335">
        <v>2400</v>
      </c>
      <c r="L2335">
        <v>0</v>
      </c>
      <c r="M2335">
        <v>0</v>
      </c>
      <c r="N2335">
        <v>2400</v>
      </c>
    </row>
    <row r="2336" spans="1:14" x14ac:dyDescent="0.25">
      <c r="A2336">
        <v>1478.2756469999999</v>
      </c>
      <c r="B2336" s="1">
        <f>DATE(2014,5,18) + TIME(6,36,55)</f>
        <v>41777.275636574072</v>
      </c>
      <c r="C2336">
        <v>1339.5866699000001</v>
      </c>
      <c r="D2336">
        <v>1337.1187743999999</v>
      </c>
      <c r="E2336">
        <v>1326.9705810999999</v>
      </c>
      <c r="F2336">
        <v>1325.161499</v>
      </c>
      <c r="G2336">
        <v>80</v>
      </c>
      <c r="H2336">
        <v>79.978820800999998</v>
      </c>
      <c r="I2336">
        <v>50</v>
      </c>
      <c r="J2336">
        <v>49.212070464999996</v>
      </c>
      <c r="K2336">
        <v>2400</v>
      </c>
      <c r="L2336">
        <v>0</v>
      </c>
      <c r="M2336">
        <v>0</v>
      </c>
      <c r="N2336">
        <v>2400</v>
      </c>
    </row>
    <row r="2337" spans="1:14" x14ac:dyDescent="0.25">
      <c r="A2337">
        <v>1478.7026189999999</v>
      </c>
      <c r="B2337" s="1">
        <f>DATE(2014,5,18) + TIME(16,51,46)</f>
        <v>41777.702615740738</v>
      </c>
      <c r="C2337">
        <v>1339.5803223</v>
      </c>
      <c r="D2337">
        <v>1337.1174315999999</v>
      </c>
      <c r="E2337">
        <v>1326.9667969</v>
      </c>
      <c r="F2337">
        <v>1325.1560059000001</v>
      </c>
      <c r="G2337">
        <v>80</v>
      </c>
      <c r="H2337">
        <v>79.978775024000001</v>
      </c>
      <c r="I2337">
        <v>50</v>
      </c>
      <c r="J2337">
        <v>49.196987151999998</v>
      </c>
      <c r="K2337">
        <v>2400</v>
      </c>
      <c r="L2337">
        <v>0</v>
      </c>
      <c r="M2337">
        <v>0</v>
      </c>
      <c r="N2337">
        <v>2400</v>
      </c>
    </row>
    <row r="2338" spans="1:14" x14ac:dyDescent="0.25">
      <c r="A2338">
        <v>1479.137835</v>
      </c>
      <c r="B2338" s="1">
        <f>DATE(2014,5,19) + TIME(3,18,28)</f>
        <v>41778.137824074074</v>
      </c>
      <c r="C2338">
        <v>1339.5740966999999</v>
      </c>
      <c r="D2338">
        <v>1337.1160889</v>
      </c>
      <c r="E2338">
        <v>1326.9627685999999</v>
      </c>
      <c r="F2338">
        <v>1325.1503906</v>
      </c>
      <c r="G2338">
        <v>80</v>
      </c>
      <c r="H2338">
        <v>79.978736877000003</v>
      </c>
      <c r="I2338">
        <v>50</v>
      </c>
      <c r="J2338">
        <v>49.181743621999999</v>
      </c>
      <c r="K2338">
        <v>2400</v>
      </c>
      <c r="L2338">
        <v>0</v>
      </c>
      <c r="M2338">
        <v>0</v>
      </c>
      <c r="N2338">
        <v>2400</v>
      </c>
    </row>
    <row r="2339" spans="1:14" x14ac:dyDescent="0.25">
      <c r="A2339">
        <v>1479.5826159999999</v>
      </c>
      <c r="B2339" s="1">
        <f>DATE(2014,5,19) + TIME(13,58,58)</f>
        <v>41778.582615740743</v>
      </c>
      <c r="C2339">
        <v>1339.5678711</v>
      </c>
      <c r="D2339">
        <v>1337.1147461</v>
      </c>
      <c r="E2339">
        <v>1326.9586182</v>
      </c>
      <c r="F2339">
        <v>1325.1446533000001</v>
      </c>
      <c r="G2339">
        <v>80</v>
      </c>
      <c r="H2339">
        <v>79.978698730000005</v>
      </c>
      <c r="I2339">
        <v>50</v>
      </c>
      <c r="J2339">
        <v>49.166313170999999</v>
      </c>
      <c r="K2339">
        <v>2400</v>
      </c>
      <c r="L2339">
        <v>0</v>
      </c>
      <c r="M2339">
        <v>0</v>
      </c>
      <c r="N2339">
        <v>2400</v>
      </c>
    </row>
    <row r="2340" spans="1:14" x14ac:dyDescent="0.25">
      <c r="A2340">
        <v>1480.0385160000001</v>
      </c>
      <c r="B2340" s="1">
        <f>DATE(2014,5,20) + TIME(0,55,27)</f>
        <v>41779.038506944446</v>
      </c>
      <c r="C2340">
        <v>1339.5616454999999</v>
      </c>
      <c r="D2340">
        <v>1337.1135254000001</v>
      </c>
      <c r="E2340">
        <v>1326.9543457</v>
      </c>
      <c r="F2340">
        <v>1325.1386719</v>
      </c>
      <c r="G2340">
        <v>80</v>
      </c>
      <c r="H2340">
        <v>79.978660583000007</v>
      </c>
      <c r="I2340">
        <v>50</v>
      </c>
      <c r="J2340">
        <v>49.150650024000001</v>
      </c>
      <c r="K2340">
        <v>2400</v>
      </c>
      <c r="L2340">
        <v>0</v>
      </c>
      <c r="M2340">
        <v>0</v>
      </c>
      <c r="N2340">
        <v>2400</v>
      </c>
    </row>
    <row r="2341" spans="1:14" x14ac:dyDescent="0.25">
      <c r="A2341">
        <v>1480.507161</v>
      </c>
      <c r="B2341" s="1">
        <f>DATE(2014,5,20) + TIME(12,10,18)</f>
        <v>41779.507152777776</v>
      </c>
      <c r="C2341">
        <v>1339.5554199000001</v>
      </c>
      <c r="D2341">
        <v>1337.1121826000001</v>
      </c>
      <c r="E2341">
        <v>1326.9499512</v>
      </c>
      <c r="F2341">
        <v>1325.1325684000001</v>
      </c>
      <c r="G2341">
        <v>80</v>
      </c>
      <c r="H2341">
        <v>79.978622436999999</v>
      </c>
      <c r="I2341">
        <v>50</v>
      </c>
      <c r="J2341">
        <v>49.134712219000001</v>
      </c>
      <c r="K2341">
        <v>2400</v>
      </c>
      <c r="L2341">
        <v>0</v>
      </c>
      <c r="M2341">
        <v>0</v>
      </c>
      <c r="N2341">
        <v>2400</v>
      </c>
    </row>
    <row r="2342" spans="1:14" x14ac:dyDescent="0.25">
      <c r="A2342">
        <v>1480.9927949999999</v>
      </c>
      <c r="B2342" s="1">
        <f>DATE(2014,5,20) + TIME(23,49,37)</f>
        <v>41779.992789351854</v>
      </c>
      <c r="C2342">
        <v>1339.5490723</v>
      </c>
      <c r="D2342">
        <v>1337.1109618999999</v>
      </c>
      <c r="E2342">
        <v>1326.9454346</v>
      </c>
      <c r="F2342">
        <v>1325.1260986</v>
      </c>
      <c r="G2342">
        <v>80</v>
      </c>
      <c r="H2342">
        <v>79.978584290000001</v>
      </c>
      <c r="I2342">
        <v>50</v>
      </c>
      <c r="J2342">
        <v>49.118400573999999</v>
      </c>
      <c r="K2342">
        <v>2400</v>
      </c>
      <c r="L2342">
        <v>0</v>
      </c>
      <c r="M2342">
        <v>0</v>
      </c>
      <c r="N2342">
        <v>2400</v>
      </c>
    </row>
    <row r="2343" spans="1:14" x14ac:dyDescent="0.25">
      <c r="A2343">
        <v>1481.487408</v>
      </c>
      <c r="B2343" s="1">
        <f>DATE(2014,5,21) + TIME(11,41,52)</f>
        <v>41780.487407407411</v>
      </c>
      <c r="C2343">
        <v>1339.5428466999999</v>
      </c>
      <c r="D2343">
        <v>1337.1096190999999</v>
      </c>
      <c r="E2343">
        <v>1326.9406738</v>
      </c>
      <c r="F2343">
        <v>1325.1193848</v>
      </c>
      <c r="G2343">
        <v>80</v>
      </c>
      <c r="H2343">
        <v>79.978546143000003</v>
      </c>
      <c r="I2343">
        <v>50</v>
      </c>
      <c r="J2343">
        <v>49.101871490000001</v>
      </c>
      <c r="K2343">
        <v>2400</v>
      </c>
      <c r="L2343">
        <v>0</v>
      </c>
      <c r="M2343">
        <v>0</v>
      </c>
      <c r="N2343">
        <v>2400</v>
      </c>
    </row>
    <row r="2344" spans="1:14" x14ac:dyDescent="0.25">
      <c r="A2344">
        <v>1481.9881909999999</v>
      </c>
      <c r="B2344" s="1">
        <f>DATE(2014,5,21) + TIME(23,42,59)</f>
        <v>41780.988182870373</v>
      </c>
      <c r="C2344">
        <v>1339.536499</v>
      </c>
      <c r="D2344">
        <v>1337.1082764</v>
      </c>
      <c r="E2344">
        <v>1326.9357910000001</v>
      </c>
      <c r="F2344">
        <v>1325.1124268000001</v>
      </c>
      <c r="G2344">
        <v>80</v>
      </c>
      <c r="H2344">
        <v>79.978507996000005</v>
      </c>
      <c r="I2344">
        <v>50</v>
      </c>
      <c r="J2344">
        <v>49.085201263000002</v>
      </c>
      <c r="K2344">
        <v>2400</v>
      </c>
      <c r="L2344">
        <v>0</v>
      </c>
      <c r="M2344">
        <v>0</v>
      </c>
      <c r="N2344">
        <v>2400</v>
      </c>
    </row>
    <row r="2345" spans="1:14" x14ac:dyDescent="0.25">
      <c r="A2345">
        <v>1482.496946</v>
      </c>
      <c r="B2345" s="1">
        <f>DATE(2014,5,22) + TIME(11,55,36)</f>
        <v>41781.496944444443</v>
      </c>
      <c r="C2345">
        <v>1339.5302733999999</v>
      </c>
      <c r="D2345">
        <v>1337.1070557</v>
      </c>
      <c r="E2345">
        <v>1326.9307861</v>
      </c>
      <c r="F2345">
        <v>1325.1053466999999</v>
      </c>
      <c r="G2345">
        <v>80</v>
      </c>
      <c r="H2345">
        <v>79.978469849000007</v>
      </c>
      <c r="I2345">
        <v>50</v>
      </c>
      <c r="J2345">
        <v>49.068382262999997</v>
      </c>
      <c r="K2345">
        <v>2400</v>
      </c>
      <c r="L2345">
        <v>0</v>
      </c>
      <c r="M2345">
        <v>0</v>
      </c>
      <c r="N2345">
        <v>2400</v>
      </c>
    </row>
    <row r="2346" spans="1:14" x14ac:dyDescent="0.25">
      <c r="A2346">
        <v>1483.0156380000001</v>
      </c>
      <c r="B2346" s="1">
        <f>DATE(2014,5,23) + TIME(0,22,31)</f>
        <v>41782.015636574077</v>
      </c>
      <c r="C2346">
        <v>1339.5240478999999</v>
      </c>
      <c r="D2346">
        <v>1337.1058350000001</v>
      </c>
      <c r="E2346">
        <v>1326.9255370999999</v>
      </c>
      <c r="F2346">
        <v>1325.0980225000001</v>
      </c>
      <c r="G2346">
        <v>80</v>
      </c>
      <c r="H2346">
        <v>79.978431701999995</v>
      </c>
      <c r="I2346">
        <v>50</v>
      </c>
      <c r="J2346">
        <v>49.051383971999996</v>
      </c>
      <c r="K2346">
        <v>2400</v>
      </c>
      <c r="L2346">
        <v>0</v>
      </c>
      <c r="M2346">
        <v>0</v>
      </c>
      <c r="N2346">
        <v>2400</v>
      </c>
    </row>
    <row r="2347" spans="1:14" x14ac:dyDescent="0.25">
      <c r="A2347">
        <v>1483.5498250000001</v>
      </c>
      <c r="B2347" s="1">
        <f>DATE(2014,5,23) + TIME(13,11,44)</f>
        <v>41782.549814814818</v>
      </c>
      <c r="C2347">
        <v>1339.5178223</v>
      </c>
      <c r="D2347">
        <v>1337.1044922000001</v>
      </c>
      <c r="E2347">
        <v>1326.9202881000001</v>
      </c>
      <c r="F2347">
        <v>1325.0905762</v>
      </c>
      <c r="G2347">
        <v>80</v>
      </c>
      <c r="H2347">
        <v>79.978393554999997</v>
      </c>
      <c r="I2347">
        <v>50</v>
      </c>
      <c r="J2347">
        <v>49.034091949</v>
      </c>
      <c r="K2347">
        <v>2400</v>
      </c>
      <c r="L2347">
        <v>0</v>
      </c>
      <c r="M2347">
        <v>0</v>
      </c>
      <c r="N2347">
        <v>2400</v>
      </c>
    </row>
    <row r="2348" spans="1:14" x14ac:dyDescent="0.25">
      <c r="A2348">
        <v>1484.1044770000001</v>
      </c>
      <c r="B2348" s="1">
        <f>DATE(2014,5,24) + TIME(2,30,26)</f>
        <v>41783.104467592595</v>
      </c>
      <c r="C2348">
        <v>1339.5111084</v>
      </c>
      <c r="D2348">
        <v>1337.1029053</v>
      </c>
      <c r="E2348">
        <v>1326.9147949000001</v>
      </c>
      <c r="F2348">
        <v>1325.0826416</v>
      </c>
      <c r="G2348">
        <v>80</v>
      </c>
      <c r="H2348">
        <v>79.978355407999999</v>
      </c>
      <c r="I2348">
        <v>50</v>
      </c>
      <c r="J2348">
        <v>49.016395568999997</v>
      </c>
      <c r="K2348">
        <v>2400</v>
      </c>
      <c r="L2348">
        <v>0</v>
      </c>
      <c r="M2348">
        <v>0</v>
      </c>
      <c r="N2348">
        <v>2400</v>
      </c>
    </row>
    <row r="2349" spans="1:14" x14ac:dyDescent="0.25">
      <c r="A2349">
        <v>1484.683241</v>
      </c>
      <c r="B2349" s="1">
        <f>DATE(2014,5,24) + TIME(16,23,52)</f>
        <v>41783.683240740742</v>
      </c>
      <c r="C2349">
        <v>1339.5043945</v>
      </c>
      <c r="D2349">
        <v>1337.1013184000001</v>
      </c>
      <c r="E2349">
        <v>1326.9090576000001</v>
      </c>
      <c r="F2349">
        <v>1325.0744629000001</v>
      </c>
      <c r="G2349">
        <v>80</v>
      </c>
      <c r="H2349">
        <v>79.978317261000001</v>
      </c>
      <c r="I2349">
        <v>50</v>
      </c>
      <c r="J2349">
        <v>48.998191833</v>
      </c>
      <c r="K2349">
        <v>2400</v>
      </c>
      <c r="L2349">
        <v>0</v>
      </c>
      <c r="M2349">
        <v>0</v>
      </c>
      <c r="N2349">
        <v>2400</v>
      </c>
    </row>
    <row r="2350" spans="1:14" x14ac:dyDescent="0.25">
      <c r="A2350">
        <v>1485.283584</v>
      </c>
      <c r="B2350" s="1">
        <f>DATE(2014,5,25) + TIME(6,48,21)</f>
        <v>41784.283576388887</v>
      </c>
      <c r="C2350">
        <v>1339.4974365</v>
      </c>
      <c r="D2350">
        <v>1337.0997314000001</v>
      </c>
      <c r="E2350">
        <v>1326.9029541</v>
      </c>
      <c r="F2350">
        <v>1325.065918</v>
      </c>
      <c r="G2350">
        <v>80</v>
      </c>
      <c r="H2350">
        <v>79.978271484000004</v>
      </c>
      <c r="I2350">
        <v>50</v>
      </c>
      <c r="J2350">
        <v>48.979499816999997</v>
      </c>
      <c r="K2350">
        <v>2400</v>
      </c>
      <c r="L2350">
        <v>0</v>
      </c>
      <c r="M2350">
        <v>0</v>
      </c>
      <c r="N2350">
        <v>2400</v>
      </c>
    </row>
    <row r="2351" spans="1:14" x14ac:dyDescent="0.25">
      <c r="A2351">
        <v>1485.887424</v>
      </c>
      <c r="B2351" s="1">
        <f>DATE(2014,5,25) + TIME(21,17,53)</f>
        <v>41784.887418981481</v>
      </c>
      <c r="C2351">
        <v>1339.4904785000001</v>
      </c>
      <c r="D2351">
        <v>1337.0981445</v>
      </c>
      <c r="E2351">
        <v>1326.8966064000001</v>
      </c>
      <c r="F2351">
        <v>1325.0568848</v>
      </c>
      <c r="G2351">
        <v>80</v>
      </c>
      <c r="H2351">
        <v>79.978233337000006</v>
      </c>
      <c r="I2351">
        <v>50</v>
      </c>
      <c r="J2351">
        <v>48.960651398000003</v>
      </c>
      <c r="K2351">
        <v>2400</v>
      </c>
      <c r="L2351">
        <v>0</v>
      </c>
      <c r="M2351">
        <v>0</v>
      </c>
      <c r="N2351">
        <v>2400</v>
      </c>
    </row>
    <row r="2352" spans="1:14" x14ac:dyDescent="0.25">
      <c r="A2352">
        <v>1486.4973070000001</v>
      </c>
      <c r="B2352" s="1">
        <f>DATE(2014,5,26) + TIME(11,56,7)</f>
        <v>41785.497303240743</v>
      </c>
      <c r="C2352">
        <v>1339.4837646000001</v>
      </c>
      <c r="D2352">
        <v>1337.0965576000001</v>
      </c>
      <c r="E2352">
        <v>1326.8902588000001</v>
      </c>
      <c r="F2352">
        <v>1325.0477295000001</v>
      </c>
      <c r="G2352">
        <v>80</v>
      </c>
      <c r="H2352">
        <v>79.978195189999994</v>
      </c>
      <c r="I2352">
        <v>50</v>
      </c>
      <c r="J2352">
        <v>48.941688538000001</v>
      </c>
      <c r="K2352">
        <v>2400</v>
      </c>
      <c r="L2352">
        <v>0</v>
      </c>
      <c r="M2352">
        <v>0</v>
      </c>
      <c r="N2352">
        <v>2400</v>
      </c>
    </row>
    <row r="2353" spans="1:14" x14ac:dyDescent="0.25">
      <c r="A2353">
        <v>1487.1098059999999</v>
      </c>
      <c r="B2353" s="1">
        <f>DATE(2014,5,27) + TIME(2,38,7)</f>
        <v>41786.109803240739</v>
      </c>
      <c r="C2353">
        <v>1339.4770507999999</v>
      </c>
      <c r="D2353">
        <v>1337.0949707</v>
      </c>
      <c r="E2353">
        <v>1326.8836670000001</v>
      </c>
      <c r="F2353">
        <v>1325.0383300999999</v>
      </c>
      <c r="G2353">
        <v>80</v>
      </c>
      <c r="H2353">
        <v>79.978157042999996</v>
      </c>
      <c r="I2353">
        <v>50</v>
      </c>
      <c r="J2353">
        <v>48.922718048</v>
      </c>
      <c r="K2353">
        <v>2400</v>
      </c>
      <c r="L2353">
        <v>0</v>
      </c>
      <c r="M2353">
        <v>0</v>
      </c>
      <c r="N2353">
        <v>2400</v>
      </c>
    </row>
    <row r="2354" spans="1:14" x14ac:dyDescent="0.25">
      <c r="A2354">
        <v>1487.7268120000001</v>
      </c>
      <c r="B2354" s="1">
        <f>DATE(2014,5,27) + TIME(17,26,36)</f>
        <v>41786.726805555554</v>
      </c>
      <c r="C2354">
        <v>1339.4704589999999</v>
      </c>
      <c r="D2354">
        <v>1337.0935059000001</v>
      </c>
      <c r="E2354">
        <v>1326.8769531</v>
      </c>
      <c r="F2354">
        <v>1325.0288086</v>
      </c>
      <c r="G2354">
        <v>80</v>
      </c>
      <c r="H2354">
        <v>79.978111267000003</v>
      </c>
      <c r="I2354">
        <v>50</v>
      </c>
      <c r="J2354">
        <v>48.903747559000003</v>
      </c>
      <c r="K2354">
        <v>2400</v>
      </c>
      <c r="L2354">
        <v>0</v>
      </c>
      <c r="M2354">
        <v>0</v>
      </c>
      <c r="N2354">
        <v>2400</v>
      </c>
    </row>
    <row r="2355" spans="1:14" x14ac:dyDescent="0.25">
      <c r="A2355">
        <v>1488.3503350000001</v>
      </c>
      <c r="B2355" s="1">
        <f>DATE(2014,5,28) + TIME(8,24,28)</f>
        <v>41787.350324074076</v>
      </c>
      <c r="C2355">
        <v>1339.4639893000001</v>
      </c>
      <c r="D2355">
        <v>1337.0920410000001</v>
      </c>
      <c r="E2355">
        <v>1326.8702393000001</v>
      </c>
      <c r="F2355">
        <v>1325.0191649999999</v>
      </c>
      <c r="G2355">
        <v>80</v>
      </c>
      <c r="H2355">
        <v>79.978073120000005</v>
      </c>
      <c r="I2355">
        <v>50</v>
      </c>
      <c r="J2355">
        <v>48.884757995999998</v>
      </c>
      <c r="K2355">
        <v>2400</v>
      </c>
      <c r="L2355">
        <v>0</v>
      </c>
      <c r="M2355">
        <v>0</v>
      </c>
      <c r="N2355">
        <v>2400</v>
      </c>
    </row>
    <row r="2356" spans="1:14" x14ac:dyDescent="0.25">
      <c r="A2356">
        <v>1488.9826419999999</v>
      </c>
      <c r="B2356" s="1">
        <f>DATE(2014,5,28) + TIME(23,35,0)</f>
        <v>41787.982638888891</v>
      </c>
      <c r="C2356">
        <v>1339.4576416</v>
      </c>
      <c r="D2356">
        <v>1337.0905762</v>
      </c>
      <c r="E2356">
        <v>1326.8634033000001</v>
      </c>
      <c r="F2356">
        <v>1325.0092772999999</v>
      </c>
      <c r="G2356">
        <v>80</v>
      </c>
      <c r="H2356">
        <v>79.978034973000007</v>
      </c>
      <c r="I2356">
        <v>50</v>
      </c>
      <c r="J2356">
        <v>48.865711212000001</v>
      </c>
      <c r="K2356">
        <v>2400</v>
      </c>
      <c r="L2356">
        <v>0</v>
      </c>
      <c r="M2356">
        <v>0</v>
      </c>
      <c r="N2356">
        <v>2400</v>
      </c>
    </row>
    <row r="2357" spans="1:14" x14ac:dyDescent="0.25">
      <c r="A2357">
        <v>1489.6262979999999</v>
      </c>
      <c r="B2357" s="1">
        <f>DATE(2014,5,29) + TIME(15,1,52)</f>
        <v>41788.626296296294</v>
      </c>
      <c r="C2357">
        <v>1339.4514160000001</v>
      </c>
      <c r="D2357">
        <v>1337.0891113</v>
      </c>
      <c r="E2357">
        <v>1326.8563231999999</v>
      </c>
      <c r="F2357">
        <v>1324.9991454999999</v>
      </c>
      <c r="G2357">
        <v>80</v>
      </c>
      <c r="H2357">
        <v>79.978004455999994</v>
      </c>
      <c r="I2357">
        <v>50</v>
      </c>
      <c r="J2357">
        <v>48.846553802000003</v>
      </c>
      <c r="K2357">
        <v>2400</v>
      </c>
      <c r="L2357">
        <v>0</v>
      </c>
      <c r="M2357">
        <v>0</v>
      </c>
      <c r="N2357">
        <v>2400</v>
      </c>
    </row>
    <row r="2358" spans="1:14" x14ac:dyDescent="0.25">
      <c r="A2358">
        <v>1490.283531</v>
      </c>
      <c r="B2358" s="1">
        <f>DATE(2014,5,30) + TIME(6,48,17)</f>
        <v>41789.283530092594</v>
      </c>
      <c r="C2358">
        <v>1339.4451904</v>
      </c>
      <c r="D2358">
        <v>1337.0876464999999</v>
      </c>
      <c r="E2358">
        <v>1326.8492432</v>
      </c>
      <c r="F2358">
        <v>1324.9888916</v>
      </c>
      <c r="G2358">
        <v>80</v>
      </c>
      <c r="H2358">
        <v>79.977966308999996</v>
      </c>
      <c r="I2358">
        <v>50</v>
      </c>
      <c r="J2358">
        <v>48.827228546000001</v>
      </c>
      <c r="K2358">
        <v>2400</v>
      </c>
      <c r="L2358">
        <v>0</v>
      </c>
      <c r="M2358">
        <v>0</v>
      </c>
      <c r="N2358">
        <v>2400</v>
      </c>
    </row>
    <row r="2359" spans="1:14" x14ac:dyDescent="0.25">
      <c r="A2359">
        <v>1490.956735</v>
      </c>
      <c r="B2359" s="1">
        <f>DATE(2014,5,30) + TIME(22,57,41)</f>
        <v>41789.956724537034</v>
      </c>
      <c r="C2359">
        <v>1339.4389647999999</v>
      </c>
      <c r="D2359">
        <v>1337.0863036999999</v>
      </c>
      <c r="E2359">
        <v>1326.8417969</v>
      </c>
      <c r="F2359">
        <v>1324.9782714999999</v>
      </c>
      <c r="G2359">
        <v>80</v>
      </c>
      <c r="H2359">
        <v>79.977928161999998</v>
      </c>
      <c r="I2359">
        <v>50</v>
      </c>
      <c r="J2359">
        <v>48.807685851999999</v>
      </c>
      <c r="K2359">
        <v>2400</v>
      </c>
      <c r="L2359">
        <v>0</v>
      </c>
      <c r="M2359">
        <v>0</v>
      </c>
      <c r="N2359">
        <v>2400</v>
      </c>
    </row>
    <row r="2360" spans="1:14" x14ac:dyDescent="0.25">
      <c r="A2360">
        <v>1491.648533</v>
      </c>
      <c r="B2360" s="1">
        <f>DATE(2014,5,31) + TIME(15,33,53)</f>
        <v>41790.648530092592</v>
      </c>
      <c r="C2360">
        <v>1339.4328613</v>
      </c>
      <c r="D2360">
        <v>1337.0848389</v>
      </c>
      <c r="E2360">
        <v>1326.8342285000001</v>
      </c>
      <c r="F2360">
        <v>1324.9672852000001</v>
      </c>
      <c r="G2360">
        <v>80</v>
      </c>
      <c r="H2360">
        <v>79.977890015</v>
      </c>
      <c r="I2360">
        <v>50</v>
      </c>
      <c r="J2360">
        <v>48.787860870000003</v>
      </c>
      <c r="K2360">
        <v>2400</v>
      </c>
      <c r="L2360">
        <v>0</v>
      </c>
      <c r="M2360">
        <v>0</v>
      </c>
      <c r="N2360">
        <v>2400</v>
      </c>
    </row>
    <row r="2361" spans="1:14" x14ac:dyDescent="0.25">
      <c r="A2361">
        <v>1492</v>
      </c>
      <c r="B2361" s="1">
        <f>DATE(2014,6,1) + TIME(0,0,0)</f>
        <v>41791</v>
      </c>
      <c r="C2361">
        <v>1339.4266356999999</v>
      </c>
      <c r="D2361">
        <v>1337.083374</v>
      </c>
      <c r="E2361">
        <v>1326.8269043</v>
      </c>
      <c r="F2361">
        <v>1324.9570312000001</v>
      </c>
      <c r="G2361">
        <v>80</v>
      </c>
      <c r="H2361">
        <v>79.977859496999997</v>
      </c>
      <c r="I2361">
        <v>50</v>
      </c>
      <c r="J2361">
        <v>48.774990082000002</v>
      </c>
      <c r="K2361">
        <v>2400</v>
      </c>
      <c r="L2361">
        <v>0</v>
      </c>
      <c r="M2361">
        <v>0</v>
      </c>
      <c r="N2361">
        <v>2400</v>
      </c>
    </row>
    <row r="2362" spans="1:14" x14ac:dyDescent="0.25">
      <c r="A2362">
        <v>1492.717296</v>
      </c>
      <c r="B2362" s="1">
        <f>DATE(2014,6,1) + TIME(17,12,54)</f>
        <v>41791.717291666668</v>
      </c>
      <c r="C2362">
        <v>1339.4235839999999</v>
      </c>
      <c r="D2362">
        <v>1337.0827637</v>
      </c>
      <c r="E2362">
        <v>1326.8220214999999</v>
      </c>
      <c r="F2362">
        <v>1324.9494629000001</v>
      </c>
      <c r="G2362">
        <v>80</v>
      </c>
      <c r="H2362">
        <v>79.977828978999995</v>
      </c>
      <c r="I2362">
        <v>50</v>
      </c>
      <c r="J2362">
        <v>48.756053925000003</v>
      </c>
      <c r="K2362">
        <v>2400</v>
      </c>
      <c r="L2362">
        <v>0</v>
      </c>
      <c r="M2362">
        <v>0</v>
      </c>
      <c r="N2362">
        <v>2400</v>
      </c>
    </row>
    <row r="2363" spans="1:14" x14ac:dyDescent="0.25">
      <c r="A2363">
        <v>1493.4771169999999</v>
      </c>
      <c r="B2363" s="1">
        <f>DATE(2014,6,2) + TIME(11,27,2)</f>
        <v>41792.477106481485</v>
      </c>
      <c r="C2363">
        <v>1339.4173584</v>
      </c>
      <c r="D2363">
        <v>1337.0812988</v>
      </c>
      <c r="E2363">
        <v>1326.8139647999999</v>
      </c>
      <c r="F2363">
        <v>1324.9379882999999</v>
      </c>
      <c r="G2363">
        <v>80</v>
      </c>
      <c r="H2363">
        <v>79.977798461999996</v>
      </c>
      <c r="I2363">
        <v>50</v>
      </c>
      <c r="J2363">
        <v>48.735897064</v>
      </c>
      <c r="K2363">
        <v>2400</v>
      </c>
      <c r="L2363">
        <v>0</v>
      </c>
      <c r="M2363">
        <v>0</v>
      </c>
      <c r="N2363">
        <v>2400</v>
      </c>
    </row>
    <row r="2364" spans="1:14" x14ac:dyDescent="0.25">
      <c r="A2364">
        <v>1494.2551599999999</v>
      </c>
      <c r="B2364" s="1">
        <f>DATE(2014,6,3) + TIME(6,7,25)</f>
        <v>41793.255150462966</v>
      </c>
      <c r="C2364">
        <v>1339.4108887</v>
      </c>
      <c r="D2364">
        <v>1337.0798339999999</v>
      </c>
      <c r="E2364">
        <v>1326.8054199000001</v>
      </c>
      <c r="F2364">
        <v>1324.9255370999999</v>
      </c>
      <c r="G2364">
        <v>80</v>
      </c>
      <c r="H2364">
        <v>79.977760314999998</v>
      </c>
      <c r="I2364">
        <v>50</v>
      </c>
      <c r="J2364">
        <v>48.714969635000003</v>
      </c>
      <c r="K2364">
        <v>2400</v>
      </c>
      <c r="L2364">
        <v>0</v>
      </c>
      <c r="M2364">
        <v>0</v>
      </c>
      <c r="N2364">
        <v>2400</v>
      </c>
    </row>
    <row r="2365" spans="1:14" x14ac:dyDescent="0.25">
      <c r="A2365">
        <v>1495.0614069999999</v>
      </c>
      <c r="B2365" s="1">
        <f>DATE(2014,6,4) + TIME(1,28,25)</f>
        <v>41794.061400462961</v>
      </c>
      <c r="C2365">
        <v>1339.4045410000001</v>
      </c>
      <c r="D2365">
        <v>1337.0782471</v>
      </c>
      <c r="E2365">
        <v>1326.7965088000001</v>
      </c>
      <c r="F2365">
        <v>1324.9127197</v>
      </c>
      <c r="G2365">
        <v>80</v>
      </c>
      <c r="H2365">
        <v>79.977729796999995</v>
      </c>
      <c r="I2365">
        <v>50</v>
      </c>
      <c r="J2365">
        <v>48.693359375</v>
      </c>
      <c r="K2365">
        <v>2400</v>
      </c>
      <c r="L2365">
        <v>0</v>
      </c>
      <c r="M2365">
        <v>0</v>
      </c>
      <c r="N2365">
        <v>2400</v>
      </c>
    </row>
    <row r="2366" spans="1:14" x14ac:dyDescent="0.25">
      <c r="A2366">
        <v>1495.878256</v>
      </c>
      <c r="B2366" s="1">
        <f>DATE(2014,6,4) + TIME(21,4,41)</f>
        <v>41794.878252314818</v>
      </c>
      <c r="C2366">
        <v>1339.3980713000001</v>
      </c>
      <c r="D2366">
        <v>1337.0767822</v>
      </c>
      <c r="E2366">
        <v>1326.7872314000001</v>
      </c>
      <c r="F2366">
        <v>1324.8992920000001</v>
      </c>
      <c r="G2366">
        <v>80</v>
      </c>
      <c r="H2366">
        <v>79.977691649999997</v>
      </c>
      <c r="I2366">
        <v>50</v>
      </c>
      <c r="J2366">
        <v>48.671386718999997</v>
      </c>
      <c r="K2366">
        <v>2400</v>
      </c>
      <c r="L2366">
        <v>0</v>
      </c>
      <c r="M2366">
        <v>0</v>
      </c>
      <c r="N2366">
        <v>2400</v>
      </c>
    </row>
    <row r="2367" spans="1:14" x14ac:dyDescent="0.25">
      <c r="A2367">
        <v>1496.703745</v>
      </c>
      <c r="B2367" s="1">
        <f>DATE(2014,6,5) + TIME(16,53,23)</f>
        <v>41795.703738425924</v>
      </c>
      <c r="C2367">
        <v>1339.3917236</v>
      </c>
      <c r="D2367">
        <v>1337.0753173999999</v>
      </c>
      <c r="E2367">
        <v>1326.777832</v>
      </c>
      <c r="F2367">
        <v>1324.8856201000001</v>
      </c>
      <c r="G2367">
        <v>80</v>
      </c>
      <c r="H2367">
        <v>79.977653502999999</v>
      </c>
      <c r="I2367">
        <v>50</v>
      </c>
      <c r="J2367">
        <v>48.649234772</v>
      </c>
      <c r="K2367">
        <v>2400</v>
      </c>
      <c r="L2367">
        <v>0</v>
      </c>
      <c r="M2367">
        <v>0</v>
      </c>
      <c r="N2367">
        <v>2400</v>
      </c>
    </row>
    <row r="2368" spans="1:14" x14ac:dyDescent="0.25">
      <c r="A2368">
        <v>1497.5418749999999</v>
      </c>
      <c r="B2368" s="1">
        <f>DATE(2014,6,6) + TIME(13,0,17)</f>
        <v>41796.541863425926</v>
      </c>
      <c r="C2368">
        <v>1339.385376</v>
      </c>
      <c r="D2368">
        <v>1337.0737305</v>
      </c>
      <c r="E2368">
        <v>1326.7681885</v>
      </c>
      <c r="F2368">
        <v>1324.871582</v>
      </c>
      <c r="G2368">
        <v>80</v>
      </c>
      <c r="H2368">
        <v>79.977615356000001</v>
      </c>
      <c r="I2368">
        <v>50</v>
      </c>
      <c r="J2368">
        <v>48.626941680999998</v>
      </c>
      <c r="K2368">
        <v>2400</v>
      </c>
      <c r="L2368">
        <v>0</v>
      </c>
      <c r="M2368">
        <v>0</v>
      </c>
      <c r="N2368">
        <v>2400</v>
      </c>
    </row>
    <row r="2369" spans="1:14" x14ac:dyDescent="0.25">
      <c r="A2369">
        <v>1498.396761</v>
      </c>
      <c r="B2369" s="1">
        <f>DATE(2014,6,7) + TIME(9,31,20)</f>
        <v>41797.39675925926</v>
      </c>
      <c r="C2369">
        <v>1339.3791504000001</v>
      </c>
      <c r="D2369">
        <v>1337.0722656</v>
      </c>
      <c r="E2369">
        <v>1326.7584228999999</v>
      </c>
      <c r="F2369">
        <v>1324.8572998</v>
      </c>
      <c r="G2369">
        <v>80</v>
      </c>
      <c r="H2369">
        <v>79.977584839000002</v>
      </c>
      <c r="I2369">
        <v>50</v>
      </c>
      <c r="J2369">
        <v>48.604484558000003</v>
      </c>
      <c r="K2369">
        <v>2400</v>
      </c>
      <c r="L2369">
        <v>0</v>
      </c>
      <c r="M2369">
        <v>0</v>
      </c>
      <c r="N2369">
        <v>2400</v>
      </c>
    </row>
    <row r="2370" spans="1:14" x14ac:dyDescent="0.25">
      <c r="A2370">
        <v>1499.2727339999999</v>
      </c>
      <c r="B2370" s="1">
        <f>DATE(2014,6,8) + TIME(6,32,44)</f>
        <v>41798.272731481484</v>
      </c>
      <c r="C2370">
        <v>1339.3729248</v>
      </c>
      <c r="D2370">
        <v>1337.0708007999999</v>
      </c>
      <c r="E2370">
        <v>1326.7482910000001</v>
      </c>
      <c r="F2370">
        <v>1324.8426514</v>
      </c>
      <c r="G2370">
        <v>80</v>
      </c>
      <c r="H2370">
        <v>79.977546692000004</v>
      </c>
      <c r="I2370">
        <v>50</v>
      </c>
      <c r="J2370">
        <v>48.581806182999998</v>
      </c>
      <c r="K2370">
        <v>2400</v>
      </c>
      <c r="L2370">
        <v>0</v>
      </c>
      <c r="M2370">
        <v>0</v>
      </c>
      <c r="N2370">
        <v>2400</v>
      </c>
    </row>
    <row r="2371" spans="1:14" x14ac:dyDescent="0.25">
      <c r="A2371">
        <v>1500.174479</v>
      </c>
      <c r="B2371" s="1">
        <f>DATE(2014,6,9) + TIME(4,11,14)</f>
        <v>41799.174467592595</v>
      </c>
      <c r="C2371">
        <v>1339.3666992000001</v>
      </c>
      <c r="D2371">
        <v>1337.0692139</v>
      </c>
      <c r="E2371">
        <v>1326.7380370999999</v>
      </c>
      <c r="F2371">
        <v>1324.8276367000001</v>
      </c>
      <c r="G2371">
        <v>80</v>
      </c>
      <c r="H2371">
        <v>79.977516174000002</v>
      </c>
      <c r="I2371">
        <v>50</v>
      </c>
      <c r="J2371">
        <v>48.558822632000002</v>
      </c>
      <c r="K2371">
        <v>2400</v>
      </c>
      <c r="L2371">
        <v>0</v>
      </c>
      <c r="M2371">
        <v>0</v>
      </c>
      <c r="N2371">
        <v>2400</v>
      </c>
    </row>
    <row r="2372" spans="1:14" x14ac:dyDescent="0.25">
      <c r="A2372">
        <v>1501.110246</v>
      </c>
      <c r="B2372" s="1">
        <f>DATE(2014,6,10) + TIME(2,38,45)</f>
        <v>41800.110243055555</v>
      </c>
      <c r="C2372">
        <v>1339.3604736</v>
      </c>
      <c r="D2372">
        <v>1337.067749</v>
      </c>
      <c r="E2372">
        <v>1326.7274170000001</v>
      </c>
      <c r="F2372">
        <v>1324.8120117000001</v>
      </c>
      <c r="G2372">
        <v>80</v>
      </c>
      <c r="H2372">
        <v>79.977478027000004</v>
      </c>
      <c r="I2372">
        <v>50</v>
      </c>
      <c r="J2372">
        <v>48.535404204999999</v>
      </c>
      <c r="K2372">
        <v>2400</v>
      </c>
      <c r="L2372">
        <v>0</v>
      </c>
      <c r="M2372">
        <v>0</v>
      </c>
      <c r="N2372">
        <v>2400</v>
      </c>
    </row>
    <row r="2373" spans="1:14" x14ac:dyDescent="0.25">
      <c r="A2373">
        <v>1502.069107</v>
      </c>
      <c r="B2373" s="1">
        <f>DATE(2014,6,11) + TIME(1,39,30)</f>
        <v>41801.069097222222</v>
      </c>
      <c r="C2373">
        <v>1339.354126</v>
      </c>
      <c r="D2373">
        <v>1337.0661620999999</v>
      </c>
      <c r="E2373">
        <v>1326.7164307</v>
      </c>
      <c r="F2373">
        <v>1324.7958983999999</v>
      </c>
      <c r="G2373">
        <v>80</v>
      </c>
      <c r="H2373">
        <v>79.977447510000005</v>
      </c>
      <c r="I2373">
        <v>50</v>
      </c>
      <c r="J2373">
        <v>48.511611938000001</v>
      </c>
      <c r="K2373">
        <v>2400</v>
      </c>
      <c r="L2373">
        <v>0</v>
      </c>
      <c r="M2373">
        <v>0</v>
      </c>
      <c r="N2373">
        <v>2400</v>
      </c>
    </row>
    <row r="2374" spans="1:14" x14ac:dyDescent="0.25">
      <c r="A2374">
        <v>1503.0328509999999</v>
      </c>
      <c r="B2374" s="1">
        <f>DATE(2014,6,12) + TIME(0,47,18)</f>
        <v>41802.032847222225</v>
      </c>
      <c r="C2374">
        <v>1339.3477783000001</v>
      </c>
      <c r="D2374">
        <v>1337.0644531</v>
      </c>
      <c r="E2374">
        <v>1326.7050781</v>
      </c>
      <c r="F2374">
        <v>1324.7794189000001</v>
      </c>
      <c r="G2374">
        <v>80</v>
      </c>
      <c r="H2374">
        <v>79.977409363000007</v>
      </c>
      <c r="I2374">
        <v>50</v>
      </c>
      <c r="J2374">
        <v>48.487720490000001</v>
      </c>
      <c r="K2374">
        <v>2400</v>
      </c>
      <c r="L2374">
        <v>0</v>
      </c>
      <c r="M2374">
        <v>0</v>
      </c>
      <c r="N2374">
        <v>2400</v>
      </c>
    </row>
    <row r="2375" spans="1:14" x14ac:dyDescent="0.25">
      <c r="A2375">
        <v>1504.00531</v>
      </c>
      <c r="B2375" s="1">
        <f>DATE(2014,6,13) + TIME(0,7,38)</f>
        <v>41803.005300925928</v>
      </c>
      <c r="C2375">
        <v>1339.3416748</v>
      </c>
      <c r="D2375">
        <v>1337.0628661999999</v>
      </c>
      <c r="E2375">
        <v>1326.6937256000001</v>
      </c>
      <c r="F2375">
        <v>1324.7626952999999</v>
      </c>
      <c r="G2375">
        <v>80</v>
      </c>
      <c r="H2375">
        <v>79.977378845000004</v>
      </c>
      <c r="I2375">
        <v>50</v>
      </c>
      <c r="J2375">
        <v>48.463836669999999</v>
      </c>
      <c r="K2375">
        <v>2400</v>
      </c>
      <c r="L2375">
        <v>0</v>
      </c>
      <c r="M2375">
        <v>0</v>
      </c>
      <c r="N2375">
        <v>2400</v>
      </c>
    </row>
    <row r="2376" spans="1:14" x14ac:dyDescent="0.25">
      <c r="A2376">
        <v>1504.9902520000001</v>
      </c>
      <c r="B2376" s="1">
        <f>DATE(2014,6,13) + TIME(23,45,57)</f>
        <v>41803.990243055552</v>
      </c>
      <c r="C2376">
        <v>1339.3355713000001</v>
      </c>
      <c r="D2376">
        <v>1337.0614014</v>
      </c>
      <c r="E2376">
        <v>1326.6821289</v>
      </c>
      <c r="F2376">
        <v>1324.7457274999999</v>
      </c>
      <c r="G2376">
        <v>80</v>
      </c>
      <c r="H2376">
        <v>79.977348328000005</v>
      </c>
      <c r="I2376">
        <v>50</v>
      </c>
      <c r="J2376">
        <v>48.439964293999999</v>
      </c>
      <c r="K2376">
        <v>2400</v>
      </c>
      <c r="L2376">
        <v>0</v>
      </c>
      <c r="M2376">
        <v>0</v>
      </c>
      <c r="N2376">
        <v>2400</v>
      </c>
    </row>
    <row r="2377" spans="1:14" x14ac:dyDescent="0.25">
      <c r="A2377">
        <v>1505.991583</v>
      </c>
      <c r="B2377" s="1">
        <f>DATE(2014,6,14) + TIME(23,47,52)</f>
        <v>41804.991574074076</v>
      </c>
      <c r="C2377">
        <v>1339.3294678</v>
      </c>
      <c r="D2377">
        <v>1337.0598144999999</v>
      </c>
      <c r="E2377">
        <v>1326.6704102000001</v>
      </c>
      <c r="F2377">
        <v>1324.7285156</v>
      </c>
      <c r="G2377">
        <v>80</v>
      </c>
      <c r="H2377">
        <v>79.977317810000002</v>
      </c>
      <c r="I2377">
        <v>50</v>
      </c>
      <c r="J2377">
        <v>48.416069030999999</v>
      </c>
      <c r="K2377">
        <v>2400</v>
      </c>
      <c r="L2377">
        <v>0</v>
      </c>
      <c r="M2377">
        <v>0</v>
      </c>
      <c r="N2377">
        <v>2400</v>
      </c>
    </row>
    <row r="2378" spans="1:14" x14ac:dyDescent="0.25">
      <c r="A2378">
        <v>1507.0136849999999</v>
      </c>
      <c r="B2378" s="1">
        <f>DATE(2014,6,16) + TIME(0,19,42)</f>
        <v>41806.013680555552</v>
      </c>
      <c r="C2378">
        <v>1339.3234863</v>
      </c>
      <c r="D2378">
        <v>1337.0581055</v>
      </c>
      <c r="E2378">
        <v>1326.6585693</v>
      </c>
      <c r="F2378">
        <v>1324.7110596</v>
      </c>
      <c r="G2378">
        <v>80</v>
      </c>
      <c r="H2378">
        <v>79.977287292</v>
      </c>
      <c r="I2378">
        <v>50</v>
      </c>
      <c r="J2378">
        <v>48.392086028999998</v>
      </c>
      <c r="K2378">
        <v>2400</v>
      </c>
      <c r="L2378">
        <v>0</v>
      </c>
      <c r="M2378">
        <v>0</v>
      </c>
      <c r="N2378">
        <v>2400</v>
      </c>
    </row>
    <row r="2379" spans="1:14" x14ac:dyDescent="0.25">
      <c r="A2379">
        <v>1508.060608</v>
      </c>
      <c r="B2379" s="1">
        <f>DATE(2014,6,17) + TIME(1,27,16)</f>
        <v>41807.060601851852</v>
      </c>
      <c r="C2379">
        <v>1339.3175048999999</v>
      </c>
      <c r="D2379">
        <v>1337.0565185999999</v>
      </c>
      <c r="E2379">
        <v>1326.6464844</v>
      </c>
      <c r="F2379">
        <v>1324.6931152</v>
      </c>
      <c r="G2379">
        <v>80</v>
      </c>
      <c r="H2379">
        <v>79.977256775000001</v>
      </c>
      <c r="I2379">
        <v>50</v>
      </c>
      <c r="J2379">
        <v>48.367946625000002</v>
      </c>
      <c r="K2379">
        <v>2400</v>
      </c>
      <c r="L2379">
        <v>0</v>
      </c>
      <c r="M2379">
        <v>0</v>
      </c>
      <c r="N2379">
        <v>2400</v>
      </c>
    </row>
    <row r="2380" spans="1:14" x14ac:dyDescent="0.25">
      <c r="A2380">
        <v>1509.1458909999999</v>
      </c>
      <c r="B2380" s="1">
        <f>DATE(2014,6,18) + TIME(3,30,4)</f>
        <v>41808.145879629628</v>
      </c>
      <c r="C2380">
        <v>1339.3115233999999</v>
      </c>
      <c r="D2380">
        <v>1337.0549315999999</v>
      </c>
      <c r="E2380">
        <v>1326.6340332</v>
      </c>
      <c r="F2380">
        <v>1324.6748047000001</v>
      </c>
      <c r="G2380">
        <v>80</v>
      </c>
      <c r="H2380">
        <v>79.977226256999998</v>
      </c>
      <c r="I2380">
        <v>50</v>
      </c>
      <c r="J2380">
        <v>48.343482971</v>
      </c>
      <c r="K2380">
        <v>2400</v>
      </c>
      <c r="L2380">
        <v>0</v>
      </c>
      <c r="M2380">
        <v>0</v>
      </c>
      <c r="N2380">
        <v>2400</v>
      </c>
    </row>
    <row r="2381" spans="1:14" x14ac:dyDescent="0.25">
      <c r="A2381">
        <v>1510.2741880000001</v>
      </c>
      <c r="B2381" s="1">
        <f>DATE(2014,6,19) + TIME(6,34,49)</f>
        <v>41809.274178240739</v>
      </c>
      <c r="C2381">
        <v>1339.3054199000001</v>
      </c>
      <c r="D2381">
        <v>1337.0532227000001</v>
      </c>
      <c r="E2381">
        <v>1326.6212158000001</v>
      </c>
      <c r="F2381">
        <v>1324.6558838000001</v>
      </c>
      <c r="G2381">
        <v>80</v>
      </c>
      <c r="H2381">
        <v>79.977195739999999</v>
      </c>
      <c r="I2381">
        <v>50</v>
      </c>
      <c r="J2381">
        <v>48.318565368999998</v>
      </c>
      <c r="K2381">
        <v>2400</v>
      </c>
      <c r="L2381">
        <v>0</v>
      </c>
      <c r="M2381">
        <v>0</v>
      </c>
      <c r="N2381">
        <v>2400</v>
      </c>
    </row>
    <row r="2382" spans="1:14" x14ac:dyDescent="0.25">
      <c r="A2382">
        <v>1511.419991</v>
      </c>
      <c r="B2382" s="1">
        <f>DATE(2014,6,20) + TIME(10,4,47)</f>
        <v>41810.419988425929</v>
      </c>
      <c r="C2382">
        <v>1339.2993164</v>
      </c>
      <c r="D2382">
        <v>1337.0515137</v>
      </c>
      <c r="E2382">
        <v>1326.6080322</v>
      </c>
      <c r="F2382">
        <v>1324.6363524999999</v>
      </c>
      <c r="G2382">
        <v>80</v>
      </c>
      <c r="H2382">
        <v>79.977165221999996</v>
      </c>
      <c r="I2382">
        <v>50</v>
      </c>
      <c r="J2382">
        <v>48.293384551999999</v>
      </c>
      <c r="K2382">
        <v>2400</v>
      </c>
      <c r="L2382">
        <v>0</v>
      </c>
      <c r="M2382">
        <v>0</v>
      </c>
      <c r="N2382">
        <v>2400</v>
      </c>
    </row>
    <row r="2383" spans="1:14" x14ac:dyDescent="0.25">
      <c r="A2383">
        <v>1512.5902229999999</v>
      </c>
      <c r="B2383" s="1">
        <f>DATE(2014,6,21) + TIME(14,9,55)</f>
        <v>41811.590219907404</v>
      </c>
      <c r="C2383">
        <v>1339.2930908000001</v>
      </c>
      <c r="D2383">
        <v>1337.0496826000001</v>
      </c>
      <c r="E2383">
        <v>1326.5946045000001</v>
      </c>
      <c r="F2383">
        <v>1324.6163329999999</v>
      </c>
      <c r="G2383">
        <v>80</v>
      </c>
      <c r="H2383">
        <v>79.977134704999997</v>
      </c>
      <c r="I2383">
        <v>50</v>
      </c>
      <c r="J2383">
        <v>48.268051147000001</v>
      </c>
      <c r="K2383">
        <v>2400</v>
      </c>
      <c r="L2383">
        <v>0</v>
      </c>
      <c r="M2383">
        <v>0</v>
      </c>
      <c r="N2383">
        <v>2400</v>
      </c>
    </row>
    <row r="2384" spans="1:14" x14ac:dyDescent="0.25">
      <c r="A2384">
        <v>1513.791923</v>
      </c>
      <c r="B2384" s="1">
        <f>DATE(2014,6,22) + TIME(19,0,22)</f>
        <v>41812.791921296295</v>
      </c>
      <c r="C2384">
        <v>1339.2869873</v>
      </c>
      <c r="D2384">
        <v>1337.0479736</v>
      </c>
      <c r="E2384">
        <v>1326.5808105000001</v>
      </c>
      <c r="F2384">
        <v>1324.5959473</v>
      </c>
      <c r="G2384">
        <v>80</v>
      </c>
      <c r="H2384">
        <v>79.977111816000004</v>
      </c>
      <c r="I2384">
        <v>50</v>
      </c>
      <c r="J2384">
        <v>48.242561340000002</v>
      </c>
      <c r="K2384">
        <v>2400</v>
      </c>
      <c r="L2384">
        <v>0</v>
      </c>
      <c r="M2384">
        <v>0</v>
      </c>
      <c r="N2384">
        <v>2400</v>
      </c>
    </row>
    <row r="2385" spans="1:14" x14ac:dyDescent="0.25">
      <c r="A2385">
        <v>1515.032823</v>
      </c>
      <c r="B2385" s="1">
        <f>DATE(2014,6,24) + TIME(0,47,15)</f>
        <v>41814.032812500001</v>
      </c>
      <c r="C2385">
        <v>1339.2808838000001</v>
      </c>
      <c r="D2385">
        <v>1337.0461425999999</v>
      </c>
      <c r="E2385">
        <v>1326.5667725000001</v>
      </c>
      <c r="F2385">
        <v>1324.5750731999999</v>
      </c>
      <c r="G2385">
        <v>80</v>
      </c>
      <c r="H2385">
        <v>79.977081299000005</v>
      </c>
      <c r="I2385">
        <v>50</v>
      </c>
      <c r="J2385">
        <v>48.216838836999997</v>
      </c>
      <c r="K2385">
        <v>2400</v>
      </c>
      <c r="L2385">
        <v>0</v>
      </c>
      <c r="M2385">
        <v>0</v>
      </c>
      <c r="N2385">
        <v>2400</v>
      </c>
    </row>
    <row r="2386" spans="1:14" x14ac:dyDescent="0.25">
      <c r="A2386">
        <v>1516.3300079999999</v>
      </c>
      <c r="B2386" s="1">
        <f>DATE(2014,6,25) + TIME(7,55,12)</f>
        <v>41815.33</v>
      </c>
      <c r="C2386">
        <v>1339.2746582</v>
      </c>
      <c r="D2386">
        <v>1337.0443115</v>
      </c>
      <c r="E2386">
        <v>1326.5523682</v>
      </c>
      <c r="F2386">
        <v>1324.5535889</v>
      </c>
      <c r="G2386">
        <v>80</v>
      </c>
      <c r="H2386">
        <v>79.977050781000003</v>
      </c>
      <c r="I2386">
        <v>50</v>
      </c>
      <c r="J2386">
        <v>48.190731049</v>
      </c>
      <c r="K2386">
        <v>2400</v>
      </c>
      <c r="L2386">
        <v>0</v>
      </c>
      <c r="M2386">
        <v>0</v>
      </c>
      <c r="N2386">
        <v>2400</v>
      </c>
    </row>
    <row r="2387" spans="1:14" x14ac:dyDescent="0.25">
      <c r="A2387">
        <v>1517.669911</v>
      </c>
      <c r="B2387" s="1">
        <f>DATE(2014,6,26) + TIME(16,4,40)</f>
        <v>41816.669907407406</v>
      </c>
      <c r="C2387">
        <v>1339.2684326000001</v>
      </c>
      <c r="D2387">
        <v>1337.0423584</v>
      </c>
      <c r="E2387">
        <v>1326.5374756000001</v>
      </c>
      <c r="F2387">
        <v>1324.53125</v>
      </c>
      <c r="G2387">
        <v>80</v>
      </c>
      <c r="H2387">
        <v>79.977027892999999</v>
      </c>
      <c r="I2387">
        <v>50</v>
      </c>
      <c r="J2387">
        <v>48.164245604999998</v>
      </c>
      <c r="K2387">
        <v>2400</v>
      </c>
      <c r="L2387">
        <v>0</v>
      </c>
      <c r="M2387">
        <v>0</v>
      </c>
      <c r="N2387">
        <v>2400</v>
      </c>
    </row>
    <row r="2388" spans="1:14" x14ac:dyDescent="0.25">
      <c r="A2388">
        <v>1519.0454279999999</v>
      </c>
      <c r="B2388" s="1">
        <f>DATE(2014,6,28) + TIME(1,5,24)</f>
        <v>41818.045416666668</v>
      </c>
      <c r="C2388">
        <v>1339.2619629000001</v>
      </c>
      <c r="D2388">
        <v>1337.0404053</v>
      </c>
      <c r="E2388">
        <v>1326.5220947</v>
      </c>
      <c r="F2388">
        <v>1324.5083007999999</v>
      </c>
      <c r="G2388">
        <v>80</v>
      </c>
      <c r="H2388">
        <v>79.976997374999996</v>
      </c>
      <c r="I2388">
        <v>50</v>
      </c>
      <c r="J2388">
        <v>48.137561798</v>
      </c>
      <c r="K2388">
        <v>2400</v>
      </c>
      <c r="L2388">
        <v>0</v>
      </c>
      <c r="M2388">
        <v>0</v>
      </c>
      <c r="N2388">
        <v>2400</v>
      </c>
    </row>
    <row r="2389" spans="1:14" x14ac:dyDescent="0.25">
      <c r="A2389">
        <v>1520.4839219999999</v>
      </c>
      <c r="B2389" s="1">
        <f>DATE(2014,6,29) + TIME(11,36,50)</f>
        <v>41819.483912037038</v>
      </c>
      <c r="C2389">
        <v>1339.2556152</v>
      </c>
      <c r="D2389">
        <v>1337.0383300999999</v>
      </c>
      <c r="E2389">
        <v>1326.5063477000001</v>
      </c>
      <c r="F2389">
        <v>1324.4846190999999</v>
      </c>
      <c r="G2389">
        <v>80</v>
      </c>
      <c r="H2389">
        <v>79.976974487000007</v>
      </c>
      <c r="I2389">
        <v>50</v>
      </c>
      <c r="J2389">
        <v>48.110641479000002</v>
      </c>
      <c r="K2389">
        <v>2400</v>
      </c>
      <c r="L2389">
        <v>0</v>
      </c>
      <c r="M2389">
        <v>0</v>
      </c>
      <c r="N2389">
        <v>2400</v>
      </c>
    </row>
    <row r="2390" spans="1:14" x14ac:dyDescent="0.25">
      <c r="A2390">
        <v>1521.2419609999999</v>
      </c>
      <c r="B2390" s="1">
        <f>DATE(2014,6,30) + TIME(5,48,25)</f>
        <v>41820.241956018515</v>
      </c>
      <c r="C2390">
        <v>1339.2491454999999</v>
      </c>
      <c r="D2390">
        <v>1337.0362548999999</v>
      </c>
      <c r="E2390">
        <v>1326.4909668</v>
      </c>
      <c r="F2390">
        <v>1324.4620361</v>
      </c>
      <c r="G2390">
        <v>80</v>
      </c>
      <c r="H2390">
        <v>79.976943969999994</v>
      </c>
      <c r="I2390">
        <v>50</v>
      </c>
      <c r="J2390">
        <v>48.090423584</v>
      </c>
      <c r="K2390">
        <v>2400</v>
      </c>
      <c r="L2390">
        <v>0</v>
      </c>
      <c r="M2390">
        <v>0</v>
      </c>
      <c r="N2390">
        <v>2400</v>
      </c>
    </row>
    <row r="2391" spans="1:14" x14ac:dyDescent="0.25">
      <c r="A2391">
        <v>1522</v>
      </c>
      <c r="B2391" s="1">
        <f>DATE(2014,7,1) + TIME(0,0,0)</f>
        <v>41821</v>
      </c>
      <c r="C2391">
        <v>1339.2457274999999</v>
      </c>
      <c r="D2391">
        <v>1337.0351562000001</v>
      </c>
      <c r="E2391">
        <v>1326.480957</v>
      </c>
      <c r="F2391">
        <v>1324.4465332</v>
      </c>
      <c r="G2391">
        <v>80</v>
      </c>
      <c r="H2391">
        <v>79.976928710999999</v>
      </c>
      <c r="I2391">
        <v>50</v>
      </c>
      <c r="J2391">
        <v>48.073371887</v>
      </c>
      <c r="K2391">
        <v>2400</v>
      </c>
      <c r="L2391">
        <v>0</v>
      </c>
      <c r="M2391">
        <v>0</v>
      </c>
      <c r="N2391">
        <v>2400</v>
      </c>
    </row>
    <row r="2392" spans="1:14" x14ac:dyDescent="0.25">
      <c r="A2392">
        <v>1522.738036</v>
      </c>
      <c r="B2392" s="1">
        <f>DATE(2014,7,1) + TIME(17,42,46)</f>
        <v>41821.738032407404</v>
      </c>
      <c r="C2392">
        <v>1339.2425536999999</v>
      </c>
      <c r="D2392">
        <v>1337.0341797000001</v>
      </c>
      <c r="E2392">
        <v>1326.4716797000001</v>
      </c>
      <c r="F2392">
        <v>1324.4323730000001</v>
      </c>
      <c r="G2392">
        <v>80</v>
      </c>
      <c r="H2392">
        <v>79.976913452000005</v>
      </c>
      <c r="I2392">
        <v>50</v>
      </c>
      <c r="J2392">
        <v>48.058300017999997</v>
      </c>
      <c r="K2392">
        <v>2400</v>
      </c>
      <c r="L2392">
        <v>0</v>
      </c>
      <c r="M2392">
        <v>0</v>
      </c>
      <c r="N2392">
        <v>2400</v>
      </c>
    </row>
    <row r="2393" spans="1:14" x14ac:dyDescent="0.25">
      <c r="A2393">
        <v>1524.214109</v>
      </c>
      <c r="B2393" s="1">
        <f>DATE(2014,7,3) + TIME(5,8,18)</f>
        <v>41823.214097222219</v>
      </c>
      <c r="C2393">
        <v>1339.2393798999999</v>
      </c>
      <c r="D2393">
        <v>1337.0330810999999</v>
      </c>
      <c r="E2393">
        <v>1326.4621582</v>
      </c>
      <c r="F2393">
        <v>1324.4176024999999</v>
      </c>
      <c r="G2393">
        <v>80</v>
      </c>
      <c r="H2393">
        <v>79.976905822999996</v>
      </c>
      <c r="I2393">
        <v>50</v>
      </c>
      <c r="J2393">
        <v>48.039371490000001</v>
      </c>
      <c r="K2393">
        <v>2400</v>
      </c>
      <c r="L2393">
        <v>0</v>
      </c>
      <c r="M2393">
        <v>0</v>
      </c>
      <c r="N2393">
        <v>2400</v>
      </c>
    </row>
    <row r="2394" spans="1:14" x14ac:dyDescent="0.25">
      <c r="A2394">
        <v>1525.6924489999999</v>
      </c>
      <c r="B2394" s="1">
        <f>DATE(2014,7,4) + TIME(16,37,7)</f>
        <v>41824.692442129628</v>
      </c>
      <c r="C2394">
        <v>1339.2330322</v>
      </c>
      <c r="D2394">
        <v>1337.0310059000001</v>
      </c>
      <c r="E2394">
        <v>1326.4472656</v>
      </c>
      <c r="F2394">
        <v>1324.3955077999999</v>
      </c>
      <c r="G2394">
        <v>80</v>
      </c>
      <c r="H2394">
        <v>79.976882935000006</v>
      </c>
      <c r="I2394">
        <v>50</v>
      </c>
      <c r="J2394">
        <v>48.016597748000002</v>
      </c>
      <c r="K2394">
        <v>2400</v>
      </c>
      <c r="L2394">
        <v>0</v>
      </c>
      <c r="M2394">
        <v>0</v>
      </c>
      <c r="N2394">
        <v>2400</v>
      </c>
    </row>
    <row r="2395" spans="1:14" x14ac:dyDescent="0.25">
      <c r="A2395">
        <v>1527.19218</v>
      </c>
      <c r="B2395" s="1">
        <f>DATE(2014,7,6) + TIME(4,36,44)</f>
        <v>41826.192175925928</v>
      </c>
      <c r="C2395">
        <v>1339.2268065999999</v>
      </c>
      <c r="D2395">
        <v>1337.0289307</v>
      </c>
      <c r="E2395">
        <v>1326.4315185999999</v>
      </c>
      <c r="F2395">
        <v>1324.371582</v>
      </c>
      <c r="G2395">
        <v>80</v>
      </c>
      <c r="H2395">
        <v>79.976860045999999</v>
      </c>
      <c r="I2395">
        <v>50</v>
      </c>
      <c r="J2395">
        <v>47.993072509999998</v>
      </c>
      <c r="K2395">
        <v>2400</v>
      </c>
      <c r="L2395">
        <v>0</v>
      </c>
      <c r="M2395">
        <v>0</v>
      </c>
      <c r="N2395">
        <v>2400</v>
      </c>
    </row>
    <row r="2396" spans="1:14" x14ac:dyDescent="0.25">
      <c r="A2396">
        <v>1528.7203489999999</v>
      </c>
      <c r="B2396" s="1">
        <f>DATE(2014,7,7) + TIME(17,17,18)</f>
        <v>41827.720347222225</v>
      </c>
      <c r="C2396">
        <v>1339.2207031</v>
      </c>
      <c r="D2396">
        <v>1337.0267334</v>
      </c>
      <c r="E2396">
        <v>1326.4152832</v>
      </c>
      <c r="F2396">
        <v>1324.3469238</v>
      </c>
      <c r="G2396">
        <v>80</v>
      </c>
      <c r="H2396">
        <v>79.976837157999995</v>
      </c>
      <c r="I2396">
        <v>50</v>
      </c>
      <c r="J2396">
        <v>47.969844817999999</v>
      </c>
      <c r="K2396">
        <v>2400</v>
      </c>
      <c r="L2396">
        <v>0</v>
      </c>
      <c r="M2396">
        <v>0</v>
      </c>
      <c r="N2396">
        <v>2400</v>
      </c>
    </row>
    <row r="2397" spans="1:14" x14ac:dyDescent="0.25">
      <c r="A2397">
        <v>1530.29592</v>
      </c>
      <c r="B2397" s="1">
        <f>DATE(2014,7,9) + TIME(7,6,7)</f>
        <v>41829.295914351853</v>
      </c>
      <c r="C2397">
        <v>1339.2145995999999</v>
      </c>
      <c r="D2397">
        <v>1337.0246582</v>
      </c>
      <c r="E2397">
        <v>1326.3988036999999</v>
      </c>
      <c r="F2397">
        <v>1324.3217772999999</v>
      </c>
      <c r="G2397">
        <v>80</v>
      </c>
      <c r="H2397">
        <v>79.976814270000006</v>
      </c>
      <c r="I2397">
        <v>50</v>
      </c>
      <c r="J2397">
        <v>47.947288512999997</v>
      </c>
      <c r="K2397">
        <v>2400</v>
      </c>
      <c r="L2397">
        <v>0</v>
      </c>
      <c r="M2397">
        <v>0</v>
      </c>
      <c r="N2397">
        <v>2400</v>
      </c>
    </row>
    <row r="2398" spans="1:14" x14ac:dyDescent="0.25">
      <c r="A2398">
        <v>1531.9442329999999</v>
      </c>
      <c r="B2398" s="1">
        <f>DATE(2014,7,10) + TIME(22,39,41)</f>
        <v>41830.944224537037</v>
      </c>
      <c r="C2398">
        <v>1339.2084961</v>
      </c>
      <c r="D2398">
        <v>1337.0224608999999</v>
      </c>
      <c r="E2398">
        <v>1326.3820800999999</v>
      </c>
      <c r="F2398">
        <v>1324.2960204999999</v>
      </c>
      <c r="G2398">
        <v>80</v>
      </c>
      <c r="H2398">
        <v>79.976799010999997</v>
      </c>
      <c r="I2398">
        <v>50</v>
      </c>
      <c r="J2398">
        <v>47.925510406000001</v>
      </c>
      <c r="K2398">
        <v>2400</v>
      </c>
      <c r="L2398">
        <v>0</v>
      </c>
      <c r="M2398">
        <v>0</v>
      </c>
      <c r="N2398">
        <v>2400</v>
      </c>
    </row>
    <row r="2399" spans="1:14" x14ac:dyDescent="0.25">
      <c r="A2399">
        <v>1533.6461859999999</v>
      </c>
      <c r="B2399" s="1">
        <f>DATE(2014,7,12) + TIME(15,30,30)</f>
        <v>41832.646180555559</v>
      </c>
      <c r="C2399">
        <v>1339.2021483999999</v>
      </c>
      <c r="D2399">
        <v>1337.0201416</v>
      </c>
      <c r="E2399">
        <v>1326.3647461</v>
      </c>
      <c r="F2399">
        <v>1324.2695312000001</v>
      </c>
      <c r="G2399">
        <v>80</v>
      </c>
      <c r="H2399">
        <v>79.976776122999993</v>
      </c>
      <c r="I2399">
        <v>50</v>
      </c>
      <c r="J2399">
        <v>47.904758452999999</v>
      </c>
      <c r="K2399">
        <v>2400</v>
      </c>
      <c r="L2399">
        <v>0</v>
      </c>
      <c r="M2399">
        <v>0</v>
      </c>
      <c r="N2399">
        <v>2400</v>
      </c>
    </row>
    <row r="2400" spans="1:14" x14ac:dyDescent="0.25">
      <c r="A2400">
        <v>1535.4117180000001</v>
      </c>
      <c r="B2400" s="1">
        <f>DATE(2014,7,14) + TIME(9,52,52)</f>
        <v>41834.411712962959</v>
      </c>
      <c r="C2400">
        <v>1339.1958007999999</v>
      </c>
      <c r="D2400">
        <v>1337.0178223</v>
      </c>
      <c r="E2400">
        <v>1326.3472899999999</v>
      </c>
      <c r="F2400">
        <v>1324.2424315999999</v>
      </c>
      <c r="G2400">
        <v>80</v>
      </c>
      <c r="H2400">
        <v>79.976760863999999</v>
      </c>
      <c r="I2400">
        <v>50</v>
      </c>
      <c r="J2400">
        <v>47.885448455999999</v>
      </c>
      <c r="K2400">
        <v>2400</v>
      </c>
      <c r="L2400">
        <v>0</v>
      </c>
      <c r="M2400">
        <v>0</v>
      </c>
      <c r="N2400">
        <v>2400</v>
      </c>
    </row>
    <row r="2401" spans="1:14" x14ac:dyDescent="0.25">
      <c r="A2401">
        <v>1537.287047</v>
      </c>
      <c r="B2401" s="1">
        <f>DATE(2014,7,16) + TIME(6,53,20)</f>
        <v>41836.287037037036</v>
      </c>
      <c r="C2401">
        <v>1339.1894531</v>
      </c>
      <c r="D2401">
        <v>1337.0155029</v>
      </c>
      <c r="E2401">
        <v>1326.3292236</v>
      </c>
      <c r="F2401">
        <v>1324.2144774999999</v>
      </c>
      <c r="G2401">
        <v>80</v>
      </c>
      <c r="H2401">
        <v>79.976737975999995</v>
      </c>
      <c r="I2401">
        <v>50</v>
      </c>
      <c r="J2401">
        <v>47.867900847999998</v>
      </c>
      <c r="K2401">
        <v>2400</v>
      </c>
      <c r="L2401">
        <v>0</v>
      </c>
      <c r="M2401">
        <v>0</v>
      </c>
      <c r="N2401">
        <v>2400</v>
      </c>
    </row>
    <row r="2402" spans="1:14" x14ac:dyDescent="0.25">
      <c r="A2402">
        <v>1539.2044550000001</v>
      </c>
      <c r="B2402" s="1">
        <f>DATE(2014,7,18) + TIME(4,54,24)</f>
        <v>41838.204444444447</v>
      </c>
      <c r="C2402">
        <v>1339.1827393000001</v>
      </c>
      <c r="D2402">
        <v>1337.0129394999999</v>
      </c>
      <c r="E2402">
        <v>1326.3106689000001</v>
      </c>
      <c r="F2402">
        <v>1324.1856689000001</v>
      </c>
      <c r="G2402">
        <v>80</v>
      </c>
      <c r="H2402">
        <v>79.976722717000001</v>
      </c>
      <c r="I2402">
        <v>50</v>
      </c>
      <c r="J2402">
        <v>47.852771758999999</v>
      </c>
      <c r="K2402">
        <v>2400</v>
      </c>
      <c r="L2402">
        <v>0</v>
      </c>
      <c r="M2402">
        <v>0</v>
      </c>
      <c r="N2402">
        <v>2400</v>
      </c>
    </row>
    <row r="2403" spans="1:14" x14ac:dyDescent="0.25">
      <c r="A2403">
        <v>1541.198506</v>
      </c>
      <c r="B2403" s="1">
        <f>DATE(2014,7,20) + TIME(4,45,50)</f>
        <v>41840.198495370372</v>
      </c>
      <c r="C2403">
        <v>1339.1761475000001</v>
      </c>
      <c r="D2403">
        <v>1337.010376</v>
      </c>
      <c r="E2403">
        <v>1326.2919922000001</v>
      </c>
      <c r="F2403">
        <v>1324.15625</v>
      </c>
      <c r="G2403">
        <v>80</v>
      </c>
      <c r="H2403">
        <v>79.976707458000007</v>
      </c>
      <c r="I2403">
        <v>50</v>
      </c>
      <c r="J2403">
        <v>47.840957641999999</v>
      </c>
      <c r="K2403">
        <v>2400</v>
      </c>
      <c r="L2403">
        <v>0</v>
      </c>
      <c r="M2403">
        <v>0</v>
      </c>
      <c r="N2403">
        <v>2400</v>
      </c>
    </row>
    <row r="2404" spans="1:14" x14ac:dyDescent="0.25">
      <c r="A2404">
        <v>1543.213935</v>
      </c>
      <c r="B2404" s="1">
        <f>DATE(2014,7,22) + TIME(5,8,3)</f>
        <v>41842.213923611111</v>
      </c>
      <c r="C2404">
        <v>1339.1693115</v>
      </c>
      <c r="D2404">
        <v>1337.0076904</v>
      </c>
      <c r="E2404">
        <v>1326.2729492000001</v>
      </c>
      <c r="F2404">
        <v>1324.1262207</v>
      </c>
      <c r="G2404">
        <v>80</v>
      </c>
      <c r="H2404">
        <v>79.976684570000003</v>
      </c>
      <c r="I2404">
        <v>50</v>
      </c>
      <c r="J2404">
        <v>47.833377837999997</v>
      </c>
      <c r="K2404">
        <v>2400</v>
      </c>
      <c r="L2404">
        <v>0</v>
      </c>
      <c r="M2404">
        <v>0</v>
      </c>
      <c r="N2404">
        <v>2400</v>
      </c>
    </row>
    <row r="2405" spans="1:14" x14ac:dyDescent="0.25">
      <c r="A2405">
        <v>1545.2328950000001</v>
      </c>
      <c r="B2405" s="1">
        <f>DATE(2014,7,24) + TIME(5,35,22)</f>
        <v>41844.232893518521</v>
      </c>
      <c r="C2405">
        <v>1339.1627197</v>
      </c>
      <c r="D2405">
        <v>1337.0050048999999</v>
      </c>
      <c r="E2405">
        <v>1326.2541504000001</v>
      </c>
      <c r="F2405">
        <v>1324.0963135</v>
      </c>
      <c r="G2405">
        <v>80</v>
      </c>
      <c r="H2405">
        <v>79.976669311999999</v>
      </c>
      <c r="I2405">
        <v>50</v>
      </c>
      <c r="J2405">
        <v>47.831058501999998</v>
      </c>
      <c r="K2405">
        <v>2400</v>
      </c>
      <c r="L2405">
        <v>0</v>
      </c>
      <c r="M2405">
        <v>0</v>
      </c>
      <c r="N2405">
        <v>2400</v>
      </c>
    </row>
    <row r="2406" spans="1:14" x14ac:dyDescent="0.25">
      <c r="A2406">
        <v>1547.2727890000001</v>
      </c>
      <c r="B2406" s="1">
        <f>DATE(2014,7,26) + TIME(6,32,48)</f>
        <v>41846.272777777776</v>
      </c>
      <c r="C2406">
        <v>1339.1561279</v>
      </c>
      <c r="D2406">
        <v>1337.0024414</v>
      </c>
      <c r="E2406">
        <v>1326.2357178</v>
      </c>
      <c r="F2406">
        <v>1324.0667725000001</v>
      </c>
      <c r="G2406">
        <v>80</v>
      </c>
      <c r="H2406">
        <v>79.976654053000004</v>
      </c>
      <c r="I2406">
        <v>50</v>
      </c>
      <c r="J2406">
        <v>47.834983825999998</v>
      </c>
      <c r="K2406">
        <v>2400</v>
      </c>
      <c r="L2406">
        <v>0</v>
      </c>
      <c r="M2406">
        <v>0</v>
      </c>
      <c r="N2406">
        <v>2400</v>
      </c>
    </row>
    <row r="2407" spans="1:14" x14ac:dyDescent="0.25">
      <c r="A2407">
        <v>1549.3508320000001</v>
      </c>
      <c r="B2407" s="1">
        <f>DATE(2014,7,28) + TIME(8,25,11)</f>
        <v>41848.350821759261</v>
      </c>
      <c r="C2407">
        <v>1339.1497803</v>
      </c>
      <c r="D2407">
        <v>1336.9997559000001</v>
      </c>
      <c r="E2407">
        <v>1326.2176514</v>
      </c>
      <c r="F2407">
        <v>1324.0375977000001</v>
      </c>
      <c r="G2407">
        <v>80</v>
      </c>
      <c r="H2407">
        <v>79.976638793999996</v>
      </c>
      <c r="I2407">
        <v>50</v>
      </c>
      <c r="J2407">
        <v>47.846294403000002</v>
      </c>
      <c r="K2407">
        <v>2400</v>
      </c>
      <c r="L2407">
        <v>0</v>
      </c>
      <c r="M2407">
        <v>0</v>
      </c>
      <c r="N2407">
        <v>2400</v>
      </c>
    </row>
    <row r="2408" spans="1:14" x14ac:dyDescent="0.25">
      <c r="A2408">
        <v>1551.482806</v>
      </c>
      <c r="B2408" s="1">
        <f>DATE(2014,7,30) + TIME(11,35,14)</f>
        <v>41850.482800925929</v>
      </c>
      <c r="C2408">
        <v>1339.1433105000001</v>
      </c>
      <c r="D2408">
        <v>1336.9970702999999</v>
      </c>
      <c r="E2408">
        <v>1326.1999512</v>
      </c>
      <c r="F2408">
        <v>1324.0086670000001</v>
      </c>
      <c r="G2408">
        <v>80</v>
      </c>
      <c r="H2408">
        <v>79.976631165000001</v>
      </c>
      <c r="I2408">
        <v>50</v>
      </c>
      <c r="J2408">
        <v>47.866477965999998</v>
      </c>
      <c r="K2408">
        <v>2400</v>
      </c>
      <c r="L2408">
        <v>0</v>
      </c>
      <c r="M2408">
        <v>0</v>
      </c>
      <c r="N2408">
        <v>2400</v>
      </c>
    </row>
    <row r="2409" spans="1:14" x14ac:dyDescent="0.25">
      <c r="A2409">
        <v>1553</v>
      </c>
      <c r="B2409" s="1">
        <f>DATE(2014,8,1) + TIME(0,0,0)</f>
        <v>41852</v>
      </c>
      <c r="C2409">
        <v>1339.1369629000001</v>
      </c>
      <c r="D2409">
        <v>1336.9943848</v>
      </c>
      <c r="E2409">
        <v>1326.1831055</v>
      </c>
      <c r="F2409">
        <v>1323.9808350000001</v>
      </c>
      <c r="G2409">
        <v>80</v>
      </c>
      <c r="H2409">
        <v>79.976608275999993</v>
      </c>
      <c r="I2409">
        <v>50</v>
      </c>
      <c r="J2409">
        <v>47.894351958999998</v>
      </c>
      <c r="K2409">
        <v>2400</v>
      </c>
      <c r="L2409">
        <v>0</v>
      </c>
      <c r="M2409">
        <v>0</v>
      </c>
      <c r="N2409">
        <v>2400</v>
      </c>
    </row>
    <row r="2410" spans="1:14" x14ac:dyDescent="0.25">
      <c r="A2410">
        <v>1554.0798709999999</v>
      </c>
      <c r="B2410" s="1">
        <f>DATE(2014,8,2) + TIME(1,55,0)</f>
        <v>41853.079861111109</v>
      </c>
      <c r="C2410">
        <v>1339.1324463000001</v>
      </c>
      <c r="D2410">
        <v>1336.9924315999999</v>
      </c>
      <c r="E2410">
        <v>1326.1701660000001</v>
      </c>
      <c r="F2410">
        <v>1323.9593506000001</v>
      </c>
      <c r="G2410">
        <v>80</v>
      </c>
      <c r="H2410">
        <v>79.976600646999998</v>
      </c>
      <c r="I2410">
        <v>50</v>
      </c>
      <c r="J2410">
        <v>47.922378539999997</v>
      </c>
      <c r="K2410">
        <v>2400</v>
      </c>
      <c r="L2410">
        <v>0</v>
      </c>
      <c r="M2410">
        <v>0</v>
      </c>
      <c r="N2410">
        <v>2400</v>
      </c>
    </row>
    <row r="2411" spans="1:14" x14ac:dyDescent="0.25">
      <c r="A2411">
        <v>1556.1142620000001</v>
      </c>
      <c r="B2411" s="1">
        <f>DATE(2014,8,4) + TIME(2,44,32)</f>
        <v>41855.114259259259</v>
      </c>
      <c r="C2411">
        <v>1339.1293945</v>
      </c>
      <c r="D2411">
        <v>1336.9910889</v>
      </c>
      <c r="E2411">
        <v>1326.159668</v>
      </c>
      <c r="F2411">
        <v>1323.9418945</v>
      </c>
      <c r="G2411">
        <v>80</v>
      </c>
      <c r="H2411">
        <v>79.976600646999998</v>
      </c>
      <c r="I2411">
        <v>50</v>
      </c>
      <c r="J2411">
        <v>47.957969665999997</v>
      </c>
      <c r="K2411">
        <v>2400</v>
      </c>
      <c r="L2411">
        <v>0</v>
      </c>
      <c r="M2411">
        <v>0</v>
      </c>
      <c r="N2411">
        <v>2400</v>
      </c>
    </row>
    <row r="2412" spans="1:14" x14ac:dyDescent="0.25">
      <c r="A2412">
        <v>1558.2252599999999</v>
      </c>
      <c r="B2412" s="1">
        <f>DATE(2014,8,6) + TIME(5,24,22)</f>
        <v>41857.225254629629</v>
      </c>
      <c r="C2412">
        <v>1339.1235352000001</v>
      </c>
      <c r="D2412">
        <v>1336.9885254000001</v>
      </c>
      <c r="E2412">
        <v>1326.1459961</v>
      </c>
      <c r="F2412">
        <v>1323.9187012</v>
      </c>
      <c r="G2412">
        <v>80</v>
      </c>
      <c r="H2412">
        <v>79.976593018000003</v>
      </c>
      <c r="I2412">
        <v>50</v>
      </c>
      <c r="J2412">
        <v>48.013961792000003</v>
      </c>
      <c r="K2412">
        <v>2400</v>
      </c>
      <c r="L2412">
        <v>0</v>
      </c>
      <c r="M2412">
        <v>0</v>
      </c>
      <c r="N2412">
        <v>2400</v>
      </c>
    </row>
    <row r="2413" spans="1:14" x14ac:dyDescent="0.25">
      <c r="A2413">
        <v>1560.3788070000001</v>
      </c>
      <c r="B2413" s="1">
        <f>DATE(2014,8,8) + TIME(9,5,28)</f>
        <v>41859.378796296296</v>
      </c>
      <c r="C2413">
        <v>1339.1175536999999</v>
      </c>
      <c r="D2413">
        <v>1336.9858397999999</v>
      </c>
      <c r="E2413">
        <v>1326.1315918</v>
      </c>
      <c r="F2413">
        <v>1323.894043</v>
      </c>
      <c r="G2413">
        <v>80</v>
      </c>
      <c r="H2413">
        <v>79.976585388000004</v>
      </c>
      <c r="I2413">
        <v>50</v>
      </c>
      <c r="J2413">
        <v>48.089118958</v>
      </c>
      <c r="K2413">
        <v>2400</v>
      </c>
      <c r="L2413">
        <v>0</v>
      </c>
      <c r="M2413">
        <v>0</v>
      </c>
      <c r="N2413">
        <v>2400</v>
      </c>
    </row>
    <row r="2414" spans="1:14" x14ac:dyDescent="0.25">
      <c r="A2414">
        <v>1561.482638</v>
      </c>
      <c r="B2414" s="1">
        <f>DATE(2014,8,9) + TIME(11,34,59)</f>
        <v>41860.482627314814</v>
      </c>
      <c r="C2414">
        <v>1339.1115723</v>
      </c>
      <c r="D2414">
        <v>1336.9831543</v>
      </c>
      <c r="E2414">
        <v>1326.1187743999999</v>
      </c>
      <c r="F2414">
        <v>1323.8710937999999</v>
      </c>
      <c r="G2414">
        <v>80</v>
      </c>
      <c r="H2414">
        <v>79.976570128999995</v>
      </c>
      <c r="I2414">
        <v>50</v>
      </c>
      <c r="J2414">
        <v>48.166046143000003</v>
      </c>
      <c r="K2414">
        <v>2400</v>
      </c>
      <c r="L2414">
        <v>0</v>
      </c>
      <c r="M2414">
        <v>0</v>
      </c>
      <c r="N2414">
        <v>2400</v>
      </c>
    </row>
    <row r="2415" spans="1:14" x14ac:dyDescent="0.25">
      <c r="A2415">
        <v>1563.4826640000001</v>
      </c>
      <c r="B2415" s="1">
        <f>DATE(2014,8,11) + TIME(11,35,2)</f>
        <v>41862.482662037037</v>
      </c>
      <c r="C2415">
        <v>1339.1086425999999</v>
      </c>
      <c r="D2415">
        <v>1336.9816894999999</v>
      </c>
      <c r="E2415">
        <v>1326.1087646000001</v>
      </c>
      <c r="F2415">
        <v>1323.8546143000001</v>
      </c>
      <c r="G2415">
        <v>80</v>
      </c>
      <c r="H2415">
        <v>79.976570128999995</v>
      </c>
      <c r="I2415">
        <v>50</v>
      </c>
      <c r="J2415">
        <v>48.250446320000002</v>
      </c>
      <c r="K2415">
        <v>2400</v>
      </c>
      <c r="L2415">
        <v>0</v>
      </c>
      <c r="M2415">
        <v>0</v>
      </c>
      <c r="N2415">
        <v>2400</v>
      </c>
    </row>
    <row r="2416" spans="1:14" x14ac:dyDescent="0.25">
      <c r="A2416">
        <v>1565.6176840000001</v>
      </c>
      <c r="B2416" s="1">
        <f>DATE(2014,8,13) + TIME(14,49,27)</f>
        <v>41864.617673611108</v>
      </c>
      <c r="C2416">
        <v>1339.1032714999999</v>
      </c>
      <c r="D2416">
        <v>1336.9792480000001</v>
      </c>
      <c r="E2416">
        <v>1326.0974120999999</v>
      </c>
      <c r="F2416">
        <v>1323.8343506000001</v>
      </c>
      <c r="G2416">
        <v>80</v>
      </c>
      <c r="H2416">
        <v>79.976570128999995</v>
      </c>
      <c r="I2416">
        <v>50</v>
      </c>
      <c r="J2416">
        <v>48.369007111000002</v>
      </c>
      <c r="K2416">
        <v>2400</v>
      </c>
      <c r="L2416">
        <v>0</v>
      </c>
      <c r="M2416">
        <v>0</v>
      </c>
      <c r="N2416">
        <v>2400</v>
      </c>
    </row>
    <row r="2417" spans="1:14" x14ac:dyDescent="0.25">
      <c r="A2417">
        <v>1567.8070479999999</v>
      </c>
      <c r="B2417" s="1">
        <f>DATE(2014,8,15) + TIME(19,22,8)</f>
        <v>41866.807037037041</v>
      </c>
      <c r="C2417">
        <v>1339.0976562000001</v>
      </c>
      <c r="D2417">
        <v>1336.9765625</v>
      </c>
      <c r="E2417">
        <v>1326.0858154</v>
      </c>
      <c r="F2417">
        <v>1323.8134766000001</v>
      </c>
      <c r="G2417">
        <v>80</v>
      </c>
      <c r="H2417">
        <v>79.9765625</v>
      </c>
      <c r="I2417">
        <v>50</v>
      </c>
      <c r="J2417">
        <v>48.520751953000001</v>
      </c>
      <c r="K2417">
        <v>2400</v>
      </c>
      <c r="L2417">
        <v>0</v>
      </c>
      <c r="M2417">
        <v>0</v>
      </c>
      <c r="N2417">
        <v>2400</v>
      </c>
    </row>
    <row r="2418" spans="1:14" x14ac:dyDescent="0.25">
      <c r="A2418">
        <v>1568.9200659999999</v>
      </c>
      <c r="B2418" s="1">
        <f>DATE(2014,8,16) + TIME(22,4,53)</f>
        <v>41867.920057870368</v>
      </c>
      <c r="C2418">
        <v>1339.0919189000001</v>
      </c>
      <c r="D2418">
        <v>1336.9738769999999</v>
      </c>
      <c r="E2418">
        <v>1326.0761719</v>
      </c>
      <c r="F2418">
        <v>1323.7943115</v>
      </c>
      <c r="G2418">
        <v>80</v>
      </c>
      <c r="H2418">
        <v>79.976547241000006</v>
      </c>
      <c r="I2418">
        <v>50</v>
      </c>
      <c r="J2418">
        <v>48.669761657999999</v>
      </c>
      <c r="K2418">
        <v>2400</v>
      </c>
      <c r="L2418">
        <v>0</v>
      </c>
      <c r="M2418">
        <v>0</v>
      </c>
      <c r="N2418">
        <v>2400</v>
      </c>
    </row>
    <row r="2419" spans="1:14" x14ac:dyDescent="0.25">
      <c r="A2419">
        <v>1570.8721350000001</v>
      </c>
      <c r="B2419" s="1">
        <f>DATE(2014,8,18) + TIME(20,55,52)</f>
        <v>41869.872129629628</v>
      </c>
      <c r="C2419">
        <v>1339.0891113</v>
      </c>
      <c r="D2419">
        <v>1336.9725341999999</v>
      </c>
      <c r="E2419">
        <v>1326.067749</v>
      </c>
      <c r="F2419">
        <v>1323.7811279</v>
      </c>
      <c r="G2419">
        <v>80</v>
      </c>
      <c r="H2419">
        <v>79.976554871000005</v>
      </c>
      <c r="I2419">
        <v>50</v>
      </c>
      <c r="J2419">
        <v>48.825302123999997</v>
      </c>
      <c r="K2419">
        <v>2400</v>
      </c>
      <c r="L2419">
        <v>0</v>
      </c>
      <c r="M2419">
        <v>0</v>
      </c>
      <c r="N2419">
        <v>2400</v>
      </c>
    </row>
    <row r="2420" spans="1:14" x14ac:dyDescent="0.25">
      <c r="A2420">
        <v>1573.0317889999999</v>
      </c>
      <c r="B2420" s="1">
        <f>DATE(2014,8,21) + TIME(0,45,46)</f>
        <v>41872.031782407408</v>
      </c>
      <c r="C2420">
        <v>1339.0842285000001</v>
      </c>
      <c r="D2420">
        <v>1336.9702147999999</v>
      </c>
      <c r="E2420">
        <v>1326.0594481999999</v>
      </c>
      <c r="F2420">
        <v>1323.7653809000001</v>
      </c>
      <c r="G2420">
        <v>80</v>
      </c>
      <c r="H2420">
        <v>79.976554871000005</v>
      </c>
      <c r="I2420">
        <v>50</v>
      </c>
      <c r="J2420">
        <v>49.033157349</v>
      </c>
      <c r="K2420">
        <v>2400</v>
      </c>
      <c r="L2420">
        <v>0</v>
      </c>
      <c r="M2420">
        <v>0</v>
      </c>
      <c r="N2420">
        <v>2400</v>
      </c>
    </row>
    <row r="2421" spans="1:14" x14ac:dyDescent="0.25">
      <c r="A2421">
        <v>1575.2698580000001</v>
      </c>
      <c r="B2421" s="1">
        <f>DATE(2014,8,23) + TIME(6,28,35)</f>
        <v>41874.269849537035</v>
      </c>
      <c r="C2421">
        <v>1339.0788574000001</v>
      </c>
      <c r="D2421">
        <v>1336.9675293</v>
      </c>
      <c r="E2421">
        <v>1326.0509033000001</v>
      </c>
      <c r="F2421">
        <v>1323.7491454999999</v>
      </c>
      <c r="G2421">
        <v>80</v>
      </c>
      <c r="H2421">
        <v>79.976554871000005</v>
      </c>
      <c r="I2421">
        <v>50</v>
      </c>
      <c r="J2421">
        <v>49.292465210000003</v>
      </c>
      <c r="K2421">
        <v>2400</v>
      </c>
      <c r="L2421">
        <v>0</v>
      </c>
      <c r="M2421">
        <v>0</v>
      </c>
      <c r="N2421">
        <v>2400</v>
      </c>
    </row>
    <row r="2422" spans="1:14" x14ac:dyDescent="0.25">
      <c r="A2422">
        <v>1577.522154</v>
      </c>
      <c r="B2422" s="1">
        <f>DATE(2014,8,25) + TIME(12,31,54)</f>
        <v>41876.522152777776</v>
      </c>
      <c r="C2422">
        <v>1339.0733643000001</v>
      </c>
      <c r="D2422">
        <v>1336.9648437999999</v>
      </c>
      <c r="E2422">
        <v>1326.0427245999999</v>
      </c>
      <c r="F2422">
        <v>1323.7336425999999</v>
      </c>
      <c r="G2422">
        <v>80</v>
      </c>
      <c r="H2422">
        <v>79.976547241000006</v>
      </c>
      <c r="I2422">
        <v>50</v>
      </c>
      <c r="J2422">
        <v>49.600471497000001</v>
      </c>
      <c r="K2422">
        <v>2400</v>
      </c>
      <c r="L2422">
        <v>0</v>
      </c>
      <c r="M2422">
        <v>0</v>
      </c>
      <c r="N2422">
        <v>2400</v>
      </c>
    </row>
    <row r="2423" spans="1:14" x14ac:dyDescent="0.25">
      <c r="A2423">
        <v>1579.7912249999999</v>
      </c>
      <c r="B2423" s="1">
        <f>DATE(2014,8,27) + TIME(18,59,21)</f>
        <v>41878.791215277779</v>
      </c>
      <c r="C2423">
        <v>1339.0679932</v>
      </c>
      <c r="D2423">
        <v>1336.9621582</v>
      </c>
      <c r="E2423">
        <v>1326.0352783000001</v>
      </c>
      <c r="F2423">
        <v>1323.7196045000001</v>
      </c>
      <c r="G2423">
        <v>80</v>
      </c>
      <c r="H2423">
        <v>79.976547241000006</v>
      </c>
      <c r="I2423">
        <v>50</v>
      </c>
      <c r="J2423">
        <v>49.945209503000001</v>
      </c>
      <c r="K2423">
        <v>2400</v>
      </c>
      <c r="L2423">
        <v>0</v>
      </c>
      <c r="M2423">
        <v>0</v>
      </c>
      <c r="N2423">
        <v>2400</v>
      </c>
    </row>
    <row r="2424" spans="1:14" x14ac:dyDescent="0.25">
      <c r="A2424">
        <v>1582.06087</v>
      </c>
      <c r="B2424" s="1">
        <f>DATE(2014,8,30) + TIME(1,27,39)</f>
        <v>41881.060868055552</v>
      </c>
      <c r="C2424">
        <v>1339.0626221</v>
      </c>
      <c r="D2424">
        <v>1336.9594727000001</v>
      </c>
      <c r="E2424">
        <v>1326.0286865</v>
      </c>
      <c r="F2424">
        <v>1323.7069091999999</v>
      </c>
      <c r="G2424">
        <v>80</v>
      </c>
      <c r="H2424">
        <v>79.976547241000006</v>
      </c>
      <c r="I2424">
        <v>50</v>
      </c>
      <c r="J2424">
        <v>50.325435638000002</v>
      </c>
      <c r="K2424">
        <v>2400</v>
      </c>
      <c r="L2424">
        <v>0</v>
      </c>
      <c r="M2424">
        <v>0</v>
      </c>
      <c r="N2424">
        <v>2400</v>
      </c>
    </row>
    <row r="2425" spans="1:14" x14ac:dyDescent="0.25">
      <c r="A2425">
        <v>1584</v>
      </c>
      <c r="B2425" s="1">
        <f>DATE(2014,9,1) + TIME(0,0,0)</f>
        <v>41883</v>
      </c>
      <c r="C2425">
        <v>1339.0574951000001</v>
      </c>
      <c r="D2425">
        <v>1336.9569091999999</v>
      </c>
      <c r="E2425">
        <v>1326.0233154</v>
      </c>
      <c r="F2425">
        <v>1323.6961670000001</v>
      </c>
      <c r="G2425">
        <v>80</v>
      </c>
      <c r="H2425">
        <v>79.976547241000006</v>
      </c>
      <c r="I2425">
        <v>50</v>
      </c>
      <c r="J2425">
        <v>50.723674774000003</v>
      </c>
      <c r="K2425">
        <v>2400</v>
      </c>
      <c r="L2425">
        <v>0</v>
      </c>
      <c r="M2425">
        <v>0</v>
      </c>
      <c r="N2425">
        <v>2400</v>
      </c>
    </row>
    <row r="2426" spans="1:14" x14ac:dyDescent="0.25">
      <c r="A2426">
        <v>1586.3081999999999</v>
      </c>
      <c r="B2426" s="1">
        <f>DATE(2014,9,3) + TIME(7,23,48)</f>
        <v>41885.308194444442</v>
      </c>
      <c r="C2426">
        <v>1339.0531006000001</v>
      </c>
      <c r="D2426">
        <v>1336.9545897999999</v>
      </c>
      <c r="E2426">
        <v>1326.0181885</v>
      </c>
      <c r="F2426">
        <v>1323.6877440999999</v>
      </c>
      <c r="G2426">
        <v>80</v>
      </c>
      <c r="H2426">
        <v>79.976547241000006</v>
      </c>
      <c r="I2426">
        <v>50</v>
      </c>
      <c r="J2426">
        <v>51.130226135000001</v>
      </c>
      <c r="K2426">
        <v>2400</v>
      </c>
      <c r="L2426">
        <v>0</v>
      </c>
      <c r="M2426">
        <v>0</v>
      </c>
      <c r="N2426">
        <v>2400</v>
      </c>
    </row>
    <row r="2427" spans="1:14" x14ac:dyDescent="0.25">
      <c r="A2427">
        <v>1588.747895</v>
      </c>
      <c r="B2427" s="1">
        <f>DATE(2014,9,5) + TIME(17,56,58)</f>
        <v>41887.747893518521</v>
      </c>
      <c r="C2427">
        <v>1339.0479736</v>
      </c>
      <c r="D2427">
        <v>1336.9519043</v>
      </c>
      <c r="E2427">
        <v>1326.0139160000001</v>
      </c>
      <c r="F2427">
        <v>1323.6796875</v>
      </c>
      <c r="G2427">
        <v>80</v>
      </c>
      <c r="H2427">
        <v>79.976547241000006</v>
      </c>
      <c r="I2427">
        <v>50</v>
      </c>
      <c r="J2427">
        <v>51.597846984999997</v>
      </c>
      <c r="K2427">
        <v>2400</v>
      </c>
      <c r="L2427">
        <v>0</v>
      </c>
      <c r="M2427">
        <v>0</v>
      </c>
      <c r="N2427">
        <v>2400</v>
      </c>
    </row>
    <row r="2428" spans="1:14" x14ac:dyDescent="0.25">
      <c r="A2428">
        <v>1591.3002449999999</v>
      </c>
      <c r="B2428" s="1">
        <f>DATE(2014,9,8) + TIME(7,12,21)</f>
        <v>41890.300243055557</v>
      </c>
      <c r="C2428">
        <v>1339.0426024999999</v>
      </c>
      <c r="D2428">
        <v>1336.9492187999999</v>
      </c>
      <c r="E2428">
        <v>1326.0102539</v>
      </c>
      <c r="F2428">
        <v>1323.6726074000001</v>
      </c>
      <c r="G2428">
        <v>80</v>
      </c>
      <c r="H2428">
        <v>79.976554871000005</v>
      </c>
      <c r="I2428">
        <v>50</v>
      </c>
      <c r="J2428">
        <v>52.111545563</v>
      </c>
      <c r="K2428">
        <v>2400</v>
      </c>
      <c r="L2428">
        <v>0</v>
      </c>
      <c r="M2428">
        <v>0</v>
      </c>
      <c r="N2428">
        <v>2400</v>
      </c>
    </row>
    <row r="2429" spans="1:14" x14ac:dyDescent="0.25">
      <c r="A2429">
        <v>1593.989912</v>
      </c>
      <c r="B2429" s="1">
        <f>DATE(2014,9,10) + TIME(23,45,28)</f>
        <v>41892.989907407406</v>
      </c>
      <c r="C2429">
        <v>1339.0371094</v>
      </c>
      <c r="D2429">
        <v>1336.9462891000001</v>
      </c>
      <c r="E2429">
        <v>1326.0069579999999</v>
      </c>
      <c r="F2429">
        <v>1323.666626</v>
      </c>
      <c r="G2429">
        <v>80</v>
      </c>
      <c r="H2429">
        <v>79.976554871000005</v>
      </c>
      <c r="I2429">
        <v>50</v>
      </c>
      <c r="J2429">
        <v>52.660984038999999</v>
      </c>
      <c r="K2429">
        <v>2400</v>
      </c>
      <c r="L2429">
        <v>0</v>
      </c>
      <c r="M2429">
        <v>0</v>
      </c>
      <c r="N2429">
        <v>2400</v>
      </c>
    </row>
    <row r="2430" spans="1:14" x14ac:dyDescent="0.25">
      <c r="A2430">
        <v>1596.8098890000001</v>
      </c>
      <c r="B2430" s="1">
        <f>DATE(2014,9,13) + TIME(19,26,14)</f>
        <v>41895.809884259259</v>
      </c>
      <c r="C2430">
        <v>1339.0314940999999</v>
      </c>
      <c r="D2430">
        <v>1336.9433594</v>
      </c>
      <c r="E2430">
        <v>1326.0043945</v>
      </c>
      <c r="F2430">
        <v>1323.6617432</v>
      </c>
      <c r="G2430">
        <v>80</v>
      </c>
      <c r="H2430">
        <v>79.9765625</v>
      </c>
      <c r="I2430">
        <v>50</v>
      </c>
      <c r="J2430">
        <v>53.240810394</v>
      </c>
      <c r="K2430">
        <v>2400</v>
      </c>
      <c r="L2430">
        <v>0</v>
      </c>
      <c r="M2430">
        <v>0</v>
      </c>
      <c r="N2430">
        <v>2400</v>
      </c>
    </row>
    <row r="2431" spans="1:14" x14ac:dyDescent="0.25">
      <c r="A2431">
        <v>1599.772624</v>
      </c>
      <c r="B2431" s="1">
        <f>DATE(2014,9,16) + TIME(18,32,34)</f>
        <v>41898.772615740738</v>
      </c>
      <c r="C2431">
        <v>1339.0257568</v>
      </c>
      <c r="D2431">
        <v>1336.9403076000001</v>
      </c>
      <c r="E2431">
        <v>1326.0023193</v>
      </c>
      <c r="F2431">
        <v>1323.6579589999999</v>
      </c>
      <c r="G2431">
        <v>80</v>
      </c>
      <c r="H2431">
        <v>79.976570128999995</v>
      </c>
      <c r="I2431">
        <v>50</v>
      </c>
      <c r="J2431">
        <v>53.843196869000003</v>
      </c>
      <c r="K2431">
        <v>2400</v>
      </c>
      <c r="L2431">
        <v>0</v>
      </c>
      <c r="M2431">
        <v>0</v>
      </c>
      <c r="N2431">
        <v>2400</v>
      </c>
    </row>
    <row r="2432" spans="1:14" x14ac:dyDescent="0.25">
      <c r="A2432">
        <v>1602.798702</v>
      </c>
      <c r="B2432" s="1">
        <f>DATE(2014,9,19) + TIME(19,10,7)</f>
        <v>41901.798692129632</v>
      </c>
      <c r="C2432">
        <v>1339.0197754000001</v>
      </c>
      <c r="D2432">
        <v>1336.9371338000001</v>
      </c>
      <c r="E2432">
        <v>1326.0010986</v>
      </c>
      <c r="F2432">
        <v>1323.6551514</v>
      </c>
      <c r="G2432">
        <v>80</v>
      </c>
      <c r="H2432">
        <v>79.976577758999994</v>
      </c>
      <c r="I2432">
        <v>50</v>
      </c>
      <c r="J2432">
        <v>54.450740814</v>
      </c>
      <c r="K2432">
        <v>2400</v>
      </c>
      <c r="L2432">
        <v>0</v>
      </c>
      <c r="M2432">
        <v>0</v>
      </c>
      <c r="N2432">
        <v>2400</v>
      </c>
    </row>
    <row r="2433" spans="1:14" x14ac:dyDescent="0.25">
      <c r="A2433">
        <v>1605.9415759999999</v>
      </c>
      <c r="B2433" s="1">
        <f>DATE(2014,9,22) + TIME(22,35,52)</f>
        <v>41904.941574074073</v>
      </c>
      <c r="C2433">
        <v>1339.0139160000001</v>
      </c>
      <c r="D2433">
        <v>1336.9339600000001</v>
      </c>
      <c r="E2433">
        <v>1326.0004882999999</v>
      </c>
      <c r="F2433">
        <v>1323.6536865</v>
      </c>
      <c r="G2433">
        <v>80</v>
      </c>
      <c r="H2433">
        <v>79.976577758999994</v>
      </c>
      <c r="I2433">
        <v>50</v>
      </c>
      <c r="J2433">
        <v>55.055568694999998</v>
      </c>
      <c r="K2433">
        <v>2400</v>
      </c>
      <c r="L2433">
        <v>0</v>
      </c>
      <c r="M2433">
        <v>0</v>
      </c>
      <c r="N2433">
        <v>2400</v>
      </c>
    </row>
    <row r="2434" spans="1:14" x14ac:dyDescent="0.25">
      <c r="A2434">
        <v>1609.2323249999999</v>
      </c>
      <c r="B2434" s="1">
        <f>DATE(2014,9,26) + TIME(5,34,32)</f>
        <v>41908.232314814813</v>
      </c>
      <c r="C2434">
        <v>1339.0079346</v>
      </c>
      <c r="D2434">
        <v>1336.9306641000001</v>
      </c>
      <c r="E2434">
        <v>1326.0004882999999</v>
      </c>
      <c r="F2434">
        <v>1323.6530762</v>
      </c>
      <c r="G2434">
        <v>80</v>
      </c>
      <c r="H2434">
        <v>79.976593018000003</v>
      </c>
      <c r="I2434">
        <v>50</v>
      </c>
      <c r="J2434">
        <v>55.654907227000002</v>
      </c>
      <c r="K2434">
        <v>2400</v>
      </c>
      <c r="L2434">
        <v>0</v>
      </c>
      <c r="M2434">
        <v>0</v>
      </c>
      <c r="N2434">
        <v>2400</v>
      </c>
    </row>
    <row r="2435" spans="1:14" x14ac:dyDescent="0.25">
      <c r="A2435">
        <v>1612.594278</v>
      </c>
      <c r="B2435" s="1">
        <f>DATE(2014,9,29) + TIME(14,15,45)</f>
        <v>41911.594270833331</v>
      </c>
      <c r="C2435">
        <v>1339.0019531</v>
      </c>
      <c r="D2435">
        <v>1336.9273682</v>
      </c>
      <c r="E2435">
        <v>1326.0012207</v>
      </c>
      <c r="F2435">
        <v>1323.6534423999999</v>
      </c>
      <c r="G2435">
        <v>80</v>
      </c>
      <c r="H2435">
        <v>79.976600646999998</v>
      </c>
      <c r="I2435">
        <v>50</v>
      </c>
      <c r="J2435">
        <v>56.256317138999997</v>
      </c>
      <c r="K2435">
        <v>2400</v>
      </c>
      <c r="L2435">
        <v>0</v>
      </c>
      <c r="M2435">
        <v>0</v>
      </c>
      <c r="N2435">
        <v>2400</v>
      </c>
    </row>
    <row r="2436" spans="1:14" x14ac:dyDescent="0.25">
      <c r="A2436">
        <v>1614</v>
      </c>
      <c r="B2436" s="1">
        <f>DATE(2014,10,1) + TIME(0,0,0)</f>
        <v>41913</v>
      </c>
      <c r="C2436">
        <v>1338.9959716999999</v>
      </c>
      <c r="D2436">
        <v>1336.9241943</v>
      </c>
      <c r="E2436">
        <v>1326.0048827999999</v>
      </c>
      <c r="F2436">
        <v>1323.6552733999999</v>
      </c>
      <c r="G2436">
        <v>80</v>
      </c>
      <c r="H2436">
        <v>79.976593018000003</v>
      </c>
      <c r="I2436">
        <v>50</v>
      </c>
      <c r="J2436">
        <v>56.736156463999997</v>
      </c>
      <c r="K2436">
        <v>2400</v>
      </c>
      <c r="L2436">
        <v>0</v>
      </c>
      <c r="M2436">
        <v>0</v>
      </c>
      <c r="N2436">
        <v>2400</v>
      </c>
    </row>
    <row r="2437" spans="1:14" x14ac:dyDescent="0.25">
      <c r="A2437">
        <v>1617.4994349999999</v>
      </c>
      <c r="B2437" s="1">
        <f>DATE(2014,10,4) + TIME(11,59,11)</f>
        <v>41916.499432870369</v>
      </c>
      <c r="C2437">
        <v>1338.9935303</v>
      </c>
      <c r="D2437">
        <v>1336.9228516000001</v>
      </c>
      <c r="E2437">
        <v>1326.0035399999999</v>
      </c>
      <c r="F2437">
        <v>1323.6579589999999</v>
      </c>
      <c r="G2437">
        <v>80</v>
      </c>
      <c r="H2437">
        <v>79.976615906000006</v>
      </c>
      <c r="I2437">
        <v>50</v>
      </c>
      <c r="J2437">
        <v>57.109745025999999</v>
      </c>
      <c r="K2437">
        <v>2400</v>
      </c>
      <c r="L2437">
        <v>0</v>
      </c>
      <c r="M2437">
        <v>0</v>
      </c>
      <c r="N2437">
        <v>2400</v>
      </c>
    </row>
    <row r="2438" spans="1:14" x14ac:dyDescent="0.25">
      <c r="A2438">
        <v>1621.1555780000001</v>
      </c>
      <c r="B2438" s="1">
        <f>DATE(2014,10,8) + TIME(3,44,1)</f>
        <v>41920.15556712963</v>
      </c>
      <c r="C2438">
        <v>1338.9874268000001</v>
      </c>
      <c r="D2438">
        <v>1336.9194336</v>
      </c>
      <c r="E2438">
        <v>1326.0048827999999</v>
      </c>
      <c r="F2438">
        <v>1323.6573486</v>
      </c>
      <c r="G2438">
        <v>80</v>
      </c>
      <c r="H2438">
        <v>79.976623535000002</v>
      </c>
      <c r="I2438">
        <v>50</v>
      </c>
      <c r="J2438">
        <v>57.642238616999997</v>
      </c>
      <c r="K2438">
        <v>2400</v>
      </c>
      <c r="L2438">
        <v>0</v>
      </c>
      <c r="M2438">
        <v>0</v>
      </c>
      <c r="N2438">
        <v>2400</v>
      </c>
    </row>
    <row r="2439" spans="1:14" x14ac:dyDescent="0.25">
      <c r="A2439">
        <v>1624.9331420000001</v>
      </c>
      <c r="B2439" s="1">
        <f>DATE(2014,10,11) + TIME(22,23,43)</f>
        <v>41923.933136574073</v>
      </c>
      <c r="C2439">
        <v>1338.9813231999999</v>
      </c>
      <c r="D2439">
        <v>1336.9161377</v>
      </c>
      <c r="E2439">
        <v>1326.0070800999999</v>
      </c>
      <c r="F2439">
        <v>1323.6594238</v>
      </c>
      <c r="G2439">
        <v>80</v>
      </c>
      <c r="H2439">
        <v>79.976638793999996</v>
      </c>
      <c r="I2439">
        <v>50</v>
      </c>
      <c r="J2439">
        <v>58.193206787000001</v>
      </c>
      <c r="K2439">
        <v>2400</v>
      </c>
      <c r="L2439">
        <v>0</v>
      </c>
      <c r="M2439">
        <v>0</v>
      </c>
      <c r="N2439">
        <v>2400</v>
      </c>
    </row>
    <row r="2440" spans="1:14" x14ac:dyDescent="0.25">
      <c r="A2440">
        <v>1628.869056</v>
      </c>
      <c r="B2440" s="1">
        <f>DATE(2014,10,15) + TIME(20,51,26)</f>
        <v>41927.869050925925</v>
      </c>
      <c r="C2440">
        <v>1338.9750977000001</v>
      </c>
      <c r="D2440">
        <v>1336.9127197</v>
      </c>
      <c r="E2440">
        <v>1326.0095214999999</v>
      </c>
      <c r="F2440">
        <v>1323.6621094</v>
      </c>
      <c r="G2440">
        <v>80</v>
      </c>
      <c r="H2440">
        <v>79.976654053000004</v>
      </c>
      <c r="I2440">
        <v>50</v>
      </c>
      <c r="J2440">
        <v>58.729137420999997</v>
      </c>
      <c r="K2440">
        <v>2400</v>
      </c>
      <c r="L2440">
        <v>0</v>
      </c>
      <c r="M2440">
        <v>0</v>
      </c>
      <c r="N2440">
        <v>2400</v>
      </c>
    </row>
    <row r="2441" spans="1:14" x14ac:dyDescent="0.25">
      <c r="A2441">
        <v>1632.888453</v>
      </c>
      <c r="B2441" s="1">
        <f>DATE(2014,10,19) + TIME(21,19,22)</f>
        <v>41931.888449074075</v>
      </c>
      <c r="C2441">
        <v>1338.9688721</v>
      </c>
      <c r="D2441">
        <v>1336.9091797000001</v>
      </c>
      <c r="E2441">
        <v>1326.012207</v>
      </c>
      <c r="F2441">
        <v>1323.6650391000001</v>
      </c>
      <c r="G2441">
        <v>80</v>
      </c>
      <c r="H2441">
        <v>79.976669311999999</v>
      </c>
      <c r="I2441">
        <v>50</v>
      </c>
      <c r="J2441">
        <v>59.254177093999999</v>
      </c>
      <c r="K2441">
        <v>2400</v>
      </c>
      <c r="L2441">
        <v>0</v>
      </c>
      <c r="M2441">
        <v>0</v>
      </c>
      <c r="N2441">
        <v>2400</v>
      </c>
    </row>
    <row r="2442" spans="1:14" x14ac:dyDescent="0.25">
      <c r="A2442">
        <v>1637.079011</v>
      </c>
      <c r="B2442" s="1">
        <f>DATE(2014,10,24) + TIME(1,53,46)</f>
        <v>41936.079004629632</v>
      </c>
      <c r="C2442">
        <v>1338.9627685999999</v>
      </c>
      <c r="D2442">
        <v>1336.9057617000001</v>
      </c>
      <c r="E2442">
        <v>1326.0150146000001</v>
      </c>
      <c r="F2442">
        <v>1323.6680908000001</v>
      </c>
      <c r="G2442">
        <v>80</v>
      </c>
      <c r="H2442">
        <v>79.976684570000003</v>
      </c>
      <c r="I2442">
        <v>50</v>
      </c>
      <c r="J2442">
        <v>59.753021240000002</v>
      </c>
      <c r="K2442">
        <v>2400</v>
      </c>
      <c r="L2442">
        <v>0</v>
      </c>
      <c r="M2442">
        <v>0</v>
      </c>
      <c r="N2442">
        <v>2400</v>
      </c>
    </row>
    <row r="2443" spans="1:14" x14ac:dyDescent="0.25">
      <c r="A2443">
        <v>1641.384384</v>
      </c>
      <c r="B2443" s="1">
        <f>DATE(2014,10,28) + TIME(9,13,30)</f>
        <v>41940.384375000001</v>
      </c>
      <c r="C2443">
        <v>1338.956543</v>
      </c>
      <c r="D2443">
        <v>1336.9022216999999</v>
      </c>
      <c r="E2443">
        <v>1326.0180664</v>
      </c>
      <c r="F2443">
        <v>1323.6713867000001</v>
      </c>
      <c r="G2443">
        <v>80</v>
      </c>
      <c r="H2443">
        <v>79.976707458000007</v>
      </c>
      <c r="I2443">
        <v>50</v>
      </c>
      <c r="J2443">
        <v>60.240242004000002</v>
      </c>
      <c r="K2443">
        <v>2400</v>
      </c>
      <c r="L2443">
        <v>0</v>
      </c>
      <c r="M2443">
        <v>0</v>
      </c>
      <c r="N2443">
        <v>2400</v>
      </c>
    </row>
    <row r="2444" spans="1:14" x14ac:dyDescent="0.25">
      <c r="A2444">
        <v>1645</v>
      </c>
      <c r="B2444" s="1">
        <f>DATE(2014,11,1) + TIME(0,0,0)</f>
        <v>41944</v>
      </c>
      <c r="C2444">
        <v>1338.9503173999999</v>
      </c>
      <c r="D2444">
        <v>1336.8988036999999</v>
      </c>
      <c r="E2444">
        <v>1326.0216064000001</v>
      </c>
      <c r="F2444">
        <v>1323.6748047000001</v>
      </c>
      <c r="G2444">
        <v>80</v>
      </c>
      <c r="H2444">
        <v>79.976707458000007</v>
      </c>
      <c r="I2444">
        <v>50</v>
      </c>
      <c r="J2444">
        <v>60.687915801999999</v>
      </c>
      <c r="K2444">
        <v>2400</v>
      </c>
      <c r="L2444">
        <v>0</v>
      </c>
      <c r="M2444">
        <v>0</v>
      </c>
      <c r="N2444">
        <v>2400</v>
      </c>
    </row>
    <row r="2445" spans="1:14" x14ac:dyDescent="0.25">
      <c r="A2445">
        <v>1645.0000010000001</v>
      </c>
      <c r="B2445" s="1">
        <f>DATE(2014,11,1) + TIME(0,0,0)</f>
        <v>41944</v>
      </c>
      <c r="C2445">
        <v>1336.2663574000001</v>
      </c>
      <c r="D2445">
        <v>1335.5908202999999</v>
      </c>
      <c r="E2445">
        <v>1329.1914062000001</v>
      </c>
      <c r="F2445">
        <v>1326.9202881000001</v>
      </c>
      <c r="G2445">
        <v>80</v>
      </c>
      <c r="H2445">
        <v>79.976623535000002</v>
      </c>
      <c r="I2445">
        <v>50</v>
      </c>
      <c r="J2445">
        <v>60.688014983999999</v>
      </c>
      <c r="K2445">
        <v>0</v>
      </c>
      <c r="L2445">
        <v>2400</v>
      </c>
      <c r="M2445">
        <v>2400</v>
      </c>
      <c r="N2445">
        <v>0</v>
      </c>
    </row>
    <row r="2446" spans="1:14" x14ac:dyDescent="0.25">
      <c r="A2446">
        <v>1645.000004</v>
      </c>
      <c r="B2446" s="1">
        <f>DATE(2014,11,1) + TIME(0,0,0)</f>
        <v>41944</v>
      </c>
      <c r="C2446">
        <v>1335.4213867000001</v>
      </c>
      <c r="D2446">
        <v>1334.7349853999999</v>
      </c>
      <c r="E2446">
        <v>1330.3673096</v>
      </c>
      <c r="F2446">
        <v>1328.1940918</v>
      </c>
      <c r="G2446">
        <v>80</v>
      </c>
      <c r="H2446">
        <v>79.976501464999998</v>
      </c>
      <c r="I2446">
        <v>50</v>
      </c>
      <c r="J2446">
        <v>60.688133239999999</v>
      </c>
      <c r="K2446">
        <v>0</v>
      </c>
      <c r="L2446">
        <v>2400</v>
      </c>
      <c r="M2446">
        <v>2400</v>
      </c>
      <c r="N2446">
        <v>0</v>
      </c>
    </row>
    <row r="2447" spans="1:14" x14ac:dyDescent="0.25">
      <c r="A2447">
        <v>1645.0000130000001</v>
      </c>
      <c r="B2447" s="1">
        <f>DATE(2014,11,1) + TIME(0,0,1)</f>
        <v>41944.000011574077</v>
      </c>
      <c r="C2447">
        <v>1334.5450439000001</v>
      </c>
      <c r="D2447">
        <v>1333.828125</v>
      </c>
      <c r="E2447">
        <v>1331.7794189000001</v>
      </c>
      <c r="F2447">
        <v>1329.5906981999999</v>
      </c>
      <c r="G2447">
        <v>80</v>
      </c>
      <c r="H2447">
        <v>79.976371764999996</v>
      </c>
      <c r="I2447">
        <v>50</v>
      </c>
      <c r="J2447">
        <v>60.688159943000002</v>
      </c>
      <c r="K2447">
        <v>0</v>
      </c>
      <c r="L2447">
        <v>2400</v>
      </c>
      <c r="M2447">
        <v>2400</v>
      </c>
      <c r="N2447">
        <v>0</v>
      </c>
    </row>
    <row r="2448" spans="1:14" x14ac:dyDescent="0.25">
      <c r="A2448">
        <v>1645.0000399999999</v>
      </c>
      <c r="B2448" s="1">
        <f>DATE(2014,11,1) + TIME(0,0,3)</f>
        <v>41944.000034722223</v>
      </c>
      <c r="C2448">
        <v>1333.6805420000001</v>
      </c>
      <c r="D2448">
        <v>1332.9221190999999</v>
      </c>
      <c r="E2448">
        <v>1333.2056885</v>
      </c>
      <c r="F2448">
        <v>1330.9769286999999</v>
      </c>
      <c r="G2448">
        <v>80</v>
      </c>
      <c r="H2448">
        <v>79.976249695000007</v>
      </c>
      <c r="I2448">
        <v>50</v>
      </c>
      <c r="J2448">
        <v>60.687866210999999</v>
      </c>
      <c r="K2448">
        <v>0</v>
      </c>
      <c r="L2448">
        <v>2400</v>
      </c>
      <c r="M2448">
        <v>2400</v>
      </c>
      <c r="N2448">
        <v>0</v>
      </c>
    </row>
    <row r="2449" spans="1:14" x14ac:dyDescent="0.25">
      <c r="A2449">
        <v>1645.000121</v>
      </c>
      <c r="B2449" s="1">
        <f>DATE(2014,11,1) + TIME(0,0,10)</f>
        <v>41944.000115740739</v>
      </c>
      <c r="C2449">
        <v>1332.7878418</v>
      </c>
      <c r="D2449">
        <v>1331.9758300999999</v>
      </c>
      <c r="E2449">
        <v>1334.6082764</v>
      </c>
      <c r="F2449">
        <v>1332.3395995999999</v>
      </c>
      <c r="G2449">
        <v>80</v>
      </c>
      <c r="H2449">
        <v>79.976112365999995</v>
      </c>
      <c r="I2449">
        <v>50</v>
      </c>
      <c r="J2449">
        <v>60.686580657999997</v>
      </c>
      <c r="K2449">
        <v>0</v>
      </c>
      <c r="L2449">
        <v>2400</v>
      </c>
      <c r="M2449">
        <v>2400</v>
      </c>
      <c r="N2449">
        <v>0</v>
      </c>
    </row>
    <row r="2450" spans="1:14" x14ac:dyDescent="0.25">
      <c r="A2450">
        <v>1645.000364</v>
      </c>
      <c r="B2450" s="1">
        <f>DATE(2014,11,1) + TIME(0,0,31)</f>
        <v>41944.000358796293</v>
      </c>
      <c r="C2450">
        <v>1331.8493652</v>
      </c>
      <c r="D2450">
        <v>1330.9764404</v>
      </c>
      <c r="E2450">
        <v>1335.9830322</v>
      </c>
      <c r="F2450">
        <v>1333.6634521000001</v>
      </c>
      <c r="G2450">
        <v>80</v>
      </c>
      <c r="H2450">
        <v>79.975952148000005</v>
      </c>
      <c r="I2450">
        <v>50</v>
      </c>
      <c r="J2450">
        <v>60.682273864999999</v>
      </c>
      <c r="K2450">
        <v>0</v>
      </c>
      <c r="L2450">
        <v>2400</v>
      </c>
      <c r="M2450">
        <v>2400</v>
      </c>
      <c r="N2450">
        <v>0</v>
      </c>
    </row>
    <row r="2451" spans="1:14" x14ac:dyDescent="0.25">
      <c r="A2451">
        <v>1645.0010930000001</v>
      </c>
      <c r="B2451" s="1">
        <f>DATE(2014,11,1) + TIME(0,1,34)</f>
        <v>41944.001087962963</v>
      </c>
      <c r="C2451">
        <v>1330.9652100000001</v>
      </c>
      <c r="D2451">
        <v>1330.0379639</v>
      </c>
      <c r="E2451">
        <v>1337.2109375</v>
      </c>
      <c r="F2451">
        <v>1334.8337402</v>
      </c>
      <c r="G2451">
        <v>80</v>
      </c>
      <c r="H2451">
        <v>79.975746154999996</v>
      </c>
      <c r="I2451">
        <v>50</v>
      </c>
      <c r="J2451">
        <v>60.66866684</v>
      </c>
      <c r="K2451">
        <v>0</v>
      </c>
      <c r="L2451">
        <v>2400</v>
      </c>
      <c r="M2451">
        <v>2400</v>
      </c>
      <c r="N2451">
        <v>0</v>
      </c>
    </row>
    <row r="2452" spans="1:14" x14ac:dyDescent="0.25">
      <c r="A2452">
        <v>1645.0032799999999</v>
      </c>
      <c r="B2452" s="1">
        <f>DATE(2014,11,1) + TIME(0,4,43)</f>
        <v>41944.003275462965</v>
      </c>
      <c r="C2452">
        <v>1330.3481445</v>
      </c>
      <c r="D2452">
        <v>1329.3898925999999</v>
      </c>
      <c r="E2452">
        <v>1338.0551757999999</v>
      </c>
      <c r="F2452">
        <v>1335.6376952999999</v>
      </c>
      <c r="G2452">
        <v>80</v>
      </c>
      <c r="H2452">
        <v>79.975410460999996</v>
      </c>
      <c r="I2452">
        <v>50</v>
      </c>
      <c r="J2452">
        <v>60.626983643000003</v>
      </c>
      <c r="K2452">
        <v>0</v>
      </c>
      <c r="L2452">
        <v>2400</v>
      </c>
      <c r="M2452">
        <v>2400</v>
      </c>
      <c r="N2452">
        <v>0</v>
      </c>
    </row>
    <row r="2453" spans="1:14" x14ac:dyDescent="0.25">
      <c r="A2453">
        <v>1645.0098410000001</v>
      </c>
      <c r="B2453" s="1">
        <f>DATE(2014,11,1) + TIME(0,14,10)</f>
        <v>41944.009837962964</v>
      </c>
      <c r="C2453">
        <v>1330.1037598</v>
      </c>
      <c r="D2453">
        <v>1329.1354980000001</v>
      </c>
      <c r="E2453">
        <v>1338.4008789</v>
      </c>
      <c r="F2453">
        <v>1335.9685059000001</v>
      </c>
      <c r="G2453">
        <v>80</v>
      </c>
      <c r="H2453">
        <v>79.974632263000004</v>
      </c>
      <c r="I2453">
        <v>50</v>
      </c>
      <c r="J2453">
        <v>60.502601624</v>
      </c>
      <c r="K2453">
        <v>0</v>
      </c>
      <c r="L2453">
        <v>2400</v>
      </c>
      <c r="M2453">
        <v>2400</v>
      </c>
      <c r="N2453">
        <v>0</v>
      </c>
    </row>
    <row r="2454" spans="1:14" x14ac:dyDescent="0.25">
      <c r="A2454">
        <v>1645.029524</v>
      </c>
      <c r="B2454" s="1">
        <f>DATE(2014,11,1) + TIME(0,42,30)</f>
        <v>41944.029513888891</v>
      </c>
      <c r="C2454">
        <v>1330.0620117000001</v>
      </c>
      <c r="D2454">
        <v>1329.0914307</v>
      </c>
      <c r="E2454">
        <v>1338.4559326000001</v>
      </c>
      <c r="F2454">
        <v>1336.0213623</v>
      </c>
      <c r="G2454">
        <v>80</v>
      </c>
      <c r="H2454">
        <v>79.972427367999998</v>
      </c>
      <c r="I2454">
        <v>50</v>
      </c>
      <c r="J2454">
        <v>60.143699646000002</v>
      </c>
      <c r="K2454">
        <v>0</v>
      </c>
      <c r="L2454">
        <v>2400</v>
      </c>
      <c r="M2454">
        <v>2400</v>
      </c>
      <c r="N2454">
        <v>0</v>
      </c>
    </row>
    <row r="2455" spans="1:14" x14ac:dyDescent="0.25">
      <c r="A2455">
        <v>1645.0546240000001</v>
      </c>
      <c r="B2455" s="1">
        <f>DATE(2014,11,1) + TIME(1,18,39)</f>
        <v>41944.054618055554</v>
      </c>
      <c r="C2455">
        <v>1330.0565185999999</v>
      </c>
      <c r="D2455">
        <v>1329.0839844</v>
      </c>
      <c r="E2455">
        <v>1338.4473877</v>
      </c>
      <c r="F2455">
        <v>1336.0134277</v>
      </c>
      <c r="G2455">
        <v>80</v>
      </c>
      <c r="H2455">
        <v>79.969642639</v>
      </c>
      <c r="I2455">
        <v>50</v>
      </c>
      <c r="J2455">
        <v>59.708461761000002</v>
      </c>
      <c r="K2455">
        <v>0</v>
      </c>
      <c r="L2455">
        <v>2400</v>
      </c>
      <c r="M2455">
        <v>2400</v>
      </c>
      <c r="N2455">
        <v>0</v>
      </c>
    </row>
    <row r="2456" spans="1:14" x14ac:dyDescent="0.25">
      <c r="A2456">
        <v>1645.080753</v>
      </c>
      <c r="B2456" s="1">
        <f>DATE(2014,11,1) + TIME(1,56,17)</f>
        <v>41944.080752314818</v>
      </c>
      <c r="C2456">
        <v>1330.0524902</v>
      </c>
      <c r="D2456">
        <v>1329.0777588000001</v>
      </c>
      <c r="E2456">
        <v>1338.4348144999999</v>
      </c>
      <c r="F2456">
        <v>1336.0015868999999</v>
      </c>
      <c r="G2456">
        <v>80</v>
      </c>
      <c r="H2456">
        <v>79.966766356999997</v>
      </c>
      <c r="I2456">
        <v>50</v>
      </c>
      <c r="J2456">
        <v>59.278358459000003</v>
      </c>
      <c r="K2456">
        <v>0</v>
      </c>
      <c r="L2456">
        <v>2400</v>
      </c>
      <c r="M2456">
        <v>2400</v>
      </c>
      <c r="N2456">
        <v>0</v>
      </c>
    </row>
    <row r="2457" spans="1:14" x14ac:dyDescent="0.25">
      <c r="A2457">
        <v>1645.107949</v>
      </c>
      <c r="B2457" s="1">
        <f>DATE(2014,11,1) + TIME(2,35,26)</f>
        <v>41944.107939814814</v>
      </c>
      <c r="C2457">
        <v>1330.0484618999999</v>
      </c>
      <c r="D2457">
        <v>1329.0715332</v>
      </c>
      <c r="E2457">
        <v>1338.4222411999999</v>
      </c>
      <c r="F2457">
        <v>1335.9897461</v>
      </c>
      <c r="G2457">
        <v>80</v>
      </c>
      <c r="H2457">
        <v>79.963790893999999</v>
      </c>
      <c r="I2457">
        <v>50</v>
      </c>
      <c r="J2457">
        <v>58.854114531999997</v>
      </c>
      <c r="K2457">
        <v>0</v>
      </c>
      <c r="L2457">
        <v>2400</v>
      </c>
      <c r="M2457">
        <v>2400</v>
      </c>
      <c r="N2457">
        <v>0</v>
      </c>
    </row>
    <row r="2458" spans="1:14" x14ac:dyDescent="0.25">
      <c r="A2458">
        <v>1645.1362790000001</v>
      </c>
      <c r="B2458" s="1">
        <f>DATE(2014,11,1) + TIME(3,16,14)</f>
        <v>41944.136273148149</v>
      </c>
      <c r="C2458">
        <v>1330.0443115</v>
      </c>
      <c r="D2458">
        <v>1329.0651855000001</v>
      </c>
      <c r="E2458">
        <v>1338.4097899999999</v>
      </c>
      <c r="F2458">
        <v>1335.9781493999999</v>
      </c>
      <c r="G2458">
        <v>80</v>
      </c>
      <c r="H2458">
        <v>79.960723877000007</v>
      </c>
      <c r="I2458">
        <v>50</v>
      </c>
      <c r="J2458">
        <v>58.435924530000001</v>
      </c>
      <c r="K2458">
        <v>0</v>
      </c>
      <c r="L2458">
        <v>2400</v>
      </c>
      <c r="M2458">
        <v>2400</v>
      </c>
      <c r="N2458">
        <v>0</v>
      </c>
    </row>
    <row r="2459" spans="1:14" x14ac:dyDescent="0.25">
      <c r="A2459">
        <v>1645.1658210000001</v>
      </c>
      <c r="B2459" s="1">
        <f>DATE(2014,11,1) + TIME(3,58,46)</f>
        <v>41944.165810185186</v>
      </c>
      <c r="C2459">
        <v>1330.0400391000001</v>
      </c>
      <c r="D2459">
        <v>1329.0587158000001</v>
      </c>
      <c r="E2459">
        <v>1338.3977050999999</v>
      </c>
      <c r="F2459">
        <v>1335.9667969</v>
      </c>
      <c r="G2459">
        <v>80</v>
      </c>
      <c r="H2459">
        <v>79.957542419000006</v>
      </c>
      <c r="I2459">
        <v>50</v>
      </c>
      <c r="J2459">
        <v>58.023941039999997</v>
      </c>
      <c r="K2459">
        <v>0</v>
      </c>
      <c r="L2459">
        <v>2400</v>
      </c>
      <c r="M2459">
        <v>2400</v>
      </c>
      <c r="N2459">
        <v>0</v>
      </c>
    </row>
    <row r="2460" spans="1:14" x14ac:dyDescent="0.25">
      <c r="A2460">
        <v>1645.196653</v>
      </c>
      <c r="B2460" s="1">
        <f>DATE(2014,11,1) + TIME(4,43,10)</f>
        <v>41944.196643518517</v>
      </c>
      <c r="C2460">
        <v>1330.0357666</v>
      </c>
      <c r="D2460">
        <v>1329.0522461</v>
      </c>
      <c r="E2460">
        <v>1338.3857422000001</v>
      </c>
      <c r="F2460">
        <v>1335.9555664</v>
      </c>
      <c r="G2460">
        <v>80</v>
      </c>
      <c r="H2460">
        <v>79.954254149999997</v>
      </c>
      <c r="I2460">
        <v>50</v>
      </c>
      <c r="J2460">
        <v>57.618404388000002</v>
      </c>
      <c r="K2460">
        <v>0</v>
      </c>
      <c r="L2460">
        <v>2400</v>
      </c>
      <c r="M2460">
        <v>2400</v>
      </c>
      <c r="N2460">
        <v>0</v>
      </c>
    </row>
    <row r="2461" spans="1:14" x14ac:dyDescent="0.25">
      <c r="A2461">
        <v>1645.2288610000001</v>
      </c>
      <c r="B2461" s="1">
        <f>DATE(2014,11,1) + TIME(5,29,33)</f>
        <v>41944.228854166664</v>
      </c>
      <c r="C2461">
        <v>1330.0314940999999</v>
      </c>
      <c r="D2461">
        <v>1329.0455322</v>
      </c>
      <c r="E2461">
        <v>1338.3741454999999</v>
      </c>
      <c r="F2461">
        <v>1335.9447021000001</v>
      </c>
      <c r="G2461">
        <v>80</v>
      </c>
      <c r="H2461">
        <v>79.950851439999994</v>
      </c>
      <c r="I2461">
        <v>50</v>
      </c>
      <c r="J2461">
        <v>57.219593048</v>
      </c>
      <c r="K2461">
        <v>0</v>
      </c>
      <c r="L2461">
        <v>2400</v>
      </c>
      <c r="M2461">
        <v>2400</v>
      </c>
      <c r="N2461">
        <v>0</v>
      </c>
    </row>
    <row r="2462" spans="1:14" x14ac:dyDescent="0.25">
      <c r="A2462">
        <v>1645.2625399999999</v>
      </c>
      <c r="B2462" s="1">
        <f>DATE(2014,11,1) + TIME(6,18,3)</f>
        <v>41944.26253472222</v>
      </c>
      <c r="C2462">
        <v>1330.0269774999999</v>
      </c>
      <c r="D2462">
        <v>1329.0386963000001</v>
      </c>
      <c r="E2462">
        <v>1338.3629149999999</v>
      </c>
      <c r="F2462">
        <v>1335.934082</v>
      </c>
      <c r="G2462">
        <v>80</v>
      </c>
      <c r="H2462">
        <v>79.947319031000006</v>
      </c>
      <c r="I2462">
        <v>50</v>
      </c>
      <c r="J2462">
        <v>56.827751159999998</v>
      </c>
      <c r="K2462">
        <v>0</v>
      </c>
      <c r="L2462">
        <v>2400</v>
      </c>
      <c r="M2462">
        <v>2400</v>
      </c>
      <c r="N2462">
        <v>0</v>
      </c>
    </row>
    <row r="2463" spans="1:14" x14ac:dyDescent="0.25">
      <c r="A2463">
        <v>1645.297793</v>
      </c>
      <c r="B2463" s="1">
        <f>DATE(2014,11,1) + TIME(7,8,49)</f>
        <v>41944.297789351855</v>
      </c>
      <c r="C2463">
        <v>1330.0224608999999</v>
      </c>
      <c r="D2463">
        <v>1329.0317382999999</v>
      </c>
      <c r="E2463">
        <v>1338.3520507999999</v>
      </c>
      <c r="F2463">
        <v>1335.9237060999999</v>
      </c>
      <c r="G2463">
        <v>80</v>
      </c>
      <c r="H2463">
        <v>79.943656920999999</v>
      </c>
      <c r="I2463">
        <v>50</v>
      </c>
      <c r="J2463">
        <v>56.443157196000001</v>
      </c>
      <c r="K2463">
        <v>0</v>
      </c>
      <c r="L2463">
        <v>2400</v>
      </c>
      <c r="M2463">
        <v>2400</v>
      </c>
      <c r="N2463">
        <v>0</v>
      </c>
    </row>
    <row r="2464" spans="1:14" x14ac:dyDescent="0.25">
      <c r="A2464">
        <v>1645.3347249999999</v>
      </c>
      <c r="B2464" s="1">
        <f>DATE(2014,11,1) + TIME(8,2,0)</f>
        <v>41944.334722222222</v>
      </c>
      <c r="C2464">
        <v>1330.0178223</v>
      </c>
      <c r="D2464">
        <v>1329.0246582</v>
      </c>
      <c r="E2464">
        <v>1338.3414307</v>
      </c>
      <c r="F2464">
        <v>1335.9136963000001</v>
      </c>
      <c r="G2464">
        <v>80</v>
      </c>
      <c r="H2464">
        <v>79.939857482999997</v>
      </c>
      <c r="I2464">
        <v>50</v>
      </c>
      <c r="J2464">
        <v>56.066196441999999</v>
      </c>
      <c r="K2464">
        <v>0</v>
      </c>
      <c r="L2464">
        <v>2400</v>
      </c>
      <c r="M2464">
        <v>2400</v>
      </c>
      <c r="N2464">
        <v>0</v>
      </c>
    </row>
    <row r="2465" spans="1:14" x14ac:dyDescent="0.25">
      <c r="A2465">
        <v>1645.373452</v>
      </c>
      <c r="B2465" s="1">
        <f>DATE(2014,11,1) + TIME(8,57,46)</f>
        <v>41944.373449074075</v>
      </c>
      <c r="C2465">
        <v>1330.0130615</v>
      </c>
      <c r="D2465">
        <v>1329.0174560999999</v>
      </c>
      <c r="E2465">
        <v>1338.3312988</v>
      </c>
      <c r="F2465">
        <v>1335.9040527</v>
      </c>
      <c r="G2465">
        <v>80</v>
      </c>
      <c r="H2465">
        <v>79.935913085999999</v>
      </c>
      <c r="I2465">
        <v>50</v>
      </c>
      <c r="J2465">
        <v>55.697219849</v>
      </c>
      <c r="K2465">
        <v>0</v>
      </c>
      <c r="L2465">
        <v>2400</v>
      </c>
      <c r="M2465">
        <v>2400</v>
      </c>
      <c r="N2465">
        <v>0</v>
      </c>
    </row>
    <row r="2466" spans="1:14" x14ac:dyDescent="0.25">
      <c r="A2466">
        <v>1645.414127</v>
      </c>
      <c r="B2466" s="1">
        <f>DATE(2014,11,1) + TIME(9,56,20)</f>
        <v>41944.414120370369</v>
      </c>
      <c r="C2466">
        <v>1330.0081786999999</v>
      </c>
      <c r="D2466">
        <v>1329.0100098</v>
      </c>
      <c r="E2466">
        <v>1338.3214111</v>
      </c>
      <c r="F2466">
        <v>1335.8946533000001</v>
      </c>
      <c r="G2466">
        <v>80</v>
      </c>
      <c r="H2466">
        <v>79.931808472</v>
      </c>
      <c r="I2466">
        <v>50</v>
      </c>
      <c r="J2466">
        <v>55.336402892999999</v>
      </c>
      <c r="K2466">
        <v>0</v>
      </c>
      <c r="L2466">
        <v>2400</v>
      </c>
      <c r="M2466">
        <v>2400</v>
      </c>
      <c r="N2466">
        <v>0</v>
      </c>
    </row>
    <row r="2467" spans="1:14" x14ac:dyDescent="0.25">
      <c r="A2467">
        <v>1645.4568999999999</v>
      </c>
      <c r="B2467" s="1">
        <f>DATE(2014,11,1) + TIME(10,57,56)</f>
        <v>41944.45689814815</v>
      </c>
      <c r="C2467">
        <v>1330.0031738</v>
      </c>
      <c r="D2467">
        <v>1329.0024414</v>
      </c>
      <c r="E2467">
        <v>1338.3120117000001</v>
      </c>
      <c r="F2467">
        <v>1335.8857422000001</v>
      </c>
      <c r="G2467">
        <v>80</v>
      </c>
      <c r="H2467">
        <v>79.927543639999996</v>
      </c>
      <c r="I2467">
        <v>50</v>
      </c>
      <c r="J2467">
        <v>54.984092711999999</v>
      </c>
      <c r="K2467">
        <v>0</v>
      </c>
      <c r="L2467">
        <v>2400</v>
      </c>
      <c r="M2467">
        <v>2400</v>
      </c>
      <c r="N2467">
        <v>0</v>
      </c>
    </row>
    <row r="2468" spans="1:14" x14ac:dyDescent="0.25">
      <c r="A2468">
        <v>1645.5019380000001</v>
      </c>
      <c r="B2468" s="1">
        <f>DATE(2014,11,1) + TIME(12,2,47)</f>
        <v>41944.501932870371</v>
      </c>
      <c r="C2468">
        <v>1329.9980469</v>
      </c>
      <c r="D2468">
        <v>1328.9946289</v>
      </c>
      <c r="E2468">
        <v>1338.3031006000001</v>
      </c>
      <c r="F2468">
        <v>1335.8770752</v>
      </c>
      <c r="G2468">
        <v>80</v>
      </c>
      <c r="H2468">
        <v>79.923095703000001</v>
      </c>
      <c r="I2468">
        <v>50</v>
      </c>
      <c r="J2468">
        <v>54.640647887999997</v>
      </c>
      <c r="K2468">
        <v>0</v>
      </c>
      <c r="L2468">
        <v>2400</v>
      </c>
      <c r="M2468">
        <v>2400</v>
      </c>
      <c r="N2468">
        <v>0</v>
      </c>
    </row>
    <row r="2469" spans="1:14" x14ac:dyDescent="0.25">
      <c r="A2469">
        <v>1645.5494269999999</v>
      </c>
      <c r="B2469" s="1">
        <f>DATE(2014,11,1) + TIME(13,11,10)</f>
        <v>41944.549421296295</v>
      </c>
      <c r="C2469">
        <v>1329.9927978999999</v>
      </c>
      <c r="D2469">
        <v>1328.9866943</v>
      </c>
      <c r="E2469">
        <v>1338.2944336</v>
      </c>
      <c r="F2469">
        <v>1335.8687743999999</v>
      </c>
      <c r="G2469">
        <v>80</v>
      </c>
      <c r="H2469">
        <v>79.918457031000003</v>
      </c>
      <c r="I2469">
        <v>50</v>
      </c>
      <c r="J2469">
        <v>54.306457520000002</v>
      </c>
      <c r="K2469">
        <v>0</v>
      </c>
      <c r="L2469">
        <v>2400</v>
      </c>
      <c r="M2469">
        <v>2400</v>
      </c>
      <c r="N2469">
        <v>0</v>
      </c>
    </row>
    <row r="2470" spans="1:14" x14ac:dyDescent="0.25">
      <c r="A2470">
        <v>1645.599569</v>
      </c>
      <c r="B2470" s="1">
        <f>DATE(2014,11,1) + TIME(14,23,22)</f>
        <v>41944.599560185183</v>
      </c>
      <c r="C2470">
        <v>1329.9874268000001</v>
      </c>
      <c r="D2470">
        <v>1328.9785156</v>
      </c>
      <c r="E2470">
        <v>1338.2863769999999</v>
      </c>
      <c r="F2470">
        <v>1335.8608397999999</v>
      </c>
      <c r="G2470">
        <v>80</v>
      </c>
      <c r="H2470">
        <v>79.913619995000005</v>
      </c>
      <c r="I2470">
        <v>50</v>
      </c>
      <c r="J2470">
        <v>53.981922150000003</v>
      </c>
      <c r="K2470">
        <v>0</v>
      </c>
      <c r="L2470">
        <v>2400</v>
      </c>
      <c r="M2470">
        <v>2400</v>
      </c>
      <c r="N2470">
        <v>0</v>
      </c>
    </row>
    <row r="2471" spans="1:14" x14ac:dyDescent="0.25">
      <c r="A2471">
        <v>1645.652593</v>
      </c>
      <c r="B2471" s="1">
        <f>DATE(2014,11,1) + TIME(15,39,44)</f>
        <v>41944.652592592596</v>
      </c>
      <c r="C2471">
        <v>1329.9818115</v>
      </c>
      <c r="D2471">
        <v>1328.9700928</v>
      </c>
      <c r="E2471">
        <v>1338.2786865</v>
      </c>
      <c r="F2471">
        <v>1335.8533935999999</v>
      </c>
      <c r="G2471">
        <v>80</v>
      </c>
      <c r="H2471">
        <v>79.908561707000004</v>
      </c>
      <c r="I2471">
        <v>50</v>
      </c>
      <c r="J2471">
        <v>53.667476653999998</v>
      </c>
      <c r="K2471">
        <v>0</v>
      </c>
      <c r="L2471">
        <v>2400</v>
      </c>
      <c r="M2471">
        <v>2400</v>
      </c>
      <c r="N2471">
        <v>0</v>
      </c>
    </row>
    <row r="2472" spans="1:14" x14ac:dyDescent="0.25">
      <c r="A2472">
        <v>1645.70875</v>
      </c>
      <c r="B2472" s="1">
        <f>DATE(2014,11,1) + TIME(17,0,36)</f>
        <v>41944.708749999998</v>
      </c>
      <c r="C2472">
        <v>1329.9760742000001</v>
      </c>
      <c r="D2472">
        <v>1328.9614257999999</v>
      </c>
      <c r="E2472">
        <v>1338.2716064000001</v>
      </c>
      <c r="F2472">
        <v>1335.8463135</v>
      </c>
      <c r="G2472">
        <v>80</v>
      </c>
      <c r="H2472">
        <v>79.903266907000003</v>
      </c>
      <c r="I2472">
        <v>50</v>
      </c>
      <c r="J2472">
        <v>53.363555908000002</v>
      </c>
      <c r="K2472">
        <v>0</v>
      </c>
      <c r="L2472">
        <v>2400</v>
      </c>
      <c r="M2472">
        <v>2400</v>
      </c>
      <c r="N2472">
        <v>0</v>
      </c>
    </row>
    <row r="2473" spans="1:14" x14ac:dyDescent="0.25">
      <c r="A2473">
        <v>1645.7683239999999</v>
      </c>
      <c r="B2473" s="1">
        <f>DATE(2014,11,1) + TIME(18,26,23)</f>
        <v>41944.768321759257</v>
      </c>
      <c r="C2473">
        <v>1329.9702147999999</v>
      </c>
      <c r="D2473">
        <v>1328.9523925999999</v>
      </c>
      <c r="E2473">
        <v>1338.2648925999999</v>
      </c>
      <c r="F2473">
        <v>1335.8397216999999</v>
      </c>
      <c r="G2473">
        <v>80</v>
      </c>
      <c r="H2473">
        <v>79.897727966000005</v>
      </c>
      <c r="I2473">
        <v>50</v>
      </c>
      <c r="J2473">
        <v>53.070625305</v>
      </c>
      <c r="K2473">
        <v>0</v>
      </c>
      <c r="L2473">
        <v>2400</v>
      </c>
      <c r="M2473">
        <v>2400</v>
      </c>
      <c r="N2473">
        <v>0</v>
      </c>
    </row>
    <row r="2474" spans="1:14" x14ac:dyDescent="0.25">
      <c r="A2474">
        <v>1645.8316279999999</v>
      </c>
      <c r="B2474" s="1">
        <f>DATE(2014,11,1) + TIME(19,57,32)</f>
        <v>41944.831620370373</v>
      </c>
      <c r="C2474">
        <v>1329.9639893000001</v>
      </c>
      <c r="D2474">
        <v>1328.9431152</v>
      </c>
      <c r="E2474">
        <v>1338.2586670000001</v>
      </c>
      <c r="F2474">
        <v>1335.833374</v>
      </c>
      <c r="G2474">
        <v>80</v>
      </c>
      <c r="H2474">
        <v>79.891914368000002</v>
      </c>
      <c r="I2474">
        <v>50</v>
      </c>
      <c r="J2474">
        <v>52.789161682</v>
      </c>
      <c r="K2474">
        <v>0</v>
      </c>
      <c r="L2474">
        <v>2400</v>
      </c>
      <c r="M2474">
        <v>2400</v>
      </c>
      <c r="N2474">
        <v>0</v>
      </c>
    </row>
    <row r="2475" spans="1:14" x14ac:dyDescent="0.25">
      <c r="A2475">
        <v>1645.898987</v>
      </c>
      <c r="B2475" s="1">
        <f>DATE(2014,11,1) + TIME(21,34,32)</f>
        <v>41944.898981481485</v>
      </c>
      <c r="C2475">
        <v>1329.9576416</v>
      </c>
      <c r="D2475">
        <v>1328.9335937999999</v>
      </c>
      <c r="E2475">
        <v>1338.2529297000001</v>
      </c>
      <c r="F2475">
        <v>1335.8276367000001</v>
      </c>
      <c r="G2475">
        <v>80</v>
      </c>
      <c r="H2475">
        <v>79.885803222999996</v>
      </c>
      <c r="I2475">
        <v>50</v>
      </c>
      <c r="J2475">
        <v>52.519752502000003</v>
      </c>
      <c r="K2475">
        <v>0</v>
      </c>
      <c r="L2475">
        <v>2400</v>
      </c>
      <c r="M2475">
        <v>2400</v>
      </c>
      <c r="N2475">
        <v>0</v>
      </c>
    </row>
    <row r="2476" spans="1:14" x14ac:dyDescent="0.25">
      <c r="A2476">
        <v>1645.970816</v>
      </c>
      <c r="B2476" s="1">
        <f>DATE(2014,11,1) + TIME(23,17,58)</f>
        <v>41944.970810185187</v>
      </c>
      <c r="C2476">
        <v>1329.9510498</v>
      </c>
      <c r="D2476">
        <v>1328.9235839999999</v>
      </c>
      <c r="E2476">
        <v>1338.2475586</v>
      </c>
      <c r="F2476">
        <v>1335.8222656</v>
      </c>
      <c r="G2476">
        <v>80</v>
      </c>
      <c r="H2476">
        <v>79.879386901999993</v>
      </c>
      <c r="I2476">
        <v>50</v>
      </c>
      <c r="J2476">
        <v>52.262798308999997</v>
      </c>
      <c r="K2476">
        <v>0</v>
      </c>
      <c r="L2476">
        <v>2400</v>
      </c>
      <c r="M2476">
        <v>2400</v>
      </c>
      <c r="N2476">
        <v>0</v>
      </c>
    </row>
    <row r="2477" spans="1:14" x14ac:dyDescent="0.25">
      <c r="A2477">
        <v>1646.047564</v>
      </c>
      <c r="B2477" s="1">
        <f>DATE(2014,11,2) + TIME(1,8,29)</f>
        <v>41945.04755787037</v>
      </c>
      <c r="C2477">
        <v>1329.9440918</v>
      </c>
      <c r="D2477">
        <v>1328.9133300999999</v>
      </c>
      <c r="E2477">
        <v>1338.2427978999999</v>
      </c>
      <c r="F2477">
        <v>1335.8172606999999</v>
      </c>
      <c r="G2477">
        <v>80</v>
      </c>
      <c r="H2477">
        <v>79.872619628999999</v>
      </c>
      <c r="I2477">
        <v>50</v>
      </c>
      <c r="J2477">
        <v>52.018772124999998</v>
      </c>
      <c r="K2477">
        <v>0</v>
      </c>
      <c r="L2477">
        <v>2400</v>
      </c>
      <c r="M2477">
        <v>2400</v>
      </c>
      <c r="N2477">
        <v>0</v>
      </c>
    </row>
    <row r="2478" spans="1:14" x14ac:dyDescent="0.25">
      <c r="A2478">
        <v>1646.129733</v>
      </c>
      <c r="B2478" s="1">
        <f>DATE(2014,11,2) + TIME(3,6,48)</f>
        <v>41945.12972222222</v>
      </c>
      <c r="C2478">
        <v>1329.9368896000001</v>
      </c>
      <c r="D2478">
        <v>1328.9025879000001</v>
      </c>
      <c r="E2478">
        <v>1338.2382812000001</v>
      </c>
      <c r="F2478">
        <v>1335.8127440999999</v>
      </c>
      <c r="G2478">
        <v>80</v>
      </c>
      <c r="H2478">
        <v>79.865478515999996</v>
      </c>
      <c r="I2478">
        <v>50</v>
      </c>
      <c r="J2478">
        <v>51.788143157999997</v>
      </c>
      <c r="K2478">
        <v>0</v>
      </c>
      <c r="L2478">
        <v>2400</v>
      </c>
      <c r="M2478">
        <v>2400</v>
      </c>
      <c r="N2478">
        <v>0</v>
      </c>
    </row>
    <row r="2479" spans="1:14" x14ac:dyDescent="0.25">
      <c r="A2479">
        <v>1646.217893</v>
      </c>
      <c r="B2479" s="1">
        <f>DATE(2014,11,2) + TIME(5,13,45)</f>
        <v>41945.217881944445</v>
      </c>
      <c r="C2479">
        <v>1329.9294434000001</v>
      </c>
      <c r="D2479">
        <v>1328.8913574000001</v>
      </c>
      <c r="E2479">
        <v>1338.234375</v>
      </c>
      <c r="F2479">
        <v>1335.8085937999999</v>
      </c>
      <c r="G2479">
        <v>80</v>
      </c>
      <c r="H2479">
        <v>79.857933044000006</v>
      </c>
      <c r="I2479">
        <v>50</v>
      </c>
      <c r="J2479">
        <v>51.571372986</v>
      </c>
      <c r="K2479">
        <v>0</v>
      </c>
      <c r="L2479">
        <v>2400</v>
      </c>
      <c r="M2479">
        <v>2400</v>
      </c>
      <c r="N2479">
        <v>0</v>
      </c>
    </row>
    <row r="2480" spans="1:14" x14ac:dyDescent="0.25">
      <c r="A2480">
        <v>1646.3126870000001</v>
      </c>
      <c r="B2480" s="1">
        <f>DATE(2014,11,2) + TIME(7,30,16)</f>
        <v>41945.312685185185</v>
      </c>
      <c r="C2480">
        <v>1329.9216309000001</v>
      </c>
      <c r="D2480">
        <v>1328.8795166</v>
      </c>
      <c r="E2480">
        <v>1338.2307129000001</v>
      </c>
      <c r="F2480">
        <v>1335.8049315999999</v>
      </c>
      <c r="G2480">
        <v>80</v>
      </c>
      <c r="H2480">
        <v>79.849937439000001</v>
      </c>
      <c r="I2480">
        <v>50</v>
      </c>
      <c r="J2480">
        <v>51.368877411</v>
      </c>
      <c r="K2480">
        <v>0</v>
      </c>
      <c r="L2480">
        <v>2400</v>
      </c>
      <c r="M2480">
        <v>2400</v>
      </c>
      <c r="N2480">
        <v>0</v>
      </c>
    </row>
    <row r="2481" spans="1:14" x14ac:dyDescent="0.25">
      <c r="A2481">
        <v>1646.414847</v>
      </c>
      <c r="B2481" s="1">
        <f>DATE(2014,11,2) + TIME(9,57,22)</f>
        <v>41945.414837962962</v>
      </c>
      <c r="C2481">
        <v>1329.9133300999999</v>
      </c>
      <c r="D2481">
        <v>1328.8673096</v>
      </c>
      <c r="E2481">
        <v>1338.2274170000001</v>
      </c>
      <c r="F2481">
        <v>1335.8016356999999</v>
      </c>
      <c r="G2481">
        <v>80</v>
      </c>
      <c r="H2481">
        <v>79.841453552000004</v>
      </c>
      <c r="I2481">
        <v>50</v>
      </c>
      <c r="J2481">
        <v>51.181022644000002</v>
      </c>
      <c r="K2481">
        <v>0</v>
      </c>
      <c r="L2481">
        <v>2400</v>
      </c>
      <c r="M2481">
        <v>2400</v>
      </c>
      <c r="N2481">
        <v>0</v>
      </c>
    </row>
    <row r="2482" spans="1:14" x14ac:dyDescent="0.25">
      <c r="A2482">
        <v>1646.525204</v>
      </c>
      <c r="B2482" s="1">
        <f>DATE(2014,11,2) + TIME(12,36,17)</f>
        <v>41945.525196759256</v>
      </c>
      <c r="C2482">
        <v>1329.9046631000001</v>
      </c>
      <c r="D2482">
        <v>1328.8543701000001</v>
      </c>
      <c r="E2482">
        <v>1338.2244873</v>
      </c>
      <c r="F2482">
        <v>1335.7985839999999</v>
      </c>
      <c r="G2482">
        <v>80</v>
      </c>
      <c r="H2482">
        <v>79.832427979000002</v>
      </c>
      <c r="I2482">
        <v>50</v>
      </c>
      <c r="J2482">
        <v>51.008110045999999</v>
      </c>
      <c r="K2482">
        <v>0</v>
      </c>
      <c r="L2482">
        <v>2400</v>
      </c>
      <c r="M2482">
        <v>2400</v>
      </c>
      <c r="N2482">
        <v>0</v>
      </c>
    </row>
    <row r="2483" spans="1:14" x14ac:dyDescent="0.25">
      <c r="A2483">
        <v>1646.6447089999999</v>
      </c>
      <c r="B2483" s="1">
        <f>DATE(2014,11,2) + TIME(15,28,22)</f>
        <v>41945.644699074073</v>
      </c>
      <c r="C2483">
        <v>1329.8955077999999</v>
      </c>
      <c r="D2483">
        <v>1328.8408202999999</v>
      </c>
      <c r="E2483">
        <v>1338.2218018000001</v>
      </c>
      <c r="F2483">
        <v>1335.7958983999999</v>
      </c>
      <c r="G2483">
        <v>80</v>
      </c>
      <c r="H2483">
        <v>79.822814941000004</v>
      </c>
      <c r="I2483">
        <v>50</v>
      </c>
      <c r="J2483">
        <v>50.850349426000001</v>
      </c>
      <c r="K2483">
        <v>0</v>
      </c>
      <c r="L2483">
        <v>2400</v>
      </c>
      <c r="M2483">
        <v>2400</v>
      </c>
      <c r="N2483">
        <v>0</v>
      </c>
    </row>
    <row r="2484" spans="1:14" x14ac:dyDescent="0.25">
      <c r="A2484">
        <v>1646.774449</v>
      </c>
      <c r="B2484" s="1">
        <f>DATE(2014,11,2) + TIME(18,35,12)</f>
        <v>41945.774444444447</v>
      </c>
      <c r="C2484">
        <v>1329.8858643000001</v>
      </c>
      <c r="D2484">
        <v>1328.8264160000001</v>
      </c>
      <c r="E2484">
        <v>1338.2192382999999</v>
      </c>
      <c r="F2484">
        <v>1335.7935791</v>
      </c>
      <c r="G2484">
        <v>80</v>
      </c>
      <c r="H2484">
        <v>79.812538146999998</v>
      </c>
      <c r="I2484">
        <v>50</v>
      </c>
      <c r="J2484">
        <v>50.707843781000001</v>
      </c>
      <c r="K2484">
        <v>0</v>
      </c>
      <c r="L2484">
        <v>2400</v>
      </c>
      <c r="M2484">
        <v>2400</v>
      </c>
      <c r="N2484">
        <v>0</v>
      </c>
    </row>
    <row r="2485" spans="1:14" x14ac:dyDescent="0.25">
      <c r="A2485">
        <v>1646.9156700000001</v>
      </c>
      <c r="B2485" s="1">
        <f>DATE(2014,11,2) + TIME(21,58,33)</f>
        <v>41945.915659722225</v>
      </c>
      <c r="C2485">
        <v>1329.8756103999999</v>
      </c>
      <c r="D2485">
        <v>1328.8112793</v>
      </c>
      <c r="E2485">
        <v>1338.2167969</v>
      </c>
      <c r="F2485">
        <v>1335.7915039</v>
      </c>
      <c r="G2485">
        <v>80</v>
      </c>
      <c r="H2485">
        <v>79.801536560000002</v>
      </c>
      <c r="I2485">
        <v>50</v>
      </c>
      <c r="J2485">
        <v>50.580547332999998</v>
      </c>
      <c r="K2485">
        <v>0</v>
      </c>
      <c r="L2485">
        <v>2400</v>
      </c>
      <c r="M2485">
        <v>2400</v>
      </c>
      <c r="N2485">
        <v>0</v>
      </c>
    </row>
    <row r="2486" spans="1:14" x14ac:dyDescent="0.25">
      <c r="A2486">
        <v>1647.069837</v>
      </c>
      <c r="B2486" s="1">
        <f>DATE(2014,11,3) + TIME(1,40,33)</f>
        <v>41946.069826388892</v>
      </c>
      <c r="C2486">
        <v>1329.8647461</v>
      </c>
      <c r="D2486">
        <v>1328.7951660000001</v>
      </c>
      <c r="E2486">
        <v>1338.2144774999999</v>
      </c>
      <c r="F2486">
        <v>1335.7895507999999</v>
      </c>
      <c r="G2486">
        <v>80</v>
      </c>
      <c r="H2486">
        <v>79.789718628000003</v>
      </c>
      <c r="I2486">
        <v>50</v>
      </c>
      <c r="J2486">
        <v>50.468254088999998</v>
      </c>
      <c r="K2486">
        <v>0</v>
      </c>
      <c r="L2486">
        <v>2400</v>
      </c>
      <c r="M2486">
        <v>2400</v>
      </c>
      <c r="N2486">
        <v>0</v>
      </c>
    </row>
    <row r="2487" spans="1:14" x14ac:dyDescent="0.25">
      <c r="A2487">
        <v>1647.2285850000001</v>
      </c>
      <c r="B2487" s="1">
        <f>DATE(2014,11,3) + TIME(5,29,9)</f>
        <v>41946.228576388887</v>
      </c>
      <c r="C2487">
        <v>1329.8532714999999</v>
      </c>
      <c r="D2487">
        <v>1328.7783202999999</v>
      </c>
      <c r="E2487">
        <v>1338.2125243999999</v>
      </c>
      <c r="F2487">
        <v>1335.7882079999999</v>
      </c>
      <c r="G2487">
        <v>80</v>
      </c>
      <c r="H2487">
        <v>79.777641295999999</v>
      </c>
      <c r="I2487">
        <v>50</v>
      </c>
      <c r="J2487">
        <v>50.375259399000001</v>
      </c>
      <c r="K2487">
        <v>0</v>
      </c>
      <c r="L2487">
        <v>2400</v>
      </c>
      <c r="M2487">
        <v>2400</v>
      </c>
      <c r="N2487">
        <v>0</v>
      </c>
    </row>
    <row r="2488" spans="1:14" x14ac:dyDescent="0.25">
      <c r="A2488">
        <v>1647.3913130000001</v>
      </c>
      <c r="B2488" s="1">
        <f>DATE(2014,11,3) + TIME(9,23,29)</f>
        <v>41946.39130787037</v>
      </c>
      <c r="C2488">
        <v>1329.8416748</v>
      </c>
      <c r="D2488">
        <v>1328.7612305</v>
      </c>
      <c r="E2488">
        <v>1338.2105713000001</v>
      </c>
      <c r="F2488">
        <v>1335.7868652</v>
      </c>
      <c r="G2488">
        <v>80</v>
      </c>
      <c r="H2488">
        <v>79.765335082999997</v>
      </c>
      <c r="I2488">
        <v>50</v>
      </c>
      <c r="J2488">
        <v>50.298915862999998</v>
      </c>
      <c r="K2488">
        <v>0</v>
      </c>
      <c r="L2488">
        <v>2400</v>
      </c>
      <c r="M2488">
        <v>2400</v>
      </c>
      <c r="N2488">
        <v>0</v>
      </c>
    </row>
    <row r="2489" spans="1:14" x14ac:dyDescent="0.25">
      <c r="A2489">
        <v>1647.5584449999999</v>
      </c>
      <c r="B2489" s="1">
        <f>DATE(2014,11,3) + TIME(13,24,9)</f>
        <v>41946.558437500003</v>
      </c>
      <c r="C2489">
        <v>1329.8299560999999</v>
      </c>
      <c r="D2489">
        <v>1328.7441406</v>
      </c>
      <c r="E2489">
        <v>1338.2084961</v>
      </c>
      <c r="F2489">
        <v>1335.7856445</v>
      </c>
      <c r="G2489">
        <v>80</v>
      </c>
      <c r="H2489">
        <v>79.752777100000003</v>
      </c>
      <c r="I2489">
        <v>50</v>
      </c>
      <c r="J2489">
        <v>50.236412047999998</v>
      </c>
      <c r="K2489">
        <v>0</v>
      </c>
      <c r="L2489">
        <v>2400</v>
      </c>
      <c r="M2489">
        <v>2400</v>
      </c>
      <c r="N2489">
        <v>0</v>
      </c>
    </row>
    <row r="2490" spans="1:14" x14ac:dyDescent="0.25">
      <c r="A2490">
        <v>1647.730352</v>
      </c>
      <c r="B2490" s="1">
        <f>DATE(2014,11,3) + TIME(17,31,42)</f>
        <v>41946.730347222219</v>
      </c>
      <c r="C2490">
        <v>1329.8181152</v>
      </c>
      <c r="D2490">
        <v>1328.7266846</v>
      </c>
      <c r="E2490">
        <v>1338.2062988</v>
      </c>
      <c r="F2490">
        <v>1335.7844238</v>
      </c>
      <c r="G2490">
        <v>80</v>
      </c>
      <c r="H2490">
        <v>79.739952087000006</v>
      </c>
      <c r="I2490">
        <v>50</v>
      </c>
      <c r="J2490">
        <v>50.185417174999998</v>
      </c>
      <c r="K2490">
        <v>0</v>
      </c>
      <c r="L2490">
        <v>2400</v>
      </c>
      <c r="M2490">
        <v>2400</v>
      </c>
      <c r="N2490">
        <v>0</v>
      </c>
    </row>
    <row r="2491" spans="1:14" x14ac:dyDescent="0.25">
      <c r="A2491">
        <v>1647.9074270000001</v>
      </c>
      <c r="B2491" s="1">
        <f>DATE(2014,11,3) + TIME(21,46,41)</f>
        <v>41946.907418981478</v>
      </c>
      <c r="C2491">
        <v>1329.8061522999999</v>
      </c>
      <c r="D2491">
        <v>1328.7092285000001</v>
      </c>
      <c r="E2491">
        <v>1338.2037353999999</v>
      </c>
      <c r="F2491">
        <v>1335.7830810999999</v>
      </c>
      <c r="G2491">
        <v>80</v>
      </c>
      <c r="H2491">
        <v>79.726821899000001</v>
      </c>
      <c r="I2491">
        <v>50</v>
      </c>
      <c r="J2491">
        <v>50.143985747999999</v>
      </c>
      <c r="K2491">
        <v>0</v>
      </c>
      <c r="L2491">
        <v>2400</v>
      </c>
      <c r="M2491">
        <v>2400</v>
      </c>
      <c r="N2491">
        <v>0</v>
      </c>
    </row>
    <row r="2492" spans="1:14" x14ac:dyDescent="0.25">
      <c r="A2492">
        <v>1648.0900839999999</v>
      </c>
      <c r="B2492" s="1">
        <f>DATE(2014,11,4) + TIME(2,9,43)</f>
        <v>41947.090081018519</v>
      </c>
      <c r="C2492">
        <v>1329.7939452999999</v>
      </c>
      <c r="D2492">
        <v>1328.6914062000001</v>
      </c>
      <c r="E2492">
        <v>1338.2010498</v>
      </c>
      <c r="F2492">
        <v>1335.7817382999999</v>
      </c>
      <c r="G2492">
        <v>80</v>
      </c>
      <c r="H2492">
        <v>79.713363646999994</v>
      </c>
      <c r="I2492">
        <v>50</v>
      </c>
      <c r="J2492">
        <v>50.110469817999999</v>
      </c>
      <c r="K2492">
        <v>0</v>
      </c>
      <c r="L2492">
        <v>2400</v>
      </c>
      <c r="M2492">
        <v>2400</v>
      </c>
      <c r="N2492">
        <v>0</v>
      </c>
    </row>
    <row r="2493" spans="1:14" x14ac:dyDescent="0.25">
      <c r="A2493">
        <v>1648.278765</v>
      </c>
      <c r="B2493" s="1">
        <f>DATE(2014,11,4) + TIME(6,41,25)</f>
        <v>41947.278761574074</v>
      </c>
      <c r="C2493">
        <v>1329.7816161999999</v>
      </c>
      <c r="D2493">
        <v>1328.6733397999999</v>
      </c>
      <c r="E2493">
        <v>1338.1982422000001</v>
      </c>
      <c r="F2493">
        <v>1335.7802733999999</v>
      </c>
      <c r="G2493">
        <v>80</v>
      </c>
      <c r="H2493">
        <v>79.699554442999997</v>
      </c>
      <c r="I2493">
        <v>50</v>
      </c>
      <c r="J2493">
        <v>50.083488463999998</v>
      </c>
      <c r="K2493">
        <v>0</v>
      </c>
      <c r="L2493">
        <v>2400</v>
      </c>
      <c r="M2493">
        <v>2400</v>
      </c>
      <c r="N2493">
        <v>0</v>
      </c>
    </row>
    <row r="2494" spans="1:14" x14ac:dyDescent="0.25">
      <c r="A2494">
        <v>1648.473943</v>
      </c>
      <c r="B2494" s="1">
        <f>DATE(2014,11,4) + TIME(11,22,28)</f>
        <v>41947.473935185182</v>
      </c>
      <c r="C2494">
        <v>1329.769043</v>
      </c>
      <c r="D2494">
        <v>1328.6550293</v>
      </c>
      <c r="E2494">
        <v>1338.1951904</v>
      </c>
      <c r="F2494">
        <v>1335.7788086</v>
      </c>
      <c r="G2494">
        <v>80</v>
      </c>
      <c r="H2494">
        <v>79.685356139999996</v>
      </c>
      <c r="I2494">
        <v>50</v>
      </c>
      <c r="J2494">
        <v>50.061885834000002</v>
      </c>
      <c r="K2494">
        <v>0</v>
      </c>
      <c r="L2494">
        <v>2400</v>
      </c>
      <c r="M2494">
        <v>2400</v>
      </c>
      <c r="N2494">
        <v>0</v>
      </c>
    </row>
    <row r="2495" spans="1:14" x14ac:dyDescent="0.25">
      <c r="A2495">
        <v>1648.6761289999999</v>
      </c>
      <c r="B2495" s="1">
        <f>DATE(2014,11,4) + TIME(16,13,37)</f>
        <v>41947.676122685189</v>
      </c>
      <c r="C2495">
        <v>1329.7563477000001</v>
      </c>
      <c r="D2495">
        <v>1328.6364745999999</v>
      </c>
      <c r="E2495">
        <v>1338.1918945</v>
      </c>
      <c r="F2495">
        <v>1335.7772216999999</v>
      </c>
      <c r="G2495">
        <v>80</v>
      </c>
      <c r="H2495">
        <v>79.670753478999998</v>
      </c>
      <c r="I2495">
        <v>50</v>
      </c>
      <c r="J2495">
        <v>50.044681549000003</v>
      </c>
      <c r="K2495">
        <v>0</v>
      </c>
      <c r="L2495">
        <v>2400</v>
      </c>
      <c r="M2495">
        <v>2400</v>
      </c>
      <c r="N2495">
        <v>0</v>
      </c>
    </row>
    <row r="2496" spans="1:14" x14ac:dyDescent="0.25">
      <c r="A2496">
        <v>1648.8858749999999</v>
      </c>
      <c r="B2496" s="1">
        <f>DATE(2014,11,4) + TIME(21,15,39)</f>
        <v>41947.885868055557</v>
      </c>
      <c r="C2496">
        <v>1329.7432861</v>
      </c>
      <c r="D2496">
        <v>1328.6174315999999</v>
      </c>
      <c r="E2496">
        <v>1338.1883545000001</v>
      </c>
      <c r="F2496">
        <v>1335.7753906</v>
      </c>
      <c r="G2496">
        <v>80</v>
      </c>
      <c r="H2496">
        <v>79.655708313000005</v>
      </c>
      <c r="I2496">
        <v>50</v>
      </c>
      <c r="J2496">
        <v>50.031063080000003</v>
      </c>
      <c r="K2496">
        <v>0</v>
      </c>
      <c r="L2496">
        <v>2400</v>
      </c>
      <c r="M2496">
        <v>2400</v>
      </c>
      <c r="N2496">
        <v>0</v>
      </c>
    </row>
    <row r="2497" spans="1:14" x14ac:dyDescent="0.25">
      <c r="A2497">
        <v>1649.1037590000001</v>
      </c>
      <c r="B2497" s="1">
        <f>DATE(2014,11,5) + TIME(2,29,24)</f>
        <v>41948.103750000002</v>
      </c>
      <c r="C2497">
        <v>1329.7299805</v>
      </c>
      <c r="D2497">
        <v>1328.5981445</v>
      </c>
      <c r="E2497">
        <v>1338.1848144999999</v>
      </c>
      <c r="F2497">
        <v>1335.7736815999999</v>
      </c>
      <c r="G2497">
        <v>80</v>
      </c>
      <c r="H2497">
        <v>79.640190125000004</v>
      </c>
      <c r="I2497">
        <v>50</v>
      </c>
      <c r="J2497">
        <v>50.020351410000004</v>
      </c>
      <c r="K2497">
        <v>0</v>
      </c>
      <c r="L2497">
        <v>2400</v>
      </c>
      <c r="M2497">
        <v>2400</v>
      </c>
      <c r="N2497">
        <v>0</v>
      </c>
    </row>
    <row r="2498" spans="1:14" x14ac:dyDescent="0.25">
      <c r="A2498">
        <v>1649.330379</v>
      </c>
      <c r="B2498" s="1">
        <f>DATE(2014,11,5) + TIME(7,55,44)</f>
        <v>41948.330370370371</v>
      </c>
      <c r="C2498">
        <v>1329.7163086</v>
      </c>
      <c r="D2498">
        <v>1328.5783690999999</v>
      </c>
      <c r="E2498">
        <v>1338.1809082</v>
      </c>
      <c r="F2498">
        <v>1335.7717285000001</v>
      </c>
      <c r="G2498">
        <v>80</v>
      </c>
      <c r="H2498">
        <v>79.624160767000006</v>
      </c>
      <c r="I2498">
        <v>50</v>
      </c>
      <c r="J2498">
        <v>50.011981964</v>
      </c>
      <c r="K2498">
        <v>0</v>
      </c>
      <c r="L2498">
        <v>2400</v>
      </c>
      <c r="M2498">
        <v>2400</v>
      </c>
      <c r="N2498">
        <v>0</v>
      </c>
    </row>
    <row r="2499" spans="1:14" x14ac:dyDescent="0.25">
      <c r="A2499">
        <v>1649.566525</v>
      </c>
      <c r="B2499" s="1">
        <f>DATE(2014,11,5) + TIME(13,35,47)</f>
        <v>41948.566516203704</v>
      </c>
      <c r="C2499">
        <v>1329.7022704999999</v>
      </c>
      <c r="D2499">
        <v>1328.5581055</v>
      </c>
      <c r="E2499">
        <v>1338.1770019999999</v>
      </c>
      <c r="F2499">
        <v>1335.7696533000001</v>
      </c>
      <c r="G2499">
        <v>80</v>
      </c>
      <c r="H2499">
        <v>79.607589722</v>
      </c>
      <c r="I2499">
        <v>50</v>
      </c>
      <c r="J2499">
        <v>50.005485534999998</v>
      </c>
      <c r="K2499">
        <v>0</v>
      </c>
      <c r="L2499">
        <v>2400</v>
      </c>
      <c r="M2499">
        <v>2400</v>
      </c>
      <c r="N2499">
        <v>0</v>
      </c>
    </row>
    <row r="2500" spans="1:14" x14ac:dyDescent="0.25">
      <c r="A2500">
        <v>1649.812991</v>
      </c>
      <c r="B2500" s="1">
        <f>DATE(2014,11,5) + TIME(19,30,42)</f>
        <v>41948.812986111108</v>
      </c>
      <c r="C2500">
        <v>1329.6879882999999</v>
      </c>
      <c r="D2500">
        <v>1328.5373535000001</v>
      </c>
      <c r="E2500">
        <v>1338.1728516000001</v>
      </c>
      <c r="F2500">
        <v>1335.7675781</v>
      </c>
      <c r="G2500">
        <v>80</v>
      </c>
      <c r="H2500">
        <v>79.590415954999997</v>
      </c>
      <c r="I2500">
        <v>50</v>
      </c>
      <c r="J2500">
        <v>50.000476837000001</v>
      </c>
      <c r="K2500">
        <v>0</v>
      </c>
      <c r="L2500">
        <v>2400</v>
      </c>
      <c r="M2500">
        <v>2400</v>
      </c>
      <c r="N2500">
        <v>0</v>
      </c>
    </row>
    <row r="2501" spans="1:14" x14ac:dyDescent="0.25">
      <c r="A2501">
        <v>1650.070655</v>
      </c>
      <c r="B2501" s="1">
        <f>DATE(2014,11,6) + TIME(1,41,44)</f>
        <v>41949.070648148147</v>
      </c>
      <c r="C2501">
        <v>1329.6732178</v>
      </c>
      <c r="D2501">
        <v>1328.5161132999999</v>
      </c>
      <c r="E2501">
        <v>1338.1685791</v>
      </c>
      <c r="F2501">
        <v>1335.7653809000001</v>
      </c>
      <c r="G2501">
        <v>80</v>
      </c>
      <c r="H2501">
        <v>79.572616577000005</v>
      </c>
      <c r="I2501">
        <v>50</v>
      </c>
      <c r="J2501">
        <v>49.996639252000001</v>
      </c>
      <c r="K2501">
        <v>0</v>
      </c>
      <c r="L2501">
        <v>2400</v>
      </c>
      <c r="M2501">
        <v>2400</v>
      </c>
      <c r="N2501">
        <v>0</v>
      </c>
    </row>
    <row r="2502" spans="1:14" x14ac:dyDescent="0.25">
      <c r="A2502">
        <v>1650.3404969999999</v>
      </c>
      <c r="B2502" s="1">
        <f>DATE(2014,11,6) + TIME(8,10,18)</f>
        <v>41949.340486111112</v>
      </c>
      <c r="C2502">
        <v>1329.6580810999999</v>
      </c>
      <c r="D2502">
        <v>1328.4941406</v>
      </c>
      <c r="E2502">
        <v>1338.1640625</v>
      </c>
      <c r="F2502">
        <v>1335.7630615</v>
      </c>
      <c r="G2502">
        <v>80</v>
      </c>
      <c r="H2502">
        <v>79.554122925000001</v>
      </c>
      <c r="I2502">
        <v>50</v>
      </c>
      <c r="J2502">
        <v>49.993721008000001</v>
      </c>
      <c r="K2502">
        <v>0</v>
      </c>
      <c r="L2502">
        <v>2400</v>
      </c>
      <c r="M2502">
        <v>2400</v>
      </c>
      <c r="N2502">
        <v>0</v>
      </c>
    </row>
    <row r="2503" spans="1:14" x14ac:dyDescent="0.25">
      <c r="A2503">
        <v>1650.6236080000001</v>
      </c>
      <c r="B2503" s="1">
        <f>DATE(2014,11,6) + TIME(14,57,59)</f>
        <v>41949.623599537037</v>
      </c>
      <c r="C2503">
        <v>1329.6424560999999</v>
      </c>
      <c r="D2503">
        <v>1328.4715576000001</v>
      </c>
      <c r="E2503">
        <v>1338.1595459</v>
      </c>
      <c r="F2503">
        <v>1335.7607422000001</v>
      </c>
      <c r="G2503">
        <v>80</v>
      </c>
      <c r="H2503">
        <v>79.534889221</v>
      </c>
      <c r="I2503">
        <v>50</v>
      </c>
      <c r="J2503">
        <v>49.991516113000003</v>
      </c>
      <c r="K2503">
        <v>0</v>
      </c>
      <c r="L2503">
        <v>2400</v>
      </c>
      <c r="M2503">
        <v>2400</v>
      </c>
      <c r="N2503">
        <v>0</v>
      </c>
    </row>
    <row r="2504" spans="1:14" x14ac:dyDescent="0.25">
      <c r="A2504">
        <v>1650.921214</v>
      </c>
      <c r="B2504" s="1">
        <f>DATE(2014,11,6) + TIME(22,6,32)</f>
        <v>41949.921203703707</v>
      </c>
      <c r="C2504">
        <v>1329.6262207</v>
      </c>
      <c r="D2504">
        <v>1328.4483643000001</v>
      </c>
      <c r="E2504">
        <v>1338.1549072</v>
      </c>
      <c r="F2504">
        <v>1335.7581786999999</v>
      </c>
      <c r="G2504">
        <v>80</v>
      </c>
      <c r="H2504">
        <v>79.514854431000003</v>
      </c>
      <c r="I2504">
        <v>50</v>
      </c>
      <c r="J2504">
        <v>49.989860534999998</v>
      </c>
      <c r="K2504">
        <v>0</v>
      </c>
      <c r="L2504">
        <v>2400</v>
      </c>
      <c r="M2504">
        <v>2400</v>
      </c>
      <c r="N2504">
        <v>0</v>
      </c>
    </row>
    <row r="2505" spans="1:14" x14ac:dyDescent="0.25">
      <c r="A2505">
        <v>1651.234698</v>
      </c>
      <c r="B2505" s="1">
        <f>DATE(2014,11,7) + TIME(5,37,57)</f>
        <v>41950.2346875</v>
      </c>
      <c r="C2505">
        <v>1329.6094971</v>
      </c>
      <c r="D2505">
        <v>1328.4243164</v>
      </c>
      <c r="E2505">
        <v>1338.1501464999999</v>
      </c>
      <c r="F2505">
        <v>1335.7557373</v>
      </c>
      <c r="G2505">
        <v>80</v>
      </c>
      <c r="H2505">
        <v>79.493949889999996</v>
      </c>
      <c r="I2505">
        <v>50</v>
      </c>
      <c r="J2505">
        <v>49.988620758000003</v>
      </c>
      <c r="K2505">
        <v>0</v>
      </c>
      <c r="L2505">
        <v>2400</v>
      </c>
      <c r="M2505">
        <v>2400</v>
      </c>
      <c r="N2505">
        <v>0</v>
      </c>
    </row>
    <row r="2506" spans="1:14" x14ac:dyDescent="0.25">
      <c r="A2506">
        <v>1651.565625</v>
      </c>
      <c r="B2506" s="1">
        <f>DATE(2014,11,7) + TIME(13,34,30)</f>
        <v>41950.565625000003</v>
      </c>
      <c r="C2506">
        <v>1329.5921631000001</v>
      </c>
      <c r="D2506">
        <v>1328.3994141000001</v>
      </c>
      <c r="E2506">
        <v>1338.1451416</v>
      </c>
      <c r="F2506">
        <v>1335.7530518000001</v>
      </c>
      <c r="G2506">
        <v>80</v>
      </c>
      <c r="H2506">
        <v>79.472099303999997</v>
      </c>
      <c r="I2506">
        <v>50</v>
      </c>
      <c r="J2506">
        <v>49.987697601000001</v>
      </c>
      <c r="K2506">
        <v>0</v>
      </c>
      <c r="L2506">
        <v>2400</v>
      </c>
      <c r="M2506">
        <v>2400</v>
      </c>
      <c r="N2506">
        <v>0</v>
      </c>
    </row>
    <row r="2507" spans="1:14" x14ac:dyDescent="0.25">
      <c r="A2507">
        <v>1651.9157769999999</v>
      </c>
      <c r="B2507" s="1">
        <f>DATE(2014,11,7) + TIME(21,58,43)</f>
        <v>41950.915775462963</v>
      </c>
      <c r="C2507">
        <v>1329.5740966999999</v>
      </c>
      <c r="D2507">
        <v>1328.3735352000001</v>
      </c>
      <c r="E2507">
        <v>1338.1401367000001</v>
      </c>
      <c r="F2507">
        <v>1335.7503661999999</v>
      </c>
      <c r="G2507">
        <v>80</v>
      </c>
      <c r="H2507">
        <v>79.449226378999995</v>
      </c>
      <c r="I2507">
        <v>50</v>
      </c>
      <c r="J2507">
        <v>49.987014770999998</v>
      </c>
      <c r="K2507">
        <v>0</v>
      </c>
      <c r="L2507">
        <v>2400</v>
      </c>
      <c r="M2507">
        <v>2400</v>
      </c>
      <c r="N2507">
        <v>0</v>
      </c>
    </row>
    <row r="2508" spans="1:14" x14ac:dyDescent="0.25">
      <c r="A2508">
        <v>1652.28565</v>
      </c>
      <c r="B2508" s="1">
        <f>DATE(2014,11,8) + TIME(6,51,20)</f>
        <v>41951.28564814815</v>
      </c>
      <c r="C2508">
        <v>1329.5552978999999</v>
      </c>
      <c r="D2508">
        <v>1328.3466797000001</v>
      </c>
      <c r="E2508">
        <v>1338.1350098</v>
      </c>
      <c r="F2508">
        <v>1335.7475586</v>
      </c>
      <c r="G2508">
        <v>80</v>
      </c>
      <c r="H2508">
        <v>79.425292968999997</v>
      </c>
      <c r="I2508">
        <v>50</v>
      </c>
      <c r="J2508">
        <v>49.986503601000003</v>
      </c>
      <c r="K2508">
        <v>0</v>
      </c>
      <c r="L2508">
        <v>2400</v>
      </c>
      <c r="M2508">
        <v>2400</v>
      </c>
      <c r="N2508">
        <v>0</v>
      </c>
    </row>
    <row r="2509" spans="1:14" x14ac:dyDescent="0.25">
      <c r="A2509">
        <v>1652.6740589999999</v>
      </c>
      <c r="B2509" s="1">
        <f>DATE(2014,11,8) + TIME(16,10,38)</f>
        <v>41951.674050925925</v>
      </c>
      <c r="C2509">
        <v>1329.5357666</v>
      </c>
      <c r="D2509">
        <v>1328.3187256000001</v>
      </c>
      <c r="E2509">
        <v>1338.1297606999999</v>
      </c>
      <c r="F2509">
        <v>1335.744751</v>
      </c>
      <c r="G2509">
        <v>80</v>
      </c>
      <c r="H2509">
        <v>79.400367736999996</v>
      </c>
      <c r="I2509">
        <v>50</v>
      </c>
      <c r="J2509">
        <v>49.986129761000001</v>
      </c>
      <c r="K2509">
        <v>0</v>
      </c>
      <c r="L2509">
        <v>2400</v>
      </c>
      <c r="M2509">
        <v>2400</v>
      </c>
      <c r="N2509">
        <v>0</v>
      </c>
    </row>
    <row r="2510" spans="1:14" x14ac:dyDescent="0.25">
      <c r="A2510">
        <v>1653.0818429999999</v>
      </c>
      <c r="B2510" s="1">
        <f>DATE(2014,11,9) + TIME(1,57,51)</f>
        <v>41952.08184027778</v>
      </c>
      <c r="C2510">
        <v>1329.5155029</v>
      </c>
      <c r="D2510">
        <v>1328.2899170000001</v>
      </c>
      <c r="E2510">
        <v>1338.1243896000001</v>
      </c>
      <c r="F2510">
        <v>1335.7418213000001</v>
      </c>
      <c r="G2510">
        <v>80</v>
      </c>
      <c r="H2510">
        <v>79.374412536999998</v>
      </c>
      <c r="I2510">
        <v>50</v>
      </c>
      <c r="J2510">
        <v>49.985851287999999</v>
      </c>
      <c r="K2510">
        <v>0</v>
      </c>
      <c r="L2510">
        <v>2400</v>
      </c>
      <c r="M2510">
        <v>2400</v>
      </c>
      <c r="N2510">
        <v>0</v>
      </c>
    </row>
    <row r="2511" spans="1:14" x14ac:dyDescent="0.25">
      <c r="A2511">
        <v>1653.506633</v>
      </c>
      <c r="B2511" s="1">
        <f>DATE(2014,11,9) + TIME(12,9,33)</f>
        <v>41952.506631944445</v>
      </c>
      <c r="C2511">
        <v>1329.4946289</v>
      </c>
      <c r="D2511">
        <v>1328.2601318</v>
      </c>
      <c r="E2511">
        <v>1338.1191406</v>
      </c>
      <c r="F2511">
        <v>1335.7388916</v>
      </c>
      <c r="G2511">
        <v>80</v>
      </c>
      <c r="H2511">
        <v>79.347557068</v>
      </c>
      <c r="I2511">
        <v>50</v>
      </c>
      <c r="J2511">
        <v>49.985641479000002</v>
      </c>
      <c r="K2511">
        <v>0</v>
      </c>
      <c r="L2511">
        <v>2400</v>
      </c>
      <c r="M2511">
        <v>2400</v>
      </c>
      <c r="N2511">
        <v>0</v>
      </c>
    </row>
    <row r="2512" spans="1:14" x14ac:dyDescent="0.25">
      <c r="A2512">
        <v>1653.942992</v>
      </c>
      <c r="B2512" s="1">
        <f>DATE(2014,11,9) + TIME(22,37,54)</f>
        <v>41952.942986111113</v>
      </c>
      <c r="C2512">
        <v>1329.4732666</v>
      </c>
      <c r="D2512">
        <v>1328.2297363</v>
      </c>
      <c r="E2512">
        <v>1338.1137695</v>
      </c>
      <c r="F2512">
        <v>1335.7359618999999</v>
      </c>
      <c r="G2512">
        <v>80</v>
      </c>
      <c r="H2512">
        <v>79.320045471</v>
      </c>
      <c r="I2512">
        <v>50</v>
      </c>
      <c r="J2512">
        <v>49.985485077</v>
      </c>
      <c r="K2512">
        <v>0</v>
      </c>
      <c r="L2512">
        <v>2400</v>
      </c>
      <c r="M2512">
        <v>2400</v>
      </c>
      <c r="N2512">
        <v>0</v>
      </c>
    </row>
    <row r="2513" spans="1:14" x14ac:dyDescent="0.25">
      <c r="A2513">
        <v>1654.3940500000001</v>
      </c>
      <c r="B2513" s="1">
        <f>DATE(2014,11,10) + TIME(9,27,25)</f>
        <v>41953.39403935185</v>
      </c>
      <c r="C2513">
        <v>1329.4514160000001</v>
      </c>
      <c r="D2513">
        <v>1328.1987305</v>
      </c>
      <c r="E2513">
        <v>1338.1083983999999</v>
      </c>
      <c r="F2513">
        <v>1335.7330322</v>
      </c>
      <c r="G2513">
        <v>80</v>
      </c>
      <c r="H2513">
        <v>79.291816710999996</v>
      </c>
      <c r="I2513">
        <v>50</v>
      </c>
      <c r="J2513">
        <v>49.985366821</v>
      </c>
      <c r="K2513">
        <v>0</v>
      </c>
      <c r="L2513">
        <v>2400</v>
      </c>
      <c r="M2513">
        <v>2400</v>
      </c>
      <c r="N2513">
        <v>0</v>
      </c>
    </row>
    <row r="2514" spans="1:14" x14ac:dyDescent="0.25">
      <c r="A2514">
        <v>1654.863053</v>
      </c>
      <c r="B2514" s="1">
        <f>DATE(2014,11,10) + TIME(20,42,47)</f>
        <v>41953.863043981481</v>
      </c>
      <c r="C2514">
        <v>1329.4291992000001</v>
      </c>
      <c r="D2514">
        <v>1328.1672363</v>
      </c>
      <c r="E2514">
        <v>1338.1031493999999</v>
      </c>
      <c r="F2514">
        <v>1335.7302245999999</v>
      </c>
      <c r="G2514">
        <v>80</v>
      </c>
      <c r="H2514">
        <v>79.262763977000006</v>
      </c>
      <c r="I2514">
        <v>50</v>
      </c>
      <c r="J2514">
        <v>49.985275268999999</v>
      </c>
      <c r="K2514">
        <v>0</v>
      </c>
      <c r="L2514">
        <v>2400</v>
      </c>
      <c r="M2514">
        <v>2400</v>
      </c>
      <c r="N2514">
        <v>0</v>
      </c>
    </row>
    <row r="2515" spans="1:14" x14ac:dyDescent="0.25">
      <c r="A2515">
        <v>1655.3445200000001</v>
      </c>
      <c r="B2515" s="1">
        <f>DATE(2014,11,11) + TIME(8,16,6)</f>
        <v>41954.344513888886</v>
      </c>
      <c r="C2515">
        <v>1329.4064940999999</v>
      </c>
      <c r="D2515">
        <v>1328.1350098</v>
      </c>
      <c r="E2515">
        <v>1338.0979004000001</v>
      </c>
      <c r="F2515">
        <v>1335.7272949000001</v>
      </c>
      <c r="G2515">
        <v>80</v>
      </c>
      <c r="H2515">
        <v>79.233123778999996</v>
      </c>
      <c r="I2515">
        <v>50</v>
      </c>
      <c r="J2515">
        <v>49.985202788999999</v>
      </c>
      <c r="K2515">
        <v>0</v>
      </c>
      <c r="L2515">
        <v>2400</v>
      </c>
      <c r="M2515">
        <v>2400</v>
      </c>
      <c r="N2515">
        <v>0</v>
      </c>
    </row>
    <row r="2516" spans="1:14" x14ac:dyDescent="0.25">
      <c r="A2516">
        <v>1655.8385060000001</v>
      </c>
      <c r="B2516" s="1">
        <f>DATE(2014,11,11) + TIME(20,7,26)</f>
        <v>41954.838495370372</v>
      </c>
      <c r="C2516">
        <v>1329.3834228999999</v>
      </c>
      <c r="D2516">
        <v>1328.1024170000001</v>
      </c>
      <c r="E2516">
        <v>1338.0927733999999</v>
      </c>
      <c r="F2516">
        <v>1335.7244873</v>
      </c>
      <c r="G2516">
        <v>80</v>
      </c>
      <c r="H2516">
        <v>79.202919006000002</v>
      </c>
      <c r="I2516">
        <v>50</v>
      </c>
      <c r="J2516">
        <v>49.985141753999997</v>
      </c>
      <c r="K2516">
        <v>0</v>
      </c>
      <c r="L2516">
        <v>2400</v>
      </c>
      <c r="M2516">
        <v>2400</v>
      </c>
      <c r="N2516">
        <v>0</v>
      </c>
    </row>
    <row r="2517" spans="1:14" x14ac:dyDescent="0.25">
      <c r="A2517">
        <v>1656.346256</v>
      </c>
      <c r="B2517" s="1">
        <f>DATE(2014,11,12) + TIME(8,18,36)</f>
        <v>41955.346250000002</v>
      </c>
      <c r="C2517">
        <v>1329.3601074000001</v>
      </c>
      <c r="D2517">
        <v>1328.0694579999999</v>
      </c>
      <c r="E2517">
        <v>1338.0877685999999</v>
      </c>
      <c r="F2517">
        <v>1335.7216797000001</v>
      </c>
      <c r="G2517">
        <v>80</v>
      </c>
      <c r="H2517">
        <v>79.172157287999994</v>
      </c>
      <c r="I2517">
        <v>50</v>
      </c>
      <c r="J2517">
        <v>49.985095977999997</v>
      </c>
      <c r="K2517">
        <v>0</v>
      </c>
      <c r="L2517">
        <v>2400</v>
      </c>
      <c r="M2517">
        <v>2400</v>
      </c>
      <c r="N2517">
        <v>0</v>
      </c>
    </row>
    <row r="2518" spans="1:14" x14ac:dyDescent="0.25">
      <c r="A2518">
        <v>1656.869101</v>
      </c>
      <c r="B2518" s="1">
        <f>DATE(2014,11,12) + TIME(20,51,30)</f>
        <v>41955.869097222225</v>
      </c>
      <c r="C2518">
        <v>1329.3364257999999</v>
      </c>
      <c r="D2518">
        <v>1328.0361327999999</v>
      </c>
      <c r="E2518">
        <v>1338.0827637</v>
      </c>
      <c r="F2518">
        <v>1335.7189940999999</v>
      </c>
      <c r="G2518">
        <v>80</v>
      </c>
      <c r="H2518">
        <v>79.140792847</v>
      </c>
      <c r="I2518">
        <v>50</v>
      </c>
      <c r="J2518">
        <v>49.985054015999999</v>
      </c>
      <c r="K2518">
        <v>0</v>
      </c>
      <c r="L2518">
        <v>2400</v>
      </c>
      <c r="M2518">
        <v>2400</v>
      </c>
      <c r="N2518">
        <v>0</v>
      </c>
    </row>
    <row r="2519" spans="1:14" x14ac:dyDescent="0.25">
      <c r="A2519">
        <v>1657.408459</v>
      </c>
      <c r="B2519" s="1">
        <f>DATE(2014,11,13) + TIME(9,48,10)</f>
        <v>41956.408449074072</v>
      </c>
      <c r="C2519">
        <v>1329.3125</v>
      </c>
      <c r="D2519">
        <v>1328.0023193</v>
      </c>
      <c r="E2519">
        <v>1338.0777588000001</v>
      </c>
      <c r="F2519">
        <v>1335.7163086</v>
      </c>
      <c r="G2519">
        <v>80</v>
      </c>
      <c r="H2519">
        <v>79.108787536999998</v>
      </c>
      <c r="I2519">
        <v>50</v>
      </c>
      <c r="J2519">
        <v>49.985023499</v>
      </c>
      <c r="K2519">
        <v>0</v>
      </c>
      <c r="L2519">
        <v>2400</v>
      </c>
      <c r="M2519">
        <v>2400</v>
      </c>
      <c r="N2519">
        <v>0</v>
      </c>
    </row>
    <row r="2520" spans="1:14" x14ac:dyDescent="0.25">
      <c r="A2520">
        <v>1657.96588</v>
      </c>
      <c r="B2520" s="1">
        <f>DATE(2014,11,13) + TIME(23,10,51)</f>
        <v>41956.965868055559</v>
      </c>
      <c r="C2520">
        <v>1329.2880858999999</v>
      </c>
      <c r="D2520">
        <v>1327.9680175999999</v>
      </c>
      <c r="E2520">
        <v>1338.072876</v>
      </c>
      <c r="F2520">
        <v>1335.7136230000001</v>
      </c>
      <c r="G2520">
        <v>80</v>
      </c>
      <c r="H2520">
        <v>79.076087951999995</v>
      </c>
      <c r="I2520">
        <v>50</v>
      </c>
      <c r="J2520">
        <v>49.984992980999998</v>
      </c>
      <c r="K2520">
        <v>0</v>
      </c>
      <c r="L2520">
        <v>2400</v>
      </c>
      <c r="M2520">
        <v>2400</v>
      </c>
      <c r="N2520">
        <v>0</v>
      </c>
    </row>
    <row r="2521" spans="1:14" x14ac:dyDescent="0.25">
      <c r="A2521">
        <v>1658.543032</v>
      </c>
      <c r="B2521" s="1">
        <f>DATE(2014,11,14) + TIME(13,1,57)</f>
        <v>41957.543020833335</v>
      </c>
      <c r="C2521">
        <v>1329.2633057</v>
      </c>
      <c r="D2521">
        <v>1327.9332274999999</v>
      </c>
      <c r="E2521">
        <v>1338.0679932</v>
      </c>
      <c r="F2521">
        <v>1335.7109375</v>
      </c>
      <c r="G2521">
        <v>80</v>
      </c>
      <c r="H2521">
        <v>79.042602539000001</v>
      </c>
      <c r="I2521">
        <v>50</v>
      </c>
      <c r="J2521">
        <v>49.984970093000001</v>
      </c>
      <c r="K2521">
        <v>0</v>
      </c>
      <c r="L2521">
        <v>2400</v>
      </c>
      <c r="M2521">
        <v>2400</v>
      </c>
      <c r="N2521">
        <v>0</v>
      </c>
    </row>
    <row r="2522" spans="1:14" x14ac:dyDescent="0.25">
      <c r="A2522">
        <v>1659.141478</v>
      </c>
      <c r="B2522" s="1">
        <f>DATE(2014,11,15) + TIME(3,23,43)</f>
        <v>41958.141469907408</v>
      </c>
      <c r="C2522">
        <v>1329.2380370999999</v>
      </c>
      <c r="D2522">
        <v>1327.8978271000001</v>
      </c>
      <c r="E2522">
        <v>1338.0632324000001</v>
      </c>
      <c r="F2522">
        <v>1335.7082519999999</v>
      </c>
      <c r="G2522">
        <v>80</v>
      </c>
      <c r="H2522">
        <v>79.008285521999994</v>
      </c>
      <c r="I2522">
        <v>50</v>
      </c>
      <c r="J2522">
        <v>49.984947204999997</v>
      </c>
      <c r="K2522">
        <v>0</v>
      </c>
      <c r="L2522">
        <v>2400</v>
      </c>
      <c r="M2522">
        <v>2400</v>
      </c>
      <c r="N2522">
        <v>0</v>
      </c>
    </row>
    <row r="2523" spans="1:14" x14ac:dyDescent="0.25">
      <c r="A2523">
        <v>1659.7634129999999</v>
      </c>
      <c r="B2523" s="1">
        <f>DATE(2014,11,15) + TIME(18,19,18)</f>
        <v>41958.763402777775</v>
      </c>
      <c r="C2523">
        <v>1329.2122803</v>
      </c>
      <c r="D2523">
        <v>1327.8616943</v>
      </c>
      <c r="E2523">
        <v>1338.0583495999999</v>
      </c>
      <c r="F2523">
        <v>1335.7056885</v>
      </c>
      <c r="G2523">
        <v>80</v>
      </c>
      <c r="H2523">
        <v>78.973030089999995</v>
      </c>
      <c r="I2523">
        <v>50</v>
      </c>
      <c r="J2523">
        <v>49.984928130999997</v>
      </c>
      <c r="K2523">
        <v>0</v>
      </c>
      <c r="L2523">
        <v>2400</v>
      </c>
      <c r="M2523">
        <v>2400</v>
      </c>
      <c r="N2523">
        <v>0</v>
      </c>
    </row>
    <row r="2524" spans="1:14" x14ac:dyDescent="0.25">
      <c r="A2524">
        <v>1660.411075</v>
      </c>
      <c r="B2524" s="1">
        <f>DATE(2014,11,16) + TIME(9,51,56)</f>
        <v>41959.411064814813</v>
      </c>
      <c r="C2524">
        <v>1329.1859131000001</v>
      </c>
      <c r="D2524">
        <v>1327.824707</v>
      </c>
      <c r="E2524">
        <v>1338.0535889</v>
      </c>
      <c r="F2524">
        <v>1335.703125</v>
      </c>
      <c r="G2524">
        <v>80</v>
      </c>
      <c r="H2524">
        <v>78.936737061000002</v>
      </c>
      <c r="I2524">
        <v>50</v>
      </c>
      <c r="J2524">
        <v>49.984909058</v>
      </c>
      <c r="K2524">
        <v>0</v>
      </c>
      <c r="L2524">
        <v>2400</v>
      </c>
      <c r="M2524">
        <v>2400</v>
      </c>
      <c r="N2524">
        <v>0</v>
      </c>
    </row>
    <row r="2525" spans="1:14" x14ac:dyDescent="0.25">
      <c r="A2525">
        <v>1661.086955</v>
      </c>
      <c r="B2525" s="1">
        <f>DATE(2014,11,17) + TIME(2,5,12)</f>
        <v>41960.086944444447</v>
      </c>
      <c r="C2525">
        <v>1329.1588135</v>
      </c>
      <c r="D2525">
        <v>1327.7869873</v>
      </c>
      <c r="E2525">
        <v>1338.0487060999999</v>
      </c>
      <c r="F2525">
        <v>1335.7005615</v>
      </c>
      <c r="G2525">
        <v>80</v>
      </c>
      <c r="H2525">
        <v>78.899299622000001</v>
      </c>
      <c r="I2525">
        <v>50</v>
      </c>
      <c r="J2525">
        <v>49.984889983999999</v>
      </c>
      <c r="K2525">
        <v>0</v>
      </c>
      <c r="L2525">
        <v>2400</v>
      </c>
      <c r="M2525">
        <v>2400</v>
      </c>
      <c r="N2525">
        <v>0</v>
      </c>
    </row>
    <row r="2526" spans="1:14" x14ac:dyDescent="0.25">
      <c r="A2526">
        <v>1661.7822120000001</v>
      </c>
      <c r="B2526" s="1">
        <f>DATE(2014,11,17) + TIME(18,46,23)</f>
        <v>41960.782210648147</v>
      </c>
      <c r="C2526">
        <v>1329.1311035000001</v>
      </c>
      <c r="D2526">
        <v>1327.7484131000001</v>
      </c>
      <c r="E2526">
        <v>1338.0439452999999</v>
      </c>
      <c r="F2526">
        <v>1335.6979980000001</v>
      </c>
      <c r="G2526">
        <v>80</v>
      </c>
      <c r="H2526">
        <v>78.860916137999993</v>
      </c>
      <c r="I2526">
        <v>50</v>
      </c>
      <c r="J2526">
        <v>49.984874724999997</v>
      </c>
      <c r="K2526">
        <v>0</v>
      </c>
      <c r="L2526">
        <v>2400</v>
      </c>
      <c r="M2526">
        <v>2400</v>
      </c>
      <c r="N2526">
        <v>0</v>
      </c>
    </row>
    <row r="2527" spans="1:14" x14ac:dyDescent="0.25">
      <c r="A2527">
        <v>1662.501929</v>
      </c>
      <c r="B2527" s="1">
        <f>DATE(2014,11,18) + TIME(12,2,46)</f>
        <v>41961.501921296294</v>
      </c>
      <c r="C2527">
        <v>1329.1029053</v>
      </c>
      <c r="D2527">
        <v>1327.7092285000001</v>
      </c>
      <c r="E2527">
        <v>1338.0391846</v>
      </c>
      <c r="F2527">
        <v>1335.6954346</v>
      </c>
      <c r="G2527">
        <v>80</v>
      </c>
      <c r="H2527">
        <v>78.821540833</v>
      </c>
      <c r="I2527">
        <v>50</v>
      </c>
      <c r="J2527">
        <v>49.984859467</v>
      </c>
      <c r="K2527">
        <v>0</v>
      </c>
      <c r="L2527">
        <v>2400</v>
      </c>
      <c r="M2527">
        <v>2400</v>
      </c>
      <c r="N2527">
        <v>0</v>
      </c>
    </row>
    <row r="2528" spans="1:14" x14ac:dyDescent="0.25">
      <c r="A2528">
        <v>1663.2517230000001</v>
      </c>
      <c r="B2528" s="1">
        <f>DATE(2014,11,19) + TIME(6,2,28)</f>
        <v>41962.251712962963</v>
      </c>
      <c r="C2528">
        <v>1329.0742187999999</v>
      </c>
      <c r="D2528">
        <v>1327.6693115</v>
      </c>
      <c r="E2528">
        <v>1338.0344238</v>
      </c>
      <c r="F2528">
        <v>1335.6929932</v>
      </c>
      <c r="G2528">
        <v>80</v>
      </c>
      <c r="H2528">
        <v>78.780990600999999</v>
      </c>
      <c r="I2528">
        <v>50</v>
      </c>
      <c r="J2528">
        <v>49.984844207999998</v>
      </c>
      <c r="K2528">
        <v>0</v>
      </c>
      <c r="L2528">
        <v>2400</v>
      </c>
      <c r="M2528">
        <v>2400</v>
      </c>
      <c r="N2528">
        <v>0</v>
      </c>
    </row>
    <row r="2529" spans="1:14" x14ac:dyDescent="0.25">
      <c r="A2529">
        <v>1664.0380700000001</v>
      </c>
      <c r="B2529" s="1">
        <f>DATE(2014,11,20) + TIME(0,54,49)</f>
        <v>41963.03806712963</v>
      </c>
      <c r="C2529">
        <v>1329.0447998</v>
      </c>
      <c r="D2529">
        <v>1327.628418</v>
      </c>
      <c r="E2529">
        <v>1338.0296631000001</v>
      </c>
      <c r="F2529">
        <v>1335.6905518000001</v>
      </c>
      <c r="G2529">
        <v>80</v>
      </c>
      <c r="H2529">
        <v>78.739021300999994</v>
      </c>
      <c r="I2529">
        <v>50</v>
      </c>
      <c r="J2529">
        <v>49.984828948999997</v>
      </c>
      <c r="K2529">
        <v>0</v>
      </c>
      <c r="L2529">
        <v>2400</v>
      </c>
      <c r="M2529">
        <v>2400</v>
      </c>
      <c r="N2529">
        <v>0</v>
      </c>
    </row>
    <row r="2530" spans="1:14" x14ac:dyDescent="0.25">
      <c r="A2530">
        <v>1664.8565160000001</v>
      </c>
      <c r="B2530" s="1">
        <f>DATE(2014,11,20) + TIME(20,33,22)</f>
        <v>41963.856504629628</v>
      </c>
      <c r="C2530">
        <v>1329.0145264</v>
      </c>
      <c r="D2530">
        <v>1327.5865478999999</v>
      </c>
      <c r="E2530">
        <v>1338.0249022999999</v>
      </c>
      <c r="F2530">
        <v>1335.6879882999999</v>
      </c>
      <c r="G2530">
        <v>80</v>
      </c>
      <c r="H2530">
        <v>78.695602417000003</v>
      </c>
      <c r="I2530">
        <v>50</v>
      </c>
      <c r="J2530">
        <v>49.984817505000002</v>
      </c>
      <c r="K2530">
        <v>0</v>
      </c>
      <c r="L2530">
        <v>2400</v>
      </c>
      <c r="M2530">
        <v>2400</v>
      </c>
      <c r="N2530">
        <v>0</v>
      </c>
    </row>
    <row r="2531" spans="1:14" x14ac:dyDescent="0.25">
      <c r="A2531">
        <v>1665.701951</v>
      </c>
      <c r="B2531" s="1">
        <f>DATE(2014,11,21) + TIME(16,50,48)</f>
        <v>41964.701944444445</v>
      </c>
      <c r="C2531">
        <v>1328.9836425999999</v>
      </c>
      <c r="D2531">
        <v>1327.5437012</v>
      </c>
      <c r="E2531">
        <v>1338.0201416</v>
      </c>
      <c r="F2531">
        <v>1335.6855469</v>
      </c>
      <c r="G2531">
        <v>80</v>
      </c>
      <c r="H2531">
        <v>78.650871276999993</v>
      </c>
      <c r="I2531">
        <v>50</v>
      </c>
      <c r="J2531">
        <v>49.984802246000001</v>
      </c>
      <c r="K2531">
        <v>0</v>
      </c>
      <c r="L2531">
        <v>2400</v>
      </c>
      <c r="M2531">
        <v>2400</v>
      </c>
      <c r="N2531">
        <v>0</v>
      </c>
    </row>
    <row r="2532" spans="1:14" x14ac:dyDescent="0.25">
      <c r="A2532">
        <v>1666.5663139999999</v>
      </c>
      <c r="B2532" s="1">
        <f>DATE(2014,11,22) + TIME(13,35,29)</f>
        <v>41965.566307870373</v>
      </c>
      <c r="C2532">
        <v>1328.9520264</v>
      </c>
      <c r="D2532">
        <v>1327.5002440999999</v>
      </c>
      <c r="E2532">
        <v>1338.0153809000001</v>
      </c>
      <c r="F2532">
        <v>1335.6832274999999</v>
      </c>
      <c r="G2532">
        <v>80</v>
      </c>
      <c r="H2532">
        <v>78.605079650999997</v>
      </c>
      <c r="I2532">
        <v>50</v>
      </c>
      <c r="J2532">
        <v>49.984786987</v>
      </c>
      <c r="K2532">
        <v>0</v>
      </c>
      <c r="L2532">
        <v>2400</v>
      </c>
      <c r="M2532">
        <v>2400</v>
      </c>
      <c r="N2532">
        <v>0</v>
      </c>
    </row>
    <row r="2533" spans="1:14" x14ac:dyDescent="0.25">
      <c r="A2533">
        <v>1667.438627</v>
      </c>
      <c r="B2533" s="1">
        <f>DATE(2014,11,23) + TIME(10,31,37)</f>
        <v>41966.438622685186</v>
      </c>
      <c r="C2533">
        <v>1328.9202881000001</v>
      </c>
      <c r="D2533">
        <v>1327.4564209</v>
      </c>
      <c r="E2533">
        <v>1338.0107422000001</v>
      </c>
      <c r="F2533">
        <v>1335.6807861</v>
      </c>
      <c r="G2533">
        <v>80</v>
      </c>
      <c r="H2533">
        <v>78.558639525999993</v>
      </c>
      <c r="I2533">
        <v>50</v>
      </c>
      <c r="J2533">
        <v>49.984775542999998</v>
      </c>
      <c r="K2533">
        <v>0</v>
      </c>
      <c r="L2533">
        <v>2400</v>
      </c>
      <c r="M2533">
        <v>2400</v>
      </c>
      <c r="N2533">
        <v>0</v>
      </c>
    </row>
    <row r="2534" spans="1:14" x14ac:dyDescent="0.25">
      <c r="A2534">
        <v>1668.325317</v>
      </c>
      <c r="B2534" s="1">
        <f>DATE(2014,11,24) + TIME(7,48,27)</f>
        <v>41967.325312499997</v>
      </c>
      <c r="C2534">
        <v>1328.8885498</v>
      </c>
      <c r="D2534">
        <v>1327.4125977000001</v>
      </c>
      <c r="E2534">
        <v>1338.0062256000001</v>
      </c>
      <c r="F2534">
        <v>1335.6785889</v>
      </c>
      <c r="G2534">
        <v>80</v>
      </c>
      <c r="H2534">
        <v>78.511627196999996</v>
      </c>
      <c r="I2534">
        <v>50</v>
      </c>
      <c r="J2534">
        <v>49.984760283999996</v>
      </c>
      <c r="K2534">
        <v>0</v>
      </c>
      <c r="L2534">
        <v>2400</v>
      </c>
      <c r="M2534">
        <v>2400</v>
      </c>
      <c r="N2534">
        <v>0</v>
      </c>
    </row>
    <row r="2535" spans="1:14" x14ac:dyDescent="0.25">
      <c r="A2535">
        <v>1669.232814</v>
      </c>
      <c r="B2535" s="1">
        <f>DATE(2014,11,25) + TIME(5,35,15)</f>
        <v>41968.232812499999</v>
      </c>
      <c r="C2535">
        <v>1328.8566894999999</v>
      </c>
      <c r="D2535">
        <v>1327.3688964999999</v>
      </c>
      <c r="E2535">
        <v>1338.0018310999999</v>
      </c>
      <c r="F2535">
        <v>1335.6763916</v>
      </c>
      <c r="G2535">
        <v>80</v>
      </c>
      <c r="H2535">
        <v>78.463882446</v>
      </c>
      <c r="I2535">
        <v>50</v>
      </c>
      <c r="J2535">
        <v>49.984748840000002</v>
      </c>
      <c r="K2535">
        <v>0</v>
      </c>
      <c r="L2535">
        <v>2400</v>
      </c>
      <c r="M2535">
        <v>2400</v>
      </c>
      <c r="N2535">
        <v>0</v>
      </c>
    </row>
    <row r="2536" spans="1:14" x14ac:dyDescent="0.25">
      <c r="A2536">
        <v>1670.167899</v>
      </c>
      <c r="B2536" s="1">
        <f>DATE(2014,11,26) + TIME(4,1,46)</f>
        <v>41969.167893518519</v>
      </c>
      <c r="C2536">
        <v>1328.8248291</v>
      </c>
      <c r="D2536">
        <v>1327.3249512</v>
      </c>
      <c r="E2536">
        <v>1337.9975586</v>
      </c>
      <c r="F2536">
        <v>1335.6743164</v>
      </c>
      <c r="G2536">
        <v>80</v>
      </c>
      <c r="H2536">
        <v>78.415130614999995</v>
      </c>
      <c r="I2536">
        <v>50</v>
      </c>
      <c r="J2536">
        <v>49.984737396</v>
      </c>
      <c r="K2536">
        <v>0</v>
      </c>
      <c r="L2536">
        <v>2400</v>
      </c>
      <c r="M2536">
        <v>2400</v>
      </c>
      <c r="N2536">
        <v>0</v>
      </c>
    </row>
    <row r="2537" spans="1:14" x14ac:dyDescent="0.25">
      <c r="A2537">
        <v>1671.1380280000001</v>
      </c>
      <c r="B2537" s="1">
        <f>DATE(2014,11,27) + TIME(3,18,45)</f>
        <v>41970.138020833336</v>
      </c>
      <c r="C2537">
        <v>1328.7924805</v>
      </c>
      <c r="D2537">
        <v>1327.2807617000001</v>
      </c>
      <c r="E2537">
        <v>1337.9931641000001</v>
      </c>
      <c r="F2537">
        <v>1335.6722411999999</v>
      </c>
      <c r="G2537">
        <v>80</v>
      </c>
      <c r="H2537">
        <v>78.365005492999998</v>
      </c>
      <c r="I2537">
        <v>50</v>
      </c>
      <c r="J2537">
        <v>49.984722136999999</v>
      </c>
      <c r="K2537">
        <v>0</v>
      </c>
      <c r="L2537">
        <v>2400</v>
      </c>
      <c r="M2537">
        <v>2400</v>
      </c>
      <c r="N2537">
        <v>0</v>
      </c>
    </row>
    <row r="2538" spans="1:14" x14ac:dyDescent="0.25">
      <c r="A2538">
        <v>1672.1516919999999</v>
      </c>
      <c r="B2538" s="1">
        <f>DATE(2014,11,28) + TIME(3,38,26)</f>
        <v>41971.151689814818</v>
      </c>
      <c r="C2538">
        <v>1328.7596435999999</v>
      </c>
      <c r="D2538">
        <v>1327.2357178</v>
      </c>
      <c r="E2538">
        <v>1337.9888916</v>
      </c>
      <c r="F2538">
        <v>1335.6701660000001</v>
      </c>
      <c r="G2538">
        <v>80</v>
      </c>
      <c r="H2538">
        <v>78.313102721999996</v>
      </c>
      <c r="I2538">
        <v>50</v>
      </c>
      <c r="J2538">
        <v>49.984710692999997</v>
      </c>
      <c r="K2538">
        <v>0</v>
      </c>
      <c r="L2538">
        <v>2400</v>
      </c>
      <c r="M2538">
        <v>2400</v>
      </c>
      <c r="N2538">
        <v>0</v>
      </c>
    </row>
    <row r="2539" spans="1:14" x14ac:dyDescent="0.25">
      <c r="A2539">
        <v>1673.2171060000001</v>
      </c>
      <c r="B2539" s="1">
        <f>DATE(2014,11,29) + TIME(5,12,37)</f>
        <v>41972.217094907406</v>
      </c>
      <c r="C2539">
        <v>1328.7259521000001</v>
      </c>
      <c r="D2539">
        <v>1327.1898193</v>
      </c>
      <c r="E2539">
        <v>1337.9844971</v>
      </c>
      <c r="F2539">
        <v>1335.6680908000001</v>
      </c>
      <c r="G2539">
        <v>80</v>
      </c>
      <c r="H2539">
        <v>78.258964539000004</v>
      </c>
      <c r="I2539">
        <v>50</v>
      </c>
      <c r="J2539">
        <v>49.984695434999999</v>
      </c>
      <c r="K2539">
        <v>0</v>
      </c>
      <c r="L2539">
        <v>2400</v>
      </c>
      <c r="M2539">
        <v>2400</v>
      </c>
      <c r="N2539">
        <v>0</v>
      </c>
    </row>
    <row r="2540" spans="1:14" x14ac:dyDescent="0.25">
      <c r="A2540">
        <v>1674.3078009999999</v>
      </c>
      <c r="B2540" s="1">
        <f>DATE(2014,11,30) + TIME(7,23,14)</f>
        <v>41973.307800925926</v>
      </c>
      <c r="C2540">
        <v>1328.6914062000001</v>
      </c>
      <c r="D2540">
        <v>1327.1427002</v>
      </c>
      <c r="E2540">
        <v>1337.9801024999999</v>
      </c>
      <c r="F2540">
        <v>1335.6660156</v>
      </c>
      <c r="G2540">
        <v>80</v>
      </c>
      <c r="H2540">
        <v>78.202796935999999</v>
      </c>
      <c r="I2540">
        <v>50</v>
      </c>
      <c r="J2540">
        <v>49.984683990000001</v>
      </c>
      <c r="K2540">
        <v>0</v>
      </c>
      <c r="L2540">
        <v>2400</v>
      </c>
      <c r="M2540">
        <v>2400</v>
      </c>
      <c r="N2540">
        <v>0</v>
      </c>
    </row>
    <row r="2541" spans="1:14" x14ac:dyDescent="0.25">
      <c r="A2541">
        <v>1675</v>
      </c>
      <c r="B2541" s="1">
        <f>DATE(2014,12,1) + TIME(0,0,0)</f>
        <v>41974</v>
      </c>
      <c r="C2541">
        <v>1328.6573486</v>
      </c>
      <c r="D2541">
        <v>1327.0969238</v>
      </c>
      <c r="E2541">
        <v>1337.9757079999999</v>
      </c>
      <c r="F2541">
        <v>1335.6639404</v>
      </c>
      <c r="G2541">
        <v>80</v>
      </c>
      <c r="H2541">
        <v>78.155845642000003</v>
      </c>
      <c r="I2541">
        <v>50</v>
      </c>
      <c r="J2541">
        <v>49.984672545999999</v>
      </c>
      <c r="K2541">
        <v>0</v>
      </c>
      <c r="L2541">
        <v>2400</v>
      </c>
      <c r="M2541">
        <v>2400</v>
      </c>
      <c r="N2541">
        <v>0</v>
      </c>
    </row>
    <row r="2542" spans="1:14" x14ac:dyDescent="0.25">
      <c r="A2542">
        <v>1676.1245389999999</v>
      </c>
      <c r="B2542" s="1">
        <f>DATE(2014,12,2) + TIME(2,59,20)</f>
        <v>41975.124537037038</v>
      </c>
      <c r="C2542">
        <v>1328.6313477000001</v>
      </c>
      <c r="D2542">
        <v>1327.0598144999999</v>
      </c>
      <c r="E2542">
        <v>1337.9731445</v>
      </c>
      <c r="F2542">
        <v>1335.6628418</v>
      </c>
      <c r="G2542">
        <v>80</v>
      </c>
      <c r="H2542">
        <v>78.104125976999995</v>
      </c>
      <c r="I2542">
        <v>50</v>
      </c>
      <c r="J2542">
        <v>49.984661101999997</v>
      </c>
      <c r="K2542">
        <v>0</v>
      </c>
      <c r="L2542">
        <v>2400</v>
      </c>
      <c r="M2542">
        <v>2400</v>
      </c>
      <c r="N2542">
        <v>0</v>
      </c>
    </row>
    <row r="2543" spans="1:14" x14ac:dyDescent="0.25">
      <c r="A2543">
        <v>1677.275797</v>
      </c>
      <c r="B2543" s="1">
        <f>DATE(2014,12,3) + TIME(6,37,8)</f>
        <v>41976.275787037041</v>
      </c>
      <c r="C2543">
        <v>1328.5980225000001</v>
      </c>
      <c r="D2543">
        <v>1327.0152588000001</v>
      </c>
      <c r="E2543">
        <v>1337.9688721</v>
      </c>
      <c r="F2543">
        <v>1335.6608887</v>
      </c>
      <c r="G2543">
        <v>80</v>
      </c>
      <c r="H2543">
        <v>78.046691894999995</v>
      </c>
      <c r="I2543">
        <v>50</v>
      </c>
      <c r="J2543">
        <v>49.984649658000002</v>
      </c>
      <c r="K2543">
        <v>0</v>
      </c>
      <c r="L2543">
        <v>2400</v>
      </c>
      <c r="M2543">
        <v>2400</v>
      </c>
      <c r="N2543">
        <v>0</v>
      </c>
    </row>
    <row r="2544" spans="1:14" x14ac:dyDescent="0.25">
      <c r="A2544">
        <v>1678.450225</v>
      </c>
      <c r="B2544" s="1">
        <f>DATE(2014,12,4) + TIME(10,48,19)</f>
        <v>41977.450219907405</v>
      </c>
      <c r="C2544">
        <v>1328.5633545000001</v>
      </c>
      <c r="D2544">
        <v>1326.9685059000001</v>
      </c>
      <c r="E2544">
        <v>1337.9647216999999</v>
      </c>
      <c r="F2544">
        <v>1335.6590576000001</v>
      </c>
      <c r="G2544">
        <v>80</v>
      </c>
      <c r="H2544">
        <v>77.986129761000001</v>
      </c>
      <c r="I2544">
        <v>50</v>
      </c>
      <c r="J2544">
        <v>49.984634399000001</v>
      </c>
      <c r="K2544">
        <v>0</v>
      </c>
      <c r="L2544">
        <v>2400</v>
      </c>
      <c r="M2544">
        <v>2400</v>
      </c>
      <c r="N2544">
        <v>0</v>
      </c>
    </row>
    <row r="2545" spans="1:14" x14ac:dyDescent="0.25">
      <c r="A2545">
        <v>1679.657326</v>
      </c>
      <c r="B2545" s="1">
        <f>DATE(2014,12,5) + TIME(15,46,33)</f>
        <v>41978.657326388886</v>
      </c>
      <c r="C2545">
        <v>1328.5281981999999</v>
      </c>
      <c r="D2545">
        <v>1326.9208983999999</v>
      </c>
      <c r="E2545">
        <v>1337.9605713000001</v>
      </c>
      <c r="F2545">
        <v>1335.6573486</v>
      </c>
      <c r="G2545">
        <v>80</v>
      </c>
      <c r="H2545">
        <v>77.923271178999997</v>
      </c>
      <c r="I2545">
        <v>50</v>
      </c>
      <c r="J2545">
        <v>49.984622954999999</v>
      </c>
      <c r="K2545">
        <v>0</v>
      </c>
      <c r="L2545">
        <v>2400</v>
      </c>
      <c r="M2545">
        <v>2400</v>
      </c>
      <c r="N2545">
        <v>0</v>
      </c>
    </row>
    <row r="2546" spans="1:14" x14ac:dyDescent="0.25">
      <c r="A2546">
        <v>1680.9072389999999</v>
      </c>
      <c r="B2546" s="1">
        <f>DATE(2014,12,6) + TIME(21,46,25)</f>
        <v>41979.907233796293</v>
      </c>
      <c r="C2546">
        <v>1328.4925536999999</v>
      </c>
      <c r="D2546">
        <v>1326.8728027</v>
      </c>
      <c r="E2546">
        <v>1337.956543</v>
      </c>
      <c r="F2546">
        <v>1335.6555175999999</v>
      </c>
      <c r="G2546">
        <v>80</v>
      </c>
      <c r="H2546">
        <v>77.858078003000003</v>
      </c>
      <c r="I2546">
        <v>50</v>
      </c>
      <c r="J2546">
        <v>49.984607697000001</v>
      </c>
      <c r="K2546">
        <v>0</v>
      </c>
      <c r="L2546">
        <v>2400</v>
      </c>
      <c r="M2546">
        <v>2400</v>
      </c>
      <c r="N2546">
        <v>0</v>
      </c>
    </row>
    <row r="2547" spans="1:14" x14ac:dyDescent="0.25">
      <c r="A2547">
        <v>1682.2113870000001</v>
      </c>
      <c r="B2547" s="1">
        <f>DATE(2014,12,8) + TIME(5,4,23)</f>
        <v>41981.211377314816</v>
      </c>
      <c r="C2547">
        <v>1328.4564209</v>
      </c>
      <c r="D2547">
        <v>1326.8238524999999</v>
      </c>
      <c r="E2547">
        <v>1337.9525146000001</v>
      </c>
      <c r="F2547">
        <v>1335.6538086</v>
      </c>
      <c r="G2547">
        <v>80</v>
      </c>
      <c r="H2547">
        <v>77.790122986</v>
      </c>
      <c r="I2547">
        <v>50</v>
      </c>
      <c r="J2547">
        <v>49.984596252000003</v>
      </c>
      <c r="K2547">
        <v>0</v>
      </c>
      <c r="L2547">
        <v>2400</v>
      </c>
      <c r="M2547">
        <v>2400</v>
      </c>
      <c r="N2547">
        <v>0</v>
      </c>
    </row>
    <row r="2548" spans="1:14" x14ac:dyDescent="0.25">
      <c r="A2548">
        <v>1683.566356</v>
      </c>
      <c r="B2548" s="1">
        <f>DATE(2014,12,9) + TIME(13,35,33)</f>
        <v>41982.566354166665</v>
      </c>
      <c r="C2548">
        <v>1328.4194336</v>
      </c>
      <c r="D2548">
        <v>1326.7741699000001</v>
      </c>
      <c r="E2548">
        <v>1337.9483643000001</v>
      </c>
      <c r="F2548">
        <v>1335.6520995999999</v>
      </c>
      <c r="G2548">
        <v>80</v>
      </c>
      <c r="H2548">
        <v>77.719047545999999</v>
      </c>
      <c r="I2548">
        <v>50</v>
      </c>
      <c r="J2548">
        <v>49.984580993999998</v>
      </c>
      <c r="K2548">
        <v>0</v>
      </c>
      <c r="L2548">
        <v>2400</v>
      </c>
      <c r="M2548">
        <v>2400</v>
      </c>
      <c r="N2548">
        <v>0</v>
      </c>
    </row>
    <row r="2549" spans="1:14" x14ac:dyDescent="0.25">
      <c r="A2549">
        <v>1684.982397</v>
      </c>
      <c r="B2549" s="1">
        <f>DATE(2014,12,10) + TIME(23,34,39)</f>
        <v>41983.982395833336</v>
      </c>
      <c r="C2549">
        <v>1328.3817139</v>
      </c>
      <c r="D2549">
        <v>1326.7235106999999</v>
      </c>
      <c r="E2549">
        <v>1337.9442139</v>
      </c>
      <c r="F2549">
        <v>1335.6503906</v>
      </c>
      <c r="G2549">
        <v>80</v>
      </c>
      <c r="H2549">
        <v>77.644561768000003</v>
      </c>
      <c r="I2549">
        <v>50</v>
      </c>
      <c r="J2549">
        <v>49.984569550000003</v>
      </c>
      <c r="K2549">
        <v>0</v>
      </c>
      <c r="L2549">
        <v>2400</v>
      </c>
      <c r="M2549">
        <v>2400</v>
      </c>
      <c r="N2549">
        <v>0</v>
      </c>
    </row>
    <row r="2550" spans="1:14" x14ac:dyDescent="0.25">
      <c r="A2550">
        <v>1686.4273350000001</v>
      </c>
      <c r="B2550" s="1">
        <f>DATE(2014,12,12) + TIME(10,15,21)</f>
        <v>41985.42732638889</v>
      </c>
      <c r="C2550">
        <v>1328.3432617000001</v>
      </c>
      <c r="D2550">
        <v>1326.671875</v>
      </c>
      <c r="E2550">
        <v>1337.9400635</v>
      </c>
      <c r="F2550">
        <v>1335.6488036999999</v>
      </c>
      <c r="G2550">
        <v>80</v>
      </c>
      <c r="H2550">
        <v>77.566818237000007</v>
      </c>
      <c r="I2550">
        <v>50</v>
      </c>
      <c r="J2550">
        <v>49.984554291000002</v>
      </c>
      <c r="K2550">
        <v>0</v>
      </c>
      <c r="L2550">
        <v>2400</v>
      </c>
      <c r="M2550">
        <v>2400</v>
      </c>
      <c r="N2550">
        <v>0</v>
      </c>
    </row>
    <row r="2551" spans="1:14" x14ac:dyDescent="0.25">
      <c r="A2551">
        <v>1687.8991249999999</v>
      </c>
      <c r="B2551" s="1">
        <f>DATE(2014,12,13) + TIME(21,34,44)</f>
        <v>41986.89912037037</v>
      </c>
      <c r="C2551">
        <v>1328.3044434000001</v>
      </c>
      <c r="D2551">
        <v>1326.6198730000001</v>
      </c>
      <c r="E2551">
        <v>1337.9359131000001</v>
      </c>
      <c r="F2551">
        <v>1335.6470947</v>
      </c>
      <c r="G2551">
        <v>80</v>
      </c>
      <c r="H2551">
        <v>77.486534118999998</v>
      </c>
      <c r="I2551">
        <v>50</v>
      </c>
      <c r="J2551">
        <v>49.984542847</v>
      </c>
      <c r="K2551">
        <v>0</v>
      </c>
      <c r="L2551">
        <v>2400</v>
      </c>
      <c r="M2551">
        <v>2400</v>
      </c>
      <c r="N2551">
        <v>0</v>
      </c>
    </row>
    <row r="2552" spans="1:14" x14ac:dyDescent="0.25">
      <c r="A2552">
        <v>1689.3991590000001</v>
      </c>
      <c r="B2552" s="1">
        <f>DATE(2014,12,15) + TIME(9,34,47)</f>
        <v>41988.399155092593</v>
      </c>
      <c r="C2552">
        <v>1328.265625</v>
      </c>
      <c r="D2552">
        <v>1326.5678711</v>
      </c>
      <c r="E2552">
        <v>1337.9318848</v>
      </c>
      <c r="F2552">
        <v>1335.6455077999999</v>
      </c>
      <c r="G2552">
        <v>80</v>
      </c>
      <c r="H2552">
        <v>77.403915405000006</v>
      </c>
      <c r="I2552">
        <v>50</v>
      </c>
      <c r="J2552">
        <v>49.984527587999999</v>
      </c>
      <c r="K2552">
        <v>0</v>
      </c>
      <c r="L2552">
        <v>2400</v>
      </c>
      <c r="M2552">
        <v>2400</v>
      </c>
      <c r="N2552">
        <v>0</v>
      </c>
    </row>
    <row r="2553" spans="1:14" x14ac:dyDescent="0.25">
      <c r="A2553">
        <v>1690.924851</v>
      </c>
      <c r="B2553" s="1">
        <f>DATE(2014,12,16) + TIME(22,11,47)</f>
        <v>41989.924849537034</v>
      </c>
      <c r="C2553">
        <v>1328.2268065999999</v>
      </c>
      <c r="D2553">
        <v>1326.5159911999999</v>
      </c>
      <c r="E2553">
        <v>1337.9278564000001</v>
      </c>
      <c r="F2553">
        <v>1335.644043</v>
      </c>
      <c r="G2553">
        <v>80</v>
      </c>
      <c r="H2553">
        <v>77.318992614999999</v>
      </c>
      <c r="I2553">
        <v>50</v>
      </c>
      <c r="J2553">
        <v>49.984512328999998</v>
      </c>
      <c r="K2553">
        <v>0</v>
      </c>
      <c r="L2553">
        <v>2400</v>
      </c>
      <c r="M2553">
        <v>2400</v>
      </c>
      <c r="N2553">
        <v>0</v>
      </c>
    </row>
    <row r="2554" spans="1:14" x14ac:dyDescent="0.25">
      <c r="A2554">
        <v>1692.4887659999999</v>
      </c>
      <c r="B2554" s="1">
        <f>DATE(2014,12,18) + TIME(11,43,49)</f>
        <v>41991.488761574074</v>
      </c>
      <c r="C2554">
        <v>1328.1881103999999</v>
      </c>
      <c r="D2554">
        <v>1326.4642334</v>
      </c>
      <c r="E2554">
        <v>1337.9239502</v>
      </c>
      <c r="F2554">
        <v>1335.6425781</v>
      </c>
      <c r="G2554">
        <v>80</v>
      </c>
      <c r="H2554">
        <v>77.231605529999996</v>
      </c>
      <c r="I2554">
        <v>50</v>
      </c>
      <c r="J2554">
        <v>49.984500885000003</v>
      </c>
      <c r="K2554">
        <v>0</v>
      </c>
      <c r="L2554">
        <v>2400</v>
      </c>
      <c r="M2554">
        <v>2400</v>
      </c>
      <c r="N2554">
        <v>0</v>
      </c>
    </row>
    <row r="2555" spans="1:14" x14ac:dyDescent="0.25">
      <c r="A2555">
        <v>1694.104302</v>
      </c>
      <c r="B2555" s="1">
        <f>DATE(2014,12,20) + TIME(2,30,11)</f>
        <v>41993.10429398148</v>
      </c>
      <c r="C2555">
        <v>1328.1492920000001</v>
      </c>
      <c r="D2555">
        <v>1326.4123535000001</v>
      </c>
      <c r="E2555">
        <v>1337.9199219</v>
      </c>
      <c r="F2555">
        <v>1335.6411132999999</v>
      </c>
      <c r="G2555">
        <v>80</v>
      </c>
      <c r="H2555">
        <v>77.141136169000006</v>
      </c>
      <c r="I2555">
        <v>50</v>
      </c>
      <c r="J2555">
        <v>49.984485626000001</v>
      </c>
      <c r="K2555">
        <v>0</v>
      </c>
      <c r="L2555">
        <v>2400</v>
      </c>
      <c r="M2555">
        <v>2400</v>
      </c>
      <c r="N2555">
        <v>0</v>
      </c>
    </row>
    <row r="2556" spans="1:14" x14ac:dyDescent="0.25">
      <c r="A2556">
        <v>1695.7864400000001</v>
      </c>
      <c r="B2556" s="1">
        <f>DATE(2014,12,21) + TIME(18,52,28)</f>
        <v>41994.786435185182</v>
      </c>
      <c r="C2556">
        <v>1328.1102295000001</v>
      </c>
      <c r="D2556">
        <v>1326.3602295000001</v>
      </c>
      <c r="E2556">
        <v>1337.9160156</v>
      </c>
      <c r="F2556">
        <v>1335.6396483999999</v>
      </c>
      <c r="G2556">
        <v>80</v>
      </c>
      <c r="H2556">
        <v>77.046791076999995</v>
      </c>
      <c r="I2556">
        <v>50</v>
      </c>
      <c r="J2556">
        <v>49.984474182</v>
      </c>
      <c r="K2556">
        <v>0</v>
      </c>
      <c r="L2556">
        <v>2400</v>
      </c>
      <c r="M2556">
        <v>2400</v>
      </c>
      <c r="N2556">
        <v>0</v>
      </c>
    </row>
    <row r="2557" spans="1:14" x14ac:dyDescent="0.25">
      <c r="A2557">
        <v>1697.552512</v>
      </c>
      <c r="B2557" s="1">
        <f>DATE(2014,12,23) + TIME(13,15,37)</f>
        <v>41996.552511574075</v>
      </c>
      <c r="C2557">
        <v>1328.0703125</v>
      </c>
      <c r="D2557">
        <v>1326.3073730000001</v>
      </c>
      <c r="E2557">
        <v>1337.9121094</v>
      </c>
      <c r="F2557">
        <v>1335.6383057</v>
      </c>
      <c r="G2557">
        <v>80</v>
      </c>
      <c r="H2557">
        <v>76.947616577000005</v>
      </c>
      <c r="I2557">
        <v>50</v>
      </c>
      <c r="J2557">
        <v>49.984458922999998</v>
      </c>
      <c r="K2557">
        <v>0</v>
      </c>
      <c r="L2557">
        <v>2400</v>
      </c>
      <c r="M2557">
        <v>2400</v>
      </c>
      <c r="N2557">
        <v>0</v>
      </c>
    </row>
    <row r="2558" spans="1:14" x14ac:dyDescent="0.25">
      <c r="A2558">
        <v>1699.385702</v>
      </c>
      <c r="B2558" s="1">
        <f>DATE(2014,12,25) + TIME(9,15,24)</f>
        <v>41998.385694444441</v>
      </c>
      <c r="C2558">
        <v>1328.0296631000001</v>
      </c>
      <c r="D2558">
        <v>1326.253418</v>
      </c>
      <c r="E2558">
        <v>1337.9080810999999</v>
      </c>
      <c r="F2558">
        <v>1335.6368408000001</v>
      </c>
      <c r="G2558">
        <v>80</v>
      </c>
      <c r="H2558">
        <v>76.842994689999998</v>
      </c>
      <c r="I2558">
        <v>50</v>
      </c>
      <c r="J2558">
        <v>49.984443665000001</v>
      </c>
      <c r="K2558">
        <v>0</v>
      </c>
      <c r="L2558">
        <v>2400</v>
      </c>
      <c r="M2558">
        <v>2400</v>
      </c>
      <c r="N2558">
        <v>0</v>
      </c>
    </row>
    <row r="2559" spans="1:14" x14ac:dyDescent="0.25">
      <c r="A2559">
        <v>1701.2232610000001</v>
      </c>
      <c r="B2559" s="1">
        <f>DATE(2014,12,27) + TIME(5,21,29)</f>
        <v>42000.223252314812</v>
      </c>
      <c r="C2559">
        <v>1327.9881591999999</v>
      </c>
      <c r="D2559">
        <v>1326.1986084</v>
      </c>
      <c r="E2559">
        <v>1337.9040527</v>
      </c>
      <c r="F2559">
        <v>1335.6354980000001</v>
      </c>
      <c r="G2559">
        <v>80</v>
      </c>
      <c r="H2559">
        <v>76.734069824000002</v>
      </c>
      <c r="I2559">
        <v>50</v>
      </c>
      <c r="J2559">
        <v>49.984432220000002</v>
      </c>
      <c r="K2559">
        <v>0</v>
      </c>
      <c r="L2559">
        <v>2400</v>
      </c>
      <c r="M2559">
        <v>2400</v>
      </c>
      <c r="N2559">
        <v>0</v>
      </c>
    </row>
    <row r="2560" spans="1:14" x14ac:dyDescent="0.25">
      <c r="A2560">
        <v>1703.084795</v>
      </c>
      <c r="B2560" s="1">
        <f>DATE(2014,12,29) + TIME(2,2,6)</f>
        <v>42002.084791666668</v>
      </c>
      <c r="C2560">
        <v>1327.9470214999999</v>
      </c>
      <c r="D2560">
        <v>1326.1441649999999</v>
      </c>
      <c r="E2560">
        <v>1337.9000243999999</v>
      </c>
      <c r="F2560">
        <v>1335.6341553</v>
      </c>
      <c r="G2560">
        <v>80</v>
      </c>
      <c r="H2560">
        <v>76.622749329000001</v>
      </c>
      <c r="I2560">
        <v>50</v>
      </c>
      <c r="J2560">
        <v>49.984416961999997</v>
      </c>
      <c r="K2560">
        <v>0</v>
      </c>
      <c r="L2560">
        <v>2400</v>
      </c>
      <c r="M2560">
        <v>2400</v>
      </c>
      <c r="N2560">
        <v>0</v>
      </c>
    </row>
    <row r="2561" spans="1:14" x14ac:dyDescent="0.25">
      <c r="A2561">
        <v>1704.9873600000001</v>
      </c>
      <c r="B2561" s="1">
        <f>DATE(2014,12,30) + TIME(23,41,47)</f>
        <v>42003.987349537034</v>
      </c>
      <c r="C2561">
        <v>1327.90625</v>
      </c>
      <c r="D2561">
        <v>1326.0902100000001</v>
      </c>
      <c r="E2561">
        <v>1337.8961182</v>
      </c>
      <c r="F2561">
        <v>1335.6329346</v>
      </c>
      <c r="G2561">
        <v>80</v>
      </c>
      <c r="H2561">
        <v>76.508659363000007</v>
      </c>
      <c r="I2561">
        <v>50</v>
      </c>
      <c r="J2561">
        <v>49.984401703000003</v>
      </c>
      <c r="K2561">
        <v>0</v>
      </c>
      <c r="L2561">
        <v>2400</v>
      </c>
      <c r="M2561">
        <v>2400</v>
      </c>
      <c r="N2561">
        <v>0</v>
      </c>
    </row>
    <row r="2562" spans="1:14" x14ac:dyDescent="0.25">
      <c r="A2562">
        <v>1706</v>
      </c>
      <c r="B2562" s="1">
        <f>DATE(2015,1,1) + TIME(0,0,0)</f>
        <v>42005</v>
      </c>
      <c r="C2562">
        <v>1327.8664550999999</v>
      </c>
      <c r="D2562">
        <v>1326.0384521000001</v>
      </c>
      <c r="E2562">
        <v>1337.8923339999999</v>
      </c>
      <c r="F2562">
        <v>1335.6315918</v>
      </c>
      <c r="G2562">
        <v>80</v>
      </c>
      <c r="H2562">
        <v>76.411911011000001</v>
      </c>
      <c r="I2562">
        <v>50</v>
      </c>
      <c r="J2562">
        <v>49.984390259000001</v>
      </c>
      <c r="K2562">
        <v>0</v>
      </c>
      <c r="L2562">
        <v>2400</v>
      </c>
      <c r="M2562">
        <v>2400</v>
      </c>
      <c r="N2562">
        <v>0</v>
      </c>
    </row>
    <row r="2563" spans="1:14" x14ac:dyDescent="0.25">
      <c r="A2563">
        <v>1707.9608020000001</v>
      </c>
      <c r="B2563" s="1">
        <f>DATE(2015,1,2) + TIME(23,3,33)</f>
        <v>42006.960798611108</v>
      </c>
      <c r="C2563">
        <v>1327.8394774999999</v>
      </c>
      <c r="D2563">
        <v>1325.9995117000001</v>
      </c>
      <c r="E2563">
        <v>1337.8903809000001</v>
      </c>
      <c r="F2563">
        <v>1335.6309814000001</v>
      </c>
      <c r="G2563">
        <v>80</v>
      </c>
      <c r="H2563">
        <v>76.319831848000007</v>
      </c>
      <c r="I2563">
        <v>50</v>
      </c>
      <c r="J2563">
        <v>49.984378814999999</v>
      </c>
      <c r="K2563">
        <v>0</v>
      </c>
      <c r="L2563">
        <v>2400</v>
      </c>
      <c r="M2563">
        <v>2400</v>
      </c>
      <c r="N2563">
        <v>0</v>
      </c>
    </row>
    <row r="2564" spans="1:14" x14ac:dyDescent="0.25">
      <c r="A2564">
        <v>1710.039162</v>
      </c>
      <c r="B2564" s="1">
        <f>DATE(2015,1,5) + TIME(0,56,23)</f>
        <v>42009.039155092592</v>
      </c>
      <c r="C2564">
        <v>1327.8026123</v>
      </c>
      <c r="D2564">
        <v>1325.9527588000001</v>
      </c>
      <c r="E2564">
        <v>1337.8865966999999</v>
      </c>
      <c r="F2564">
        <v>1335.6297606999999</v>
      </c>
      <c r="G2564">
        <v>80</v>
      </c>
      <c r="H2564">
        <v>76.202278136999993</v>
      </c>
      <c r="I2564">
        <v>50</v>
      </c>
      <c r="J2564">
        <v>49.984367370999998</v>
      </c>
      <c r="K2564">
        <v>0</v>
      </c>
      <c r="L2564">
        <v>2400</v>
      </c>
      <c r="M2564">
        <v>2400</v>
      </c>
      <c r="N2564">
        <v>0</v>
      </c>
    </row>
    <row r="2565" spans="1:14" x14ac:dyDescent="0.25">
      <c r="A2565">
        <v>1712.217367</v>
      </c>
      <c r="B2565" s="1">
        <f>DATE(2015,1,7) + TIME(5,13,0)</f>
        <v>42011.217361111114</v>
      </c>
      <c r="C2565">
        <v>1327.7620850000001</v>
      </c>
      <c r="D2565">
        <v>1325.8999022999999</v>
      </c>
      <c r="E2565">
        <v>1337.8825684000001</v>
      </c>
      <c r="F2565">
        <v>1335.6285399999999</v>
      </c>
      <c r="G2565">
        <v>80</v>
      </c>
      <c r="H2565">
        <v>76.072349548000005</v>
      </c>
      <c r="I2565">
        <v>50</v>
      </c>
      <c r="J2565">
        <v>49.984352112000003</v>
      </c>
      <c r="K2565">
        <v>0</v>
      </c>
      <c r="L2565">
        <v>2400</v>
      </c>
      <c r="M2565">
        <v>2400</v>
      </c>
      <c r="N2565">
        <v>0</v>
      </c>
    </row>
    <row r="2566" spans="1:14" x14ac:dyDescent="0.25">
      <c r="A2566">
        <v>1714.4982849999999</v>
      </c>
      <c r="B2566" s="1">
        <f>DATE(2015,1,9) + TIME(11,57,31)</f>
        <v>42013.49827546296</v>
      </c>
      <c r="C2566">
        <v>1327.7197266000001</v>
      </c>
      <c r="D2566">
        <v>1325.8447266000001</v>
      </c>
      <c r="E2566">
        <v>1337.8786620999999</v>
      </c>
      <c r="F2566">
        <v>1335.6273193</v>
      </c>
      <c r="G2566">
        <v>80</v>
      </c>
      <c r="H2566">
        <v>75.933708190999994</v>
      </c>
      <c r="I2566">
        <v>50</v>
      </c>
      <c r="J2566">
        <v>49.984340668000002</v>
      </c>
      <c r="K2566">
        <v>0</v>
      </c>
      <c r="L2566">
        <v>2400</v>
      </c>
      <c r="M2566">
        <v>2400</v>
      </c>
      <c r="N2566">
        <v>0</v>
      </c>
    </row>
    <row r="2567" spans="1:14" x14ac:dyDescent="0.25">
      <c r="A2567">
        <v>1716.7816270000001</v>
      </c>
      <c r="B2567" s="1">
        <f>DATE(2015,1,11) + TIME(18,45,32)</f>
        <v>42015.78162037037</v>
      </c>
      <c r="C2567">
        <v>1327.6763916</v>
      </c>
      <c r="D2567">
        <v>1325.7880858999999</v>
      </c>
      <c r="E2567">
        <v>1337.8745117000001</v>
      </c>
      <c r="F2567">
        <v>1335.6260986</v>
      </c>
      <c r="G2567">
        <v>80</v>
      </c>
      <c r="H2567">
        <v>75.788230896000002</v>
      </c>
      <c r="I2567">
        <v>50</v>
      </c>
      <c r="J2567">
        <v>49.984325409</v>
      </c>
      <c r="K2567">
        <v>0</v>
      </c>
      <c r="L2567">
        <v>2400</v>
      </c>
      <c r="M2567">
        <v>2400</v>
      </c>
      <c r="N2567">
        <v>0</v>
      </c>
    </row>
    <row r="2568" spans="1:14" x14ac:dyDescent="0.25">
      <c r="A2568">
        <v>1719.0997110000001</v>
      </c>
      <c r="B2568" s="1">
        <f>DATE(2015,1,14) + TIME(2,23,35)</f>
        <v>42018.099710648145</v>
      </c>
      <c r="C2568">
        <v>1327.6333007999999</v>
      </c>
      <c r="D2568">
        <v>1325.7315673999999</v>
      </c>
      <c r="E2568">
        <v>1337.8706055</v>
      </c>
      <c r="F2568">
        <v>1335.6248779</v>
      </c>
      <c r="G2568">
        <v>80</v>
      </c>
      <c r="H2568">
        <v>75.639762877999999</v>
      </c>
      <c r="I2568">
        <v>50</v>
      </c>
      <c r="J2568">
        <v>49.984310149999999</v>
      </c>
      <c r="K2568">
        <v>0</v>
      </c>
      <c r="L2568">
        <v>2400</v>
      </c>
      <c r="M2568">
        <v>2400</v>
      </c>
      <c r="N2568">
        <v>0</v>
      </c>
    </row>
    <row r="2569" spans="1:14" x14ac:dyDescent="0.25">
      <c r="A2569">
        <v>1721.478331</v>
      </c>
      <c r="B2569" s="1">
        <f>DATE(2015,1,16) + TIME(11,28,47)</f>
        <v>42020.478321759256</v>
      </c>
      <c r="C2569">
        <v>1327.5906981999999</v>
      </c>
      <c r="D2569">
        <v>1325.6756591999999</v>
      </c>
      <c r="E2569">
        <v>1337.8666992000001</v>
      </c>
      <c r="F2569">
        <v>1335.6237793</v>
      </c>
      <c r="G2569">
        <v>80</v>
      </c>
      <c r="H2569">
        <v>75.487541199000006</v>
      </c>
      <c r="I2569">
        <v>50</v>
      </c>
      <c r="J2569">
        <v>49.984294890999998</v>
      </c>
      <c r="K2569">
        <v>0</v>
      </c>
      <c r="L2569">
        <v>2400</v>
      </c>
      <c r="M2569">
        <v>2400</v>
      </c>
      <c r="N2569">
        <v>0</v>
      </c>
    </row>
    <row r="2570" spans="1:14" x14ac:dyDescent="0.25">
      <c r="A2570">
        <v>1723.94136</v>
      </c>
      <c r="B2570" s="1">
        <f>DATE(2015,1,18) + TIME(22,35,33)</f>
        <v>42022.941354166665</v>
      </c>
      <c r="C2570">
        <v>1327.5480957</v>
      </c>
      <c r="D2570">
        <v>1325.6198730000001</v>
      </c>
      <c r="E2570">
        <v>1337.862793</v>
      </c>
      <c r="F2570">
        <v>1335.6225586</v>
      </c>
      <c r="G2570">
        <v>80</v>
      </c>
      <c r="H2570">
        <v>75.330062866000006</v>
      </c>
      <c r="I2570">
        <v>50</v>
      </c>
      <c r="J2570">
        <v>49.984283447000003</v>
      </c>
      <c r="K2570">
        <v>0</v>
      </c>
      <c r="L2570">
        <v>2400</v>
      </c>
      <c r="M2570">
        <v>2400</v>
      </c>
      <c r="N2570">
        <v>0</v>
      </c>
    </row>
    <row r="2571" spans="1:14" x14ac:dyDescent="0.25">
      <c r="A2571">
        <v>1726.433372</v>
      </c>
      <c r="B2571" s="1">
        <f>DATE(2015,1,21) + TIME(10,24,3)</f>
        <v>42025.433368055557</v>
      </c>
      <c r="C2571">
        <v>1327.5051269999999</v>
      </c>
      <c r="D2571">
        <v>1325.5639647999999</v>
      </c>
      <c r="E2571">
        <v>1337.8587646000001</v>
      </c>
      <c r="F2571">
        <v>1335.6214600000001</v>
      </c>
      <c r="G2571">
        <v>80</v>
      </c>
      <c r="H2571">
        <v>75.166763306000007</v>
      </c>
      <c r="I2571">
        <v>50</v>
      </c>
      <c r="J2571">
        <v>49.984268188000001</v>
      </c>
      <c r="K2571">
        <v>0</v>
      </c>
      <c r="L2571">
        <v>2400</v>
      </c>
      <c r="M2571">
        <v>2400</v>
      </c>
      <c r="N2571">
        <v>0</v>
      </c>
    </row>
    <row r="2572" spans="1:14" x14ac:dyDescent="0.25">
      <c r="A2572">
        <v>1728.9675789999999</v>
      </c>
      <c r="B2572" s="1">
        <f>DATE(2015,1,23) + TIME(23,13,18)</f>
        <v>42027.967569444445</v>
      </c>
      <c r="C2572">
        <v>1327.4625243999999</v>
      </c>
      <c r="D2572">
        <v>1325.5083007999999</v>
      </c>
      <c r="E2572">
        <v>1337.8548584</v>
      </c>
      <c r="F2572">
        <v>1335.6203613</v>
      </c>
      <c r="G2572">
        <v>80</v>
      </c>
      <c r="H2572">
        <v>74.999610900999997</v>
      </c>
      <c r="I2572">
        <v>50</v>
      </c>
      <c r="J2572">
        <v>49.984256744</v>
      </c>
      <c r="K2572">
        <v>0</v>
      </c>
      <c r="L2572">
        <v>2400</v>
      </c>
      <c r="M2572">
        <v>2400</v>
      </c>
      <c r="N2572">
        <v>0</v>
      </c>
    </row>
    <row r="2573" spans="1:14" x14ac:dyDescent="0.25">
      <c r="A2573">
        <v>1731.591079</v>
      </c>
      <c r="B2573" s="1">
        <f>DATE(2015,1,26) + TIME(14,11,9)</f>
        <v>42030.59107638889</v>
      </c>
      <c r="C2573">
        <v>1327.4201660000001</v>
      </c>
      <c r="D2573">
        <v>1325.4530029</v>
      </c>
      <c r="E2573">
        <v>1337.8510742000001</v>
      </c>
      <c r="F2573">
        <v>1335.6192627</v>
      </c>
      <c r="G2573">
        <v>80</v>
      </c>
      <c r="H2573">
        <v>74.827682495000005</v>
      </c>
      <c r="I2573">
        <v>50</v>
      </c>
      <c r="J2573">
        <v>49.984241486000002</v>
      </c>
      <c r="K2573">
        <v>0</v>
      </c>
      <c r="L2573">
        <v>2400</v>
      </c>
      <c r="M2573">
        <v>2400</v>
      </c>
      <c r="N2573">
        <v>0</v>
      </c>
    </row>
    <row r="2574" spans="1:14" x14ac:dyDescent="0.25">
      <c r="A2574">
        <v>1734.335953</v>
      </c>
      <c r="B2574" s="1">
        <f>DATE(2015,1,29) + TIME(8,3,46)</f>
        <v>42033.335949074077</v>
      </c>
      <c r="C2574">
        <v>1327.3775635</v>
      </c>
      <c r="D2574">
        <v>1325.3977050999999</v>
      </c>
      <c r="E2574">
        <v>1337.8470459</v>
      </c>
      <c r="F2574">
        <v>1335.6181641000001</v>
      </c>
      <c r="G2574">
        <v>80</v>
      </c>
      <c r="H2574">
        <v>74.648590088000006</v>
      </c>
      <c r="I2574">
        <v>50</v>
      </c>
      <c r="J2574">
        <v>49.984230042</v>
      </c>
      <c r="K2574">
        <v>0</v>
      </c>
      <c r="L2574">
        <v>2400</v>
      </c>
      <c r="M2574">
        <v>2400</v>
      </c>
      <c r="N2574">
        <v>0</v>
      </c>
    </row>
    <row r="2575" spans="1:14" x14ac:dyDescent="0.25">
      <c r="A2575">
        <v>1737</v>
      </c>
      <c r="B2575" s="1">
        <f>DATE(2015,2,1) + TIME(0,0,0)</f>
        <v>42036</v>
      </c>
      <c r="C2575">
        <v>1327.3344727000001</v>
      </c>
      <c r="D2575">
        <v>1325.3417969</v>
      </c>
      <c r="E2575">
        <v>1337.8431396000001</v>
      </c>
      <c r="F2575">
        <v>1335.6169434000001</v>
      </c>
      <c r="G2575">
        <v>80</v>
      </c>
      <c r="H2575">
        <v>74.462722778</v>
      </c>
      <c r="I2575">
        <v>50</v>
      </c>
      <c r="J2575">
        <v>49.984214782999999</v>
      </c>
      <c r="K2575">
        <v>0</v>
      </c>
      <c r="L2575">
        <v>2400</v>
      </c>
      <c r="M2575">
        <v>2400</v>
      </c>
      <c r="N2575">
        <v>0</v>
      </c>
    </row>
    <row r="2576" spans="1:14" x14ac:dyDescent="0.25">
      <c r="A2576">
        <v>1739.8803640000001</v>
      </c>
      <c r="B2576" s="1">
        <f>DATE(2015,2,3) + TIME(21,7,43)</f>
        <v>42038.880358796298</v>
      </c>
      <c r="C2576">
        <v>1327.2924805</v>
      </c>
      <c r="D2576">
        <v>1325.2868652</v>
      </c>
      <c r="E2576">
        <v>1337.8393555</v>
      </c>
      <c r="F2576">
        <v>1335.6158447</v>
      </c>
      <c r="G2576">
        <v>80</v>
      </c>
      <c r="H2576">
        <v>74.275970459000007</v>
      </c>
      <c r="I2576">
        <v>50</v>
      </c>
      <c r="J2576">
        <v>49.984203338999997</v>
      </c>
      <c r="K2576">
        <v>0</v>
      </c>
      <c r="L2576">
        <v>2400</v>
      </c>
      <c r="M2576">
        <v>2400</v>
      </c>
      <c r="N2576">
        <v>0</v>
      </c>
    </row>
    <row r="2577" spans="1:14" x14ac:dyDescent="0.25">
      <c r="A2577">
        <v>1742.887232</v>
      </c>
      <c r="B2577" s="1">
        <f>DATE(2015,2,6) + TIME(21,17,36)</f>
        <v>42041.88722222222</v>
      </c>
      <c r="C2577">
        <v>1327.2495117000001</v>
      </c>
      <c r="D2577">
        <v>1325.2314452999999</v>
      </c>
      <c r="E2577">
        <v>1337.8353271000001</v>
      </c>
      <c r="F2577">
        <v>1335.6147461</v>
      </c>
      <c r="G2577">
        <v>80</v>
      </c>
      <c r="H2577">
        <v>74.076660156000003</v>
      </c>
      <c r="I2577">
        <v>50</v>
      </c>
      <c r="J2577">
        <v>49.984188080000003</v>
      </c>
      <c r="K2577">
        <v>0</v>
      </c>
      <c r="L2577">
        <v>2400</v>
      </c>
      <c r="M2577">
        <v>2400</v>
      </c>
      <c r="N2577">
        <v>0</v>
      </c>
    </row>
    <row r="2578" spans="1:14" x14ac:dyDescent="0.25">
      <c r="A2578">
        <v>1745.9870639999999</v>
      </c>
      <c r="B2578" s="1">
        <f>DATE(2015,2,9) + TIME(23,41,22)</f>
        <v>42044.987060185187</v>
      </c>
      <c r="C2578">
        <v>1327.2055664</v>
      </c>
      <c r="D2578">
        <v>1325.1746826000001</v>
      </c>
      <c r="E2578">
        <v>1337.8311768000001</v>
      </c>
      <c r="F2578">
        <v>1335.6135254000001</v>
      </c>
      <c r="G2578">
        <v>80</v>
      </c>
      <c r="H2578">
        <v>73.867279053000004</v>
      </c>
      <c r="I2578">
        <v>50</v>
      </c>
      <c r="J2578">
        <v>49.984176636000001</v>
      </c>
      <c r="K2578">
        <v>0</v>
      </c>
      <c r="L2578">
        <v>2400</v>
      </c>
      <c r="M2578">
        <v>2400</v>
      </c>
      <c r="N2578">
        <v>0</v>
      </c>
    </row>
    <row r="2579" spans="1:14" x14ac:dyDescent="0.25">
      <c r="A2579">
        <v>1749.1482490000001</v>
      </c>
      <c r="B2579" s="1">
        <f>DATE(2015,2,13) + TIME(3,33,28)</f>
        <v>42048.148240740738</v>
      </c>
      <c r="C2579">
        <v>1327.1612548999999</v>
      </c>
      <c r="D2579">
        <v>1325.1173096</v>
      </c>
      <c r="E2579">
        <v>1337.8270264</v>
      </c>
      <c r="F2579">
        <v>1335.6123047000001</v>
      </c>
      <c r="G2579">
        <v>80</v>
      </c>
      <c r="H2579">
        <v>73.650138854999994</v>
      </c>
      <c r="I2579">
        <v>50</v>
      </c>
      <c r="J2579">
        <v>49.984161377</v>
      </c>
      <c r="K2579">
        <v>0</v>
      </c>
      <c r="L2579">
        <v>2400</v>
      </c>
      <c r="M2579">
        <v>2400</v>
      </c>
      <c r="N2579">
        <v>0</v>
      </c>
    </row>
    <row r="2580" spans="1:14" x14ac:dyDescent="0.25">
      <c r="A2580">
        <v>1752.3393060000001</v>
      </c>
      <c r="B2580" s="1">
        <f>DATE(2015,2,16) + TIME(8,8,36)</f>
        <v>42051.339305555557</v>
      </c>
      <c r="C2580">
        <v>1327.1170654</v>
      </c>
      <c r="D2580">
        <v>1325.0600586</v>
      </c>
      <c r="E2580">
        <v>1337.822876</v>
      </c>
      <c r="F2580">
        <v>1335.6112060999999</v>
      </c>
      <c r="G2580">
        <v>80</v>
      </c>
      <c r="H2580">
        <v>73.427444457999997</v>
      </c>
      <c r="I2580">
        <v>50</v>
      </c>
      <c r="J2580">
        <v>49.984149932999998</v>
      </c>
      <c r="K2580">
        <v>0</v>
      </c>
      <c r="L2580">
        <v>2400</v>
      </c>
      <c r="M2580">
        <v>2400</v>
      </c>
      <c r="N2580">
        <v>0</v>
      </c>
    </row>
    <row r="2581" spans="1:14" x14ac:dyDescent="0.25">
      <c r="A2581">
        <v>1755.5892980000001</v>
      </c>
      <c r="B2581" s="1">
        <f>DATE(2015,2,19) + TIME(14,8,35)</f>
        <v>42054.58929398148</v>
      </c>
      <c r="C2581">
        <v>1327.0733643000001</v>
      </c>
      <c r="D2581">
        <v>1325.003418</v>
      </c>
      <c r="E2581">
        <v>1337.8188477000001</v>
      </c>
      <c r="F2581">
        <v>1335.6099853999999</v>
      </c>
      <c r="G2581">
        <v>80</v>
      </c>
      <c r="H2581">
        <v>73.200836182000003</v>
      </c>
      <c r="I2581">
        <v>50</v>
      </c>
      <c r="J2581">
        <v>49.984138489000003</v>
      </c>
      <c r="K2581">
        <v>0</v>
      </c>
      <c r="L2581">
        <v>2400</v>
      </c>
      <c r="M2581">
        <v>2400</v>
      </c>
      <c r="N2581">
        <v>0</v>
      </c>
    </row>
    <row r="2582" spans="1:14" x14ac:dyDescent="0.25">
      <c r="A2582">
        <v>1758.9290960000001</v>
      </c>
      <c r="B2582" s="1">
        <f>DATE(2015,2,22) + TIME(22,17,53)</f>
        <v>42057.929085648146</v>
      </c>
      <c r="C2582">
        <v>1327.0300293</v>
      </c>
      <c r="D2582">
        <v>1324.9473877</v>
      </c>
      <c r="E2582">
        <v>1337.8148193</v>
      </c>
      <c r="F2582">
        <v>1335.6087646000001</v>
      </c>
      <c r="G2582">
        <v>80</v>
      </c>
      <c r="H2582">
        <v>72.968803406000006</v>
      </c>
      <c r="I2582">
        <v>50</v>
      </c>
      <c r="J2582">
        <v>49.984127045000001</v>
      </c>
      <c r="K2582">
        <v>0</v>
      </c>
      <c r="L2582">
        <v>2400</v>
      </c>
      <c r="M2582">
        <v>2400</v>
      </c>
      <c r="N2582">
        <v>0</v>
      </c>
    </row>
    <row r="2583" spans="1:14" x14ac:dyDescent="0.25">
      <c r="A2583">
        <v>1762.427498</v>
      </c>
      <c r="B2583" s="1">
        <f>DATE(2015,2,26) + TIME(10,15,35)</f>
        <v>42061.427488425928</v>
      </c>
      <c r="C2583">
        <v>1326.9868164</v>
      </c>
      <c r="D2583">
        <v>1324.8916016000001</v>
      </c>
      <c r="E2583">
        <v>1337.8106689000001</v>
      </c>
      <c r="F2583">
        <v>1335.6075439000001</v>
      </c>
      <c r="G2583">
        <v>80</v>
      </c>
      <c r="H2583">
        <v>72.728942871000001</v>
      </c>
      <c r="I2583">
        <v>50</v>
      </c>
      <c r="J2583">
        <v>49.984111786</v>
      </c>
      <c r="K2583">
        <v>0</v>
      </c>
      <c r="L2583">
        <v>2400</v>
      </c>
      <c r="M2583">
        <v>2400</v>
      </c>
      <c r="N2583">
        <v>0</v>
      </c>
    </row>
    <row r="2584" spans="1:14" x14ac:dyDescent="0.25">
      <c r="A2584">
        <v>1765</v>
      </c>
      <c r="B2584" s="1">
        <f>DATE(2015,3,1) + TIME(0,0,0)</f>
        <v>42064</v>
      </c>
      <c r="C2584">
        <v>1326.9432373</v>
      </c>
      <c r="D2584">
        <v>1324.8358154</v>
      </c>
      <c r="E2584">
        <v>1337.8065185999999</v>
      </c>
      <c r="F2584">
        <v>1335.6062012</v>
      </c>
      <c r="G2584">
        <v>80</v>
      </c>
      <c r="H2584">
        <v>72.490249633999994</v>
      </c>
      <c r="I2584">
        <v>50</v>
      </c>
      <c r="J2584">
        <v>49.984100341999998</v>
      </c>
      <c r="K2584">
        <v>0</v>
      </c>
      <c r="L2584">
        <v>2400</v>
      </c>
      <c r="M2584">
        <v>2400</v>
      </c>
      <c r="N2584">
        <v>0</v>
      </c>
    </row>
    <row r="2585" spans="1:14" x14ac:dyDescent="0.25">
      <c r="A2585">
        <v>1768.6843160000001</v>
      </c>
      <c r="B2585" s="1">
        <f>DATE(2015,3,4) + TIME(16,25,24)</f>
        <v>42067.684305555558</v>
      </c>
      <c r="C2585">
        <v>1326.9077147999999</v>
      </c>
      <c r="D2585">
        <v>1324.7875977000001</v>
      </c>
      <c r="E2585">
        <v>1337.8034668</v>
      </c>
      <c r="F2585">
        <v>1335.6053466999999</v>
      </c>
      <c r="G2585">
        <v>80</v>
      </c>
      <c r="H2585">
        <v>72.284111022999994</v>
      </c>
      <c r="I2585">
        <v>50</v>
      </c>
      <c r="J2585">
        <v>49.984092711999999</v>
      </c>
      <c r="K2585">
        <v>0</v>
      </c>
      <c r="L2585">
        <v>2400</v>
      </c>
      <c r="M2585">
        <v>2400</v>
      </c>
      <c r="N2585">
        <v>0</v>
      </c>
    </row>
    <row r="2586" spans="1:14" x14ac:dyDescent="0.25">
      <c r="A2586">
        <v>1772.603124</v>
      </c>
      <c r="B2586" s="1">
        <f>DATE(2015,3,8) + TIME(14,28,29)</f>
        <v>42071.603113425925</v>
      </c>
      <c r="C2586">
        <v>1326.8666992000001</v>
      </c>
      <c r="D2586">
        <v>1324.7364502</v>
      </c>
      <c r="E2586">
        <v>1337.7991943</v>
      </c>
      <c r="F2586">
        <v>1335.6040039</v>
      </c>
      <c r="G2586">
        <v>80</v>
      </c>
      <c r="H2586">
        <v>72.022499084000003</v>
      </c>
      <c r="I2586">
        <v>50</v>
      </c>
      <c r="J2586">
        <v>49.984081267999997</v>
      </c>
      <c r="K2586">
        <v>0</v>
      </c>
      <c r="L2586">
        <v>2400</v>
      </c>
      <c r="M2586">
        <v>2400</v>
      </c>
      <c r="N2586">
        <v>0</v>
      </c>
    </row>
    <row r="2587" spans="1:14" x14ac:dyDescent="0.25">
      <c r="A2587">
        <v>1776.526607</v>
      </c>
      <c r="B2587" s="1">
        <f>DATE(2015,3,12) + TIME(12,38,18)</f>
        <v>42075.526597222219</v>
      </c>
      <c r="C2587">
        <v>1326.8217772999999</v>
      </c>
      <c r="D2587">
        <v>1324.6791992000001</v>
      </c>
      <c r="E2587">
        <v>1337.7946777</v>
      </c>
      <c r="F2587">
        <v>1335.6025391000001</v>
      </c>
      <c r="G2587">
        <v>80</v>
      </c>
      <c r="H2587">
        <v>71.740402222</v>
      </c>
      <c r="I2587">
        <v>50</v>
      </c>
      <c r="J2587">
        <v>49.984069824000002</v>
      </c>
      <c r="K2587">
        <v>0</v>
      </c>
      <c r="L2587">
        <v>2400</v>
      </c>
      <c r="M2587">
        <v>2400</v>
      </c>
      <c r="N2587">
        <v>0</v>
      </c>
    </row>
    <row r="2588" spans="1:14" x14ac:dyDescent="0.25">
      <c r="A2588">
        <v>1780.4985059999999</v>
      </c>
      <c r="B2588" s="1">
        <f>DATE(2015,3,16) + TIME(11,57,50)</f>
        <v>42079.498495370368</v>
      </c>
      <c r="C2588">
        <v>1326.7770995999999</v>
      </c>
      <c r="D2588">
        <v>1324.6213379000001</v>
      </c>
      <c r="E2588">
        <v>1337.7902832</v>
      </c>
      <c r="F2588">
        <v>1335.6010742000001</v>
      </c>
      <c r="G2588">
        <v>80</v>
      </c>
      <c r="H2588">
        <v>71.454254149999997</v>
      </c>
      <c r="I2588">
        <v>50</v>
      </c>
      <c r="J2588">
        <v>49.984062195</v>
      </c>
      <c r="K2588">
        <v>0</v>
      </c>
      <c r="L2588">
        <v>2400</v>
      </c>
      <c r="M2588">
        <v>2400</v>
      </c>
      <c r="N2588">
        <v>0</v>
      </c>
    </row>
    <row r="2589" spans="1:14" x14ac:dyDescent="0.25">
      <c r="A2589">
        <v>1784.56393</v>
      </c>
      <c r="B2589" s="1">
        <f>DATE(2015,3,20) + TIME(13,32,3)</f>
        <v>42083.563923611109</v>
      </c>
      <c r="C2589">
        <v>1326.7329102000001</v>
      </c>
      <c r="D2589">
        <v>1324.5644531</v>
      </c>
      <c r="E2589">
        <v>1337.7860106999999</v>
      </c>
      <c r="F2589">
        <v>1335.5996094</v>
      </c>
      <c r="G2589">
        <v>80</v>
      </c>
      <c r="H2589">
        <v>71.162773131999998</v>
      </c>
      <c r="I2589">
        <v>50</v>
      </c>
      <c r="J2589">
        <v>49.984050750999998</v>
      </c>
      <c r="K2589">
        <v>0</v>
      </c>
      <c r="L2589">
        <v>2400</v>
      </c>
      <c r="M2589">
        <v>2400</v>
      </c>
      <c r="N2589">
        <v>0</v>
      </c>
    </row>
    <row r="2590" spans="1:14" x14ac:dyDescent="0.25">
      <c r="A2590">
        <v>1788.788652</v>
      </c>
      <c r="B2590" s="1">
        <f>DATE(2015,3,24) + TIME(18,55,39)</f>
        <v>42087.788645833331</v>
      </c>
      <c r="C2590">
        <v>1326.6892089999999</v>
      </c>
      <c r="D2590">
        <v>1324.5080565999999</v>
      </c>
      <c r="E2590">
        <v>1337.7816161999999</v>
      </c>
      <c r="F2590">
        <v>1335.5981445</v>
      </c>
      <c r="G2590">
        <v>80</v>
      </c>
      <c r="H2590">
        <v>70.863739014000004</v>
      </c>
      <c r="I2590">
        <v>50</v>
      </c>
      <c r="J2590">
        <v>49.984043120999999</v>
      </c>
      <c r="K2590">
        <v>0</v>
      </c>
      <c r="L2590">
        <v>2400</v>
      </c>
      <c r="M2590">
        <v>2400</v>
      </c>
      <c r="N2590">
        <v>0</v>
      </c>
    </row>
    <row r="2591" spans="1:14" x14ac:dyDescent="0.25">
      <c r="A2591">
        <v>1793.1271770000001</v>
      </c>
      <c r="B2591" s="1">
        <f>DATE(2015,3,29) + TIME(3,3,8)</f>
        <v>42092.127175925925</v>
      </c>
      <c r="C2591">
        <v>1326.6452637</v>
      </c>
      <c r="D2591">
        <v>1324.4515381000001</v>
      </c>
      <c r="E2591">
        <v>1337.7770995999999</v>
      </c>
      <c r="F2591">
        <v>1335.5965576000001</v>
      </c>
      <c r="G2591">
        <v>80</v>
      </c>
      <c r="H2591">
        <v>70.552368164000001</v>
      </c>
      <c r="I2591">
        <v>50</v>
      </c>
      <c r="J2591">
        <v>49.984031676999997</v>
      </c>
      <c r="K2591">
        <v>0</v>
      </c>
      <c r="L2591">
        <v>2400</v>
      </c>
      <c r="M2591">
        <v>2400</v>
      </c>
      <c r="N2591">
        <v>0</v>
      </c>
    </row>
    <row r="2592" spans="1:14" x14ac:dyDescent="0.25">
      <c r="A2592">
        <v>1796</v>
      </c>
      <c r="B2592" s="1">
        <f>DATE(2015,4,1) + TIME(0,0,0)</f>
        <v>42095</v>
      </c>
      <c r="C2592">
        <v>1326.6013184000001</v>
      </c>
      <c r="D2592">
        <v>1324.3956298999999</v>
      </c>
      <c r="E2592">
        <v>1337.7725829999999</v>
      </c>
      <c r="F2592">
        <v>1335.5949707</v>
      </c>
      <c r="G2592">
        <v>80</v>
      </c>
      <c r="H2592">
        <v>70.250045775999993</v>
      </c>
      <c r="I2592">
        <v>50</v>
      </c>
      <c r="J2592">
        <v>49.984020233000003</v>
      </c>
      <c r="K2592">
        <v>0</v>
      </c>
      <c r="L2592">
        <v>2400</v>
      </c>
      <c r="M2592">
        <v>2400</v>
      </c>
      <c r="N2592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2022-06-22T18:39:19Z</dcterms:created>
  <dcterms:modified xsi:type="dcterms:W3CDTF">2022-06-22T18:40:08Z</dcterms:modified>
</cp:coreProperties>
</file>