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bnbv-my.sharepoint.com/personal/toon_griendt-van-de_ebn_nl/Documents/Documents/CMG MODEL/SCENARIOS/2022/Permeability/"/>
    </mc:Choice>
  </mc:AlternateContent>
  <xr:revisionPtr revIDLastSave="0" documentId="8_{87334211-C900-4FFF-BB8F-89150A12BCF7}" xr6:coauthVersionLast="47" xr6:coauthVersionMax="47" xr10:uidLastSave="{00000000-0000-0000-0000-000000000000}"/>
  <bookViews>
    <workbookView xWindow="780" yWindow="780" windowWidth="15375" windowHeight="7875" xr2:uid="{CEA77574-551B-401E-BC1F-7A6D6D69E8C0}"/>
  </bookViews>
  <sheets>
    <sheet name="Plot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12" i="1" l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<sst xmlns="http://schemas.openxmlformats.org/spreadsheetml/2006/main" count="15" uniqueCount="15">
  <si>
    <t>C:\Users\924224\OneDrive - EBN BV\Documents\CMG MODEL\SCENARIOS\2022\Permeability\Perm1Darcy.sr3</t>
  </si>
  <si>
    <t>Time (day)</t>
  </si>
  <si>
    <t>Date</t>
  </si>
  <si>
    <t>Hot well INJ-Well Bottom-hole Pressure (kPa)</t>
  </si>
  <si>
    <t>Hot well PROD-Well Bottom-hole Pressure (kPa)</t>
  </si>
  <si>
    <t>Warm well INJ-Well Bottom-hole Pressure (kPa)</t>
  </si>
  <si>
    <t>Warm well PROD-Well Bottom-hole Pressure (kPa)</t>
  </si>
  <si>
    <t>Hot well INJ-Well bottom hole temperature (C)</t>
  </si>
  <si>
    <t>Hot well PROD-Well bottom hole temperature (C)</t>
  </si>
  <si>
    <t>Warm well INJ-Well bottom hole temperature (C)</t>
  </si>
  <si>
    <t>Warm well PROD-Well bottom hole temperature (C)</t>
  </si>
  <si>
    <t>Hot well INJ-Fluid Rate SC (m³/day)</t>
  </si>
  <si>
    <t>Hot well PROD-Fluid Rate SC (m³/day)</t>
  </si>
  <si>
    <t>Warm well INJ-Fluid Rate SC (m³/day)</t>
  </si>
  <si>
    <t>Warm well PROD-Fluid Rate SC (m³/day)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</si>
</sst>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y\y\y\y\-mmm/dd\ \h\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/dd\ \h\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A0AC0D-4BFE-48D9-AE6A-6D0944222C4B}" name="Table1" displayName="Table1" ref="A3:N1912" totalsRowShown="0">
  <autoFilter ref="A3:N1912" xr:uid="{A6A0AC0D-4BFE-48D9-AE6A-6D0944222C4B}"/>
  <tableColumns count="14">
    <tableColumn id="1" xr3:uid="{E11854D8-DC21-4D8E-9D04-2EDFE12558AB}" name="Time (day)"/>
    <tableColumn id="2" xr3:uid="{FAE65603-98C9-4746-B66E-C93482D6A2BB}" name="Date" dataDxfId="0"/>
    <tableColumn id="3" xr3:uid="{2FDFCCEE-DC6A-44CD-8FE6-9E81C7DFD4B5}" name="Hot well INJ-Well Bottom-hole Pressure (kPa)"/>
    <tableColumn id="4" xr3:uid="{7CD0C2EB-F6C0-4174-8BC8-C0C51D036C2F}" name="Hot well PROD-Well Bottom-hole Pressure (kPa)"/>
    <tableColumn id="5" xr3:uid="{261D6D96-2970-4A9B-B7DE-DACF55090A9B}" name="Warm well INJ-Well Bottom-hole Pressure (kPa)"/>
    <tableColumn id="6" xr3:uid="{3DBBB681-A403-4110-A839-E5EAC53341D9}" name="Warm well PROD-Well Bottom-hole Pressure (kPa)"/>
    <tableColumn id="7" xr3:uid="{55FF65D2-7557-4D22-9665-7BF50D8C2D32}" name="Hot well INJ-Well bottom hole temperature (C)"/>
    <tableColumn id="8" xr3:uid="{D9DCBFA7-CFD7-4AB0-9DB7-A7A2834EDF9C}" name="Hot well PROD-Well bottom hole temperature (C)"/>
    <tableColumn id="9" xr3:uid="{832655A0-129B-4EC4-856F-C2207E55564D}" name="Warm well INJ-Well bottom hole temperature (C)"/>
    <tableColumn id="10" xr3:uid="{D601B847-100A-4042-9BEA-86154249CC16}" name="Warm well PROD-Well bottom hole temperature (C)"/>
    <tableColumn id="11" xr3:uid="{79A67C8E-EA50-4092-9F0D-7C3CECF97B07}" name="Hot well INJ-Fluid Rate SC (m³/day)"/>
    <tableColumn id="12" xr3:uid="{B081EC73-9A5F-489B-A930-AB5D2455DD00}" name="Hot well PROD-Fluid Rate SC (m³/day)"/>
    <tableColumn id="13" xr3:uid="{4137C9EF-6C4E-4509-970F-0DE70CE37C28}" name="Warm well INJ-Fluid Rate SC (m³/day)"/>
    <tableColumn id="14" xr3:uid="{34F960C7-1624-4062-B1F1-89284EC8EC75}" name="Warm well PROD-Fluid Rate SC (m³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6CE30-FA49-4BEE-B9AD-3A92056E6A26}">
  <dimension ref="A1:N1912"/>
  <sheetViews>
    <sheetView tabSelected="1" workbookViewId="0"/>
  </sheetViews>
  <sheetFormatPr defaultRowHeight="15" x14ac:dyDescent="0.25"/>
  <cols>
    <col min="1" max="1" width="12.5703125" customWidth="1"/>
    <col min="2" max="2" width="20" bestFit="1" customWidth="1"/>
    <col min="3" max="3" width="43.5703125" customWidth="1"/>
    <col min="4" max="5" width="45.85546875" customWidth="1"/>
    <col min="6" max="6" width="48.140625" customWidth="1"/>
    <col min="7" max="7" width="44.85546875" customWidth="1"/>
    <col min="8" max="9" width="47.140625" customWidth="1"/>
    <col min="10" max="10" width="49.42578125" customWidth="1"/>
    <col min="11" max="11" width="34.140625" customWidth="1"/>
    <col min="12" max="13" width="36.42578125" customWidth="1"/>
    <col min="14" max="14" width="38.7109375" customWidth="1"/>
  </cols>
  <sheetData>
    <row r="1" spans="1:14" x14ac:dyDescent="0.25">
      <c r="A1" t="s">
        <v>0</v>
      </c>
    </row>
    <row r="3" spans="1:14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</row>
    <row r="4" spans="1:14" x14ac:dyDescent="0.25">
      <c r="A4">
        <v>9.9999999999999995E-7</v>
      </c>
      <c r="B4" s="1">
        <f>DATE(2010,5,1) + TIME(0,0,0)</f>
        <v>40299</v>
      </c>
      <c r="C4">
        <v>1724.1022949000001</v>
      </c>
      <c r="D4">
        <v>1329.8570557</v>
      </c>
      <c r="E4">
        <v>1328.9642334</v>
      </c>
      <c r="F4">
        <v>934.71636963000003</v>
      </c>
      <c r="G4">
        <v>80</v>
      </c>
      <c r="H4">
        <v>15.000119208999999</v>
      </c>
      <c r="I4">
        <v>50</v>
      </c>
      <c r="J4">
        <v>14.999954224</v>
      </c>
      <c r="K4">
        <v>2400</v>
      </c>
      <c r="L4">
        <v>0</v>
      </c>
      <c r="M4">
        <v>0</v>
      </c>
      <c r="N4">
        <v>2400</v>
      </c>
    </row>
    <row r="5" spans="1:14" x14ac:dyDescent="0.25">
      <c r="A5">
        <v>3.9999999999999998E-6</v>
      </c>
      <c r="B5" s="1">
        <f>DATE(2010,5,1) + TIME(0,0,0)</f>
        <v>40299</v>
      </c>
      <c r="C5">
        <v>1725.4323730000001</v>
      </c>
      <c r="D5">
        <v>1331.190918</v>
      </c>
      <c r="E5">
        <v>1327.6362305</v>
      </c>
      <c r="F5">
        <v>933.38665771000001</v>
      </c>
      <c r="G5">
        <v>80</v>
      </c>
      <c r="H5">
        <v>15.000476837000001</v>
      </c>
      <c r="I5">
        <v>50</v>
      </c>
      <c r="J5">
        <v>14.999817847999999</v>
      </c>
      <c r="K5">
        <v>2400</v>
      </c>
      <c r="L5">
        <v>0</v>
      </c>
      <c r="M5">
        <v>0</v>
      </c>
      <c r="N5">
        <v>2400</v>
      </c>
    </row>
    <row r="6" spans="1:14" x14ac:dyDescent="0.25">
      <c r="A6">
        <v>1.2999999999999999E-5</v>
      </c>
      <c r="B6" s="1">
        <f>DATE(2010,5,1) + TIME(0,0,1)</f>
        <v>40299.000011574077</v>
      </c>
      <c r="C6">
        <v>1729.3492432</v>
      </c>
      <c r="D6">
        <v>1335.1192627</v>
      </c>
      <c r="E6">
        <v>1323.7249756000001</v>
      </c>
      <c r="F6">
        <v>929.47039795000001</v>
      </c>
      <c r="G6">
        <v>80</v>
      </c>
      <c r="H6">
        <v>15.001540184</v>
      </c>
      <c r="I6">
        <v>50</v>
      </c>
      <c r="J6">
        <v>14.999415398</v>
      </c>
      <c r="K6">
        <v>2400</v>
      </c>
      <c r="L6">
        <v>0</v>
      </c>
      <c r="M6">
        <v>0</v>
      </c>
      <c r="N6">
        <v>2400</v>
      </c>
    </row>
    <row r="7" spans="1:14" x14ac:dyDescent="0.25">
      <c r="A7">
        <v>4.0000000000000003E-5</v>
      </c>
      <c r="B7" s="1">
        <f>DATE(2010,5,1) + TIME(0,0,3)</f>
        <v>40299.000034722223</v>
      </c>
      <c r="C7">
        <v>1740.487793</v>
      </c>
      <c r="D7">
        <v>1346.2915039</v>
      </c>
      <c r="E7">
        <v>1312.6014404</v>
      </c>
      <c r="F7">
        <v>918.33264159999999</v>
      </c>
      <c r="G7">
        <v>80</v>
      </c>
      <c r="H7">
        <v>15.004669188999999</v>
      </c>
      <c r="I7">
        <v>50</v>
      </c>
      <c r="J7">
        <v>14.998270988</v>
      </c>
      <c r="K7">
        <v>2400</v>
      </c>
      <c r="L7">
        <v>0</v>
      </c>
      <c r="M7">
        <v>0</v>
      </c>
      <c r="N7">
        <v>2400</v>
      </c>
    </row>
    <row r="8" spans="1:14" x14ac:dyDescent="0.25">
      <c r="A8">
        <v>1.21E-4</v>
      </c>
      <c r="B8" s="1">
        <f>DATE(2010,5,1) + TIME(0,0,10)</f>
        <v>40299.000115740739</v>
      </c>
      <c r="C8">
        <v>1769.3703613</v>
      </c>
      <c r="D8">
        <v>1375.2703856999999</v>
      </c>
      <c r="E8">
        <v>1283.7480469</v>
      </c>
      <c r="F8">
        <v>889.44232178000004</v>
      </c>
      <c r="G8">
        <v>80</v>
      </c>
      <c r="H8">
        <v>15.013590813</v>
      </c>
      <c r="I8">
        <v>50</v>
      </c>
      <c r="J8">
        <v>14.995305061</v>
      </c>
      <c r="K8">
        <v>2400</v>
      </c>
      <c r="L8">
        <v>0</v>
      </c>
      <c r="M8">
        <v>0</v>
      </c>
      <c r="N8">
        <v>2400</v>
      </c>
    </row>
    <row r="9" spans="1:14" x14ac:dyDescent="0.25">
      <c r="A9">
        <v>3.6400000000000001E-4</v>
      </c>
      <c r="B9" s="1">
        <f>DATE(2010,5,1) + TIME(0,0,31)</f>
        <v>40299.000358796293</v>
      </c>
      <c r="C9">
        <v>1830.5977783000001</v>
      </c>
      <c r="D9">
        <v>1436.7561035000001</v>
      </c>
      <c r="E9">
        <v>1222.5114745999999</v>
      </c>
      <c r="F9">
        <v>828.12780762</v>
      </c>
      <c r="G9">
        <v>80</v>
      </c>
      <c r="H9">
        <v>15.037732124</v>
      </c>
      <c r="I9">
        <v>50</v>
      </c>
      <c r="J9">
        <v>14.989012718</v>
      </c>
      <c r="K9">
        <v>2400</v>
      </c>
      <c r="L9">
        <v>0</v>
      </c>
      <c r="M9">
        <v>0</v>
      </c>
      <c r="N9">
        <v>2400</v>
      </c>
    </row>
    <row r="10" spans="1:14" x14ac:dyDescent="0.25">
      <c r="A10">
        <v>1.093E-3</v>
      </c>
      <c r="B10" s="1">
        <f>DATE(2010,5,1) + TIME(0,1,34)</f>
        <v>40299.001087962963</v>
      </c>
      <c r="C10">
        <v>1925.3638916</v>
      </c>
      <c r="D10">
        <v>1532.1920166</v>
      </c>
      <c r="E10">
        <v>1127.3309326000001</v>
      </c>
      <c r="F10">
        <v>732.82781981999995</v>
      </c>
      <c r="G10">
        <v>80</v>
      </c>
      <c r="H10">
        <v>15.100962639</v>
      </c>
      <c r="I10">
        <v>50</v>
      </c>
      <c r="J10">
        <v>14.979250907999999</v>
      </c>
      <c r="K10">
        <v>2400</v>
      </c>
      <c r="L10">
        <v>0</v>
      </c>
      <c r="M10">
        <v>0</v>
      </c>
      <c r="N10">
        <v>2400</v>
      </c>
    </row>
    <row r="11" spans="1:14" x14ac:dyDescent="0.25">
      <c r="A11">
        <v>3.2799999999999999E-3</v>
      </c>
      <c r="B11" s="1">
        <f>DATE(2010,5,1) + TIME(0,4,43)</f>
        <v>40299.003275462965</v>
      </c>
      <c r="C11">
        <v>2033.6816406</v>
      </c>
      <c r="D11">
        <v>1642.2922363</v>
      </c>
      <c r="E11">
        <v>1016.8120728</v>
      </c>
      <c r="F11">
        <v>622.17327881000006</v>
      </c>
      <c r="G11">
        <v>80</v>
      </c>
      <c r="H11">
        <v>15.272053719000001</v>
      </c>
      <c r="I11">
        <v>50</v>
      </c>
      <c r="J11">
        <v>14.967974663</v>
      </c>
      <c r="K11">
        <v>2400</v>
      </c>
      <c r="L11">
        <v>0</v>
      </c>
      <c r="M11">
        <v>0</v>
      </c>
      <c r="N11">
        <v>2400</v>
      </c>
    </row>
    <row r="12" spans="1:14" x14ac:dyDescent="0.25">
      <c r="A12">
        <v>9.8410000000000008E-3</v>
      </c>
      <c r="B12" s="1">
        <f>DATE(2010,5,1) + TIME(0,14,10)</f>
        <v>40299.009837962964</v>
      </c>
      <c r="C12">
        <v>2138.9868164</v>
      </c>
      <c r="D12">
        <v>1752.5708007999999</v>
      </c>
      <c r="E12">
        <v>904.34387206999997</v>
      </c>
      <c r="F12">
        <v>509.56912231000001</v>
      </c>
      <c r="G12">
        <v>80</v>
      </c>
      <c r="H12">
        <v>15.759259223999999</v>
      </c>
      <c r="I12">
        <v>50</v>
      </c>
      <c r="J12">
        <v>14.956677437</v>
      </c>
      <c r="K12">
        <v>2400</v>
      </c>
      <c r="L12">
        <v>0</v>
      </c>
      <c r="M12">
        <v>0</v>
      </c>
      <c r="N12">
        <v>2400</v>
      </c>
    </row>
    <row r="13" spans="1:14" x14ac:dyDescent="0.25">
      <c r="A13">
        <v>2.3307999999999999E-2</v>
      </c>
      <c r="B13" s="1">
        <f>DATE(2010,5,1) + TIME(0,33,33)</f>
        <v>40299.023298611108</v>
      </c>
      <c r="C13">
        <v>2215.8349609000002</v>
      </c>
      <c r="D13">
        <v>1839.0164795000001</v>
      </c>
      <c r="E13">
        <v>813.04528808999999</v>
      </c>
      <c r="F13">
        <v>418.1640625</v>
      </c>
      <c r="G13">
        <v>80</v>
      </c>
      <c r="H13">
        <v>16.731355666999999</v>
      </c>
      <c r="I13">
        <v>50</v>
      </c>
      <c r="J13">
        <v>14.947786331</v>
      </c>
      <c r="K13">
        <v>2400</v>
      </c>
      <c r="L13">
        <v>0</v>
      </c>
      <c r="M13">
        <v>0</v>
      </c>
      <c r="N13">
        <v>2400</v>
      </c>
    </row>
    <row r="14" spans="1:14" x14ac:dyDescent="0.25">
      <c r="A14">
        <v>3.7161E-2</v>
      </c>
      <c r="B14" s="1">
        <f>DATE(2010,5,1) + TIME(0,53,30)</f>
        <v>40299.037152777775</v>
      </c>
      <c r="C14">
        <v>2254.4077148000001</v>
      </c>
      <c r="D14">
        <v>1886.8825684000001</v>
      </c>
      <c r="E14">
        <v>760.30395508000004</v>
      </c>
      <c r="F14">
        <v>365.36373901000002</v>
      </c>
      <c r="G14">
        <v>80</v>
      </c>
      <c r="H14">
        <v>17.713665009</v>
      </c>
      <c r="I14">
        <v>50</v>
      </c>
      <c r="J14">
        <v>14.942800522000001</v>
      </c>
      <c r="K14">
        <v>2400</v>
      </c>
      <c r="L14">
        <v>0</v>
      </c>
      <c r="M14">
        <v>0</v>
      </c>
      <c r="N14">
        <v>2400</v>
      </c>
    </row>
    <row r="15" spans="1:14" x14ac:dyDescent="0.25">
      <c r="A15">
        <v>5.1263000000000003E-2</v>
      </c>
      <c r="B15" s="1">
        <f>DATE(2010,5,1) + TIME(1,13,49)</f>
        <v>40299.051261574074</v>
      </c>
      <c r="C15">
        <v>2276.6914062000001</v>
      </c>
      <c r="D15">
        <v>1918.1043701000001</v>
      </c>
      <c r="E15">
        <v>724.35571288999995</v>
      </c>
      <c r="F15">
        <v>329.37564086999998</v>
      </c>
      <c r="G15">
        <v>80</v>
      </c>
      <c r="H15">
        <v>18.698114395000001</v>
      </c>
      <c r="I15">
        <v>50</v>
      </c>
      <c r="J15">
        <v>14.939511298999999</v>
      </c>
      <c r="K15">
        <v>2400</v>
      </c>
      <c r="L15">
        <v>0</v>
      </c>
      <c r="M15">
        <v>0</v>
      </c>
      <c r="N15">
        <v>2400</v>
      </c>
    </row>
    <row r="16" spans="1:14" x14ac:dyDescent="0.25">
      <c r="A16">
        <v>6.5587999999999994E-2</v>
      </c>
      <c r="B16" s="1">
        <f>DATE(2010,5,1) + TIME(1,34,26)</f>
        <v>40299.065578703703</v>
      </c>
      <c r="C16">
        <v>2290.4104004000001</v>
      </c>
      <c r="D16">
        <v>1940.4111327999999</v>
      </c>
      <c r="E16">
        <v>697.48809814000003</v>
      </c>
      <c r="F16">
        <v>302.47888183999999</v>
      </c>
      <c r="G16">
        <v>80</v>
      </c>
      <c r="H16">
        <v>19.683086395</v>
      </c>
      <c r="I16">
        <v>50</v>
      </c>
      <c r="J16">
        <v>14.937138557000001</v>
      </c>
      <c r="K16">
        <v>2400</v>
      </c>
      <c r="L16">
        <v>0</v>
      </c>
      <c r="M16">
        <v>0</v>
      </c>
      <c r="N16">
        <v>2400</v>
      </c>
    </row>
    <row r="17" spans="1:14" x14ac:dyDescent="0.25">
      <c r="A17">
        <v>8.0130999999999994E-2</v>
      </c>
      <c r="B17" s="1">
        <f>DATE(2010,5,1) + TIME(1,55,23)</f>
        <v>40299.080127314817</v>
      </c>
      <c r="C17">
        <v>2298.9582519999999</v>
      </c>
      <c r="D17">
        <v>1957.2165527</v>
      </c>
      <c r="E17">
        <v>676.28387451000003</v>
      </c>
      <c r="F17">
        <v>281.25244141000002</v>
      </c>
      <c r="G17">
        <v>80</v>
      </c>
      <c r="H17">
        <v>20.668701171999999</v>
      </c>
      <c r="I17">
        <v>50</v>
      </c>
      <c r="J17">
        <v>14.935337067000001</v>
      </c>
      <c r="K17">
        <v>2400</v>
      </c>
      <c r="L17">
        <v>0</v>
      </c>
      <c r="M17">
        <v>0</v>
      </c>
      <c r="N17">
        <v>2400</v>
      </c>
    </row>
    <row r="18" spans="1:14" x14ac:dyDescent="0.25">
      <c r="A18">
        <v>9.4885999999999998E-2</v>
      </c>
      <c r="B18" s="1">
        <f>DATE(2010,5,1) + TIME(2,16,38)</f>
        <v>40299.094884259262</v>
      </c>
      <c r="C18">
        <v>2304.0969237999998</v>
      </c>
      <c r="D18">
        <v>1970.2905272999999</v>
      </c>
      <c r="E18">
        <v>658.96936034999999</v>
      </c>
      <c r="F18">
        <v>263.92025756999999</v>
      </c>
      <c r="G18">
        <v>80</v>
      </c>
      <c r="H18">
        <v>21.653890610000001</v>
      </c>
      <c r="I18">
        <v>50</v>
      </c>
      <c r="J18">
        <v>14.933926582</v>
      </c>
      <c r="K18">
        <v>2400</v>
      </c>
      <c r="L18">
        <v>0</v>
      </c>
      <c r="M18">
        <v>0</v>
      </c>
      <c r="N18">
        <v>2400</v>
      </c>
    </row>
    <row r="19" spans="1:14" x14ac:dyDescent="0.25">
      <c r="A19">
        <v>0.109861</v>
      </c>
      <c r="B19" s="1">
        <f>DATE(2010,5,1) + TIME(2,38,11)</f>
        <v>40299.109849537039</v>
      </c>
      <c r="C19">
        <v>2306.8576659999999</v>
      </c>
      <c r="D19">
        <v>1980.6810303</v>
      </c>
      <c r="E19">
        <v>644.48962401999995</v>
      </c>
      <c r="F19">
        <v>249.42636107999999</v>
      </c>
      <c r="G19">
        <v>80</v>
      </c>
      <c r="H19">
        <v>22.638580321999999</v>
      </c>
      <c r="I19">
        <v>50</v>
      </c>
      <c r="J19">
        <v>14.932802199999999</v>
      </c>
      <c r="K19">
        <v>2400</v>
      </c>
      <c r="L19">
        <v>0</v>
      </c>
      <c r="M19">
        <v>0</v>
      </c>
      <c r="N19">
        <v>2400</v>
      </c>
    </row>
    <row r="20" spans="1:14" x14ac:dyDescent="0.25">
      <c r="A20">
        <v>0.12506700000000001</v>
      </c>
      <c r="B20" s="1">
        <f>DATE(2010,5,1) + TIME(3,0,5)</f>
        <v>40299.125057870369</v>
      </c>
      <c r="C20">
        <v>2307.8908691000001</v>
      </c>
      <c r="D20">
        <v>1989.0559082</v>
      </c>
      <c r="E20">
        <v>632.16955566000001</v>
      </c>
      <c r="F20">
        <v>237.0947113</v>
      </c>
      <c r="G20">
        <v>80</v>
      </c>
      <c r="H20">
        <v>23.622999191000002</v>
      </c>
      <c r="I20">
        <v>50</v>
      </c>
      <c r="J20">
        <v>14.931895256000001</v>
      </c>
      <c r="K20">
        <v>2400</v>
      </c>
      <c r="L20">
        <v>0</v>
      </c>
      <c r="M20">
        <v>0</v>
      </c>
      <c r="N20">
        <v>2400</v>
      </c>
    </row>
    <row r="21" spans="1:14" x14ac:dyDescent="0.25">
      <c r="A21">
        <v>0.140513</v>
      </c>
      <c r="B21" s="1">
        <f>DATE(2010,5,1) + TIME(3,22,20)</f>
        <v>40299.140509259261</v>
      </c>
      <c r="C21">
        <v>2307.6352539</v>
      </c>
      <c r="D21">
        <v>1995.8676757999999</v>
      </c>
      <c r="E21">
        <v>621.55059814000003</v>
      </c>
      <c r="F21">
        <v>226.46626282</v>
      </c>
      <c r="G21">
        <v>80</v>
      </c>
      <c r="H21">
        <v>24.607112884999999</v>
      </c>
      <c r="I21">
        <v>50</v>
      </c>
      <c r="J21">
        <v>14.931159973</v>
      </c>
      <c r="K21">
        <v>2400</v>
      </c>
      <c r="L21">
        <v>0</v>
      </c>
      <c r="M21">
        <v>0</v>
      </c>
      <c r="N21">
        <v>2400</v>
      </c>
    </row>
    <row r="22" spans="1:14" x14ac:dyDescent="0.25">
      <c r="A22">
        <v>0.15620500000000001</v>
      </c>
      <c r="B22" s="1">
        <f>DATE(2010,5,1) + TIME(3,44,56)</f>
        <v>40299.1562037037</v>
      </c>
      <c r="C22">
        <v>2306.3969726999999</v>
      </c>
      <c r="D22">
        <v>2001.4392089999999</v>
      </c>
      <c r="E22">
        <v>612.30395508000004</v>
      </c>
      <c r="F22">
        <v>217.21176147</v>
      </c>
      <c r="G22">
        <v>80</v>
      </c>
      <c r="H22">
        <v>25.591299057000001</v>
      </c>
      <c r="I22">
        <v>50</v>
      </c>
      <c r="J22">
        <v>14.930562019</v>
      </c>
      <c r="K22">
        <v>2400</v>
      </c>
      <c r="L22">
        <v>0</v>
      </c>
      <c r="M22">
        <v>0</v>
      </c>
      <c r="N22">
        <v>2400</v>
      </c>
    </row>
    <row r="23" spans="1:14" x14ac:dyDescent="0.25">
      <c r="A23">
        <v>0.172148</v>
      </c>
      <c r="B23" s="1">
        <f>DATE(2010,5,1) + TIME(4,7,53)</f>
        <v>40299.1721412037</v>
      </c>
      <c r="C23">
        <v>2304.4040527000002</v>
      </c>
      <c r="D23">
        <v>2006.0072021000001</v>
      </c>
      <c r="E23">
        <v>604.18823241999996</v>
      </c>
      <c r="F23">
        <v>209.08958435</v>
      </c>
      <c r="G23">
        <v>80</v>
      </c>
      <c r="H23">
        <v>26.575019835999999</v>
      </c>
      <c r="I23">
        <v>50</v>
      </c>
      <c r="J23">
        <v>14.930078505999999</v>
      </c>
      <c r="K23">
        <v>2400</v>
      </c>
      <c r="L23">
        <v>0</v>
      </c>
      <c r="M23">
        <v>0</v>
      </c>
      <c r="N23">
        <v>2400</v>
      </c>
    </row>
    <row r="24" spans="1:14" x14ac:dyDescent="0.25">
      <c r="A24">
        <v>0.18835099999999999</v>
      </c>
      <c r="B24" s="1">
        <f>DATE(2010,5,1) + TIME(4,31,13)</f>
        <v>40299.188344907408</v>
      </c>
      <c r="C24">
        <v>2301.828125</v>
      </c>
      <c r="D24">
        <v>2009.7546387</v>
      </c>
      <c r="E24">
        <v>597.01544189000003</v>
      </c>
      <c r="F24">
        <v>201.91148376000001</v>
      </c>
      <c r="G24">
        <v>80</v>
      </c>
      <c r="H24">
        <v>27.558122635</v>
      </c>
      <c r="I24">
        <v>50</v>
      </c>
      <c r="J24">
        <v>14.929690361</v>
      </c>
      <c r="K24">
        <v>2400</v>
      </c>
      <c r="L24">
        <v>0</v>
      </c>
      <c r="M24">
        <v>0</v>
      </c>
      <c r="N24">
        <v>2400</v>
      </c>
    </row>
    <row r="25" spans="1:14" x14ac:dyDescent="0.25">
      <c r="A25">
        <v>0.20483000000000001</v>
      </c>
      <c r="B25" s="1">
        <f>DATE(2010,5,1) + TIME(4,54,57)</f>
        <v>40299.204826388886</v>
      </c>
      <c r="C25">
        <v>2298.7978515999998</v>
      </c>
      <c r="D25">
        <v>2012.8231201000001</v>
      </c>
      <c r="E25">
        <v>590.63867187999995</v>
      </c>
      <c r="F25">
        <v>195.53034973000001</v>
      </c>
      <c r="G25">
        <v>80</v>
      </c>
      <c r="H25">
        <v>28.540845870999998</v>
      </c>
      <c r="I25">
        <v>50</v>
      </c>
      <c r="J25">
        <v>14.929382324000001</v>
      </c>
      <c r="K25">
        <v>2400</v>
      </c>
      <c r="L25">
        <v>0</v>
      </c>
      <c r="M25">
        <v>0</v>
      </c>
      <c r="N25">
        <v>2400</v>
      </c>
    </row>
    <row r="26" spans="1:14" x14ac:dyDescent="0.25">
      <c r="A26">
        <v>0.22159499999999999</v>
      </c>
      <c r="B26" s="1">
        <f>DATE(2010,5,1) + TIME(5,19,5)</f>
        <v>40299.221585648149</v>
      </c>
      <c r="C26">
        <v>2295.4128418</v>
      </c>
      <c r="D26">
        <v>2015.3227539</v>
      </c>
      <c r="E26">
        <v>584.94323729999996</v>
      </c>
      <c r="F26">
        <v>189.83139037999999</v>
      </c>
      <c r="G26">
        <v>80</v>
      </c>
      <c r="H26">
        <v>29.523176193000001</v>
      </c>
      <c r="I26">
        <v>50</v>
      </c>
      <c r="J26">
        <v>14.929142951999999</v>
      </c>
      <c r="K26">
        <v>2400</v>
      </c>
      <c r="L26">
        <v>0</v>
      </c>
      <c r="M26">
        <v>0</v>
      </c>
      <c r="N26">
        <v>2400</v>
      </c>
    </row>
    <row r="27" spans="1:14" x14ac:dyDescent="0.25">
      <c r="A27">
        <v>0.23865700000000001</v>
      </c>
      <c r="B27" s="1">
        <f>DATE(2010,5,1) + TIME(5,43,39)</f>
        <v>40299.238645833335</v>
      </c>
      <c r="C27">
        <v>2291.75</v>
      </c>
      <c r="D27">
        <v>2017.3411865</v>
      </c>
      <c r="E27">
        <v>579.83703613</v>
      </c>
      <c r="F27">
        <v>184.72239685</v>
      </c>
      <c r="G27">
        <v>80</v>
      </c>
      <c r="H27">
        <v>30.505210876</v>
      </c>
      <c r="I27">
        <v>50</v>
      </c>
      <c r="J27">
        <v>14.928963660999999</v>
      </c>
      <c r="K27">
        <v>2400</v>
      </c>
      <c r="L27">
        <v>0</v>
      </c>
      <c r="M27">
        <v>0</v>
      </c>
      <c r="N27">
        <v>2400</v>
      </c>
    </row>
    <row r="28" spans="1:14" x14ac:dyDescent="0.25">
      <c r="A28">
        <v>0.256027</v>
      </c>
      <c r="B28" s="1">
        <f>DATE(2010,5,1) + TIME(6,8,40)</f>
        <v>40299.256018518521</v>
      </c>
      <c r="C28">
        <v>2287.8706054999998</v>
      </c>
      <c r="D28">
        <v>2018.9482422000001</v>
      </c>
      <c r="E28">
        <v>575.24572753999996</v>
      </c>
      <c r="F28">
        <v>180.12892151</v>
      </c>
      <c r="G28">
        <v>80</v>
      </c>
      <c r="H28">
        <v>31.486822128</v>
      </c>
      <c r="I28">
        <v>50</v>
      </c>
      <c r="J28">
        <v>14.928836822999999</v>
      </c>
      <c r="K28">
        <v>2400</v>
      </c>
      <c r="L28">
        <v>0</v>
      </c>
      <c r="M28">
        <v>0</v>
      </c>
      <c r="N28">
        <v>2400</v>
      </c>
    </row>
    <row r="29" spans="1:14" x14ac:dyDescent="0.25">
      <c r="A29">
        <v>0.27371800000000002</v>
      </c>
      <c r="B29" s="1">
        <f>DATE(2010,5,1) + TIME(6,34,9)</f>
        <v>40299.273715277777</v>
      </c>
      <c r="C29">
        <v>2283.8234862999998</v>
      </c>
      <c r="D29">
        <v>2020.2011719</v>
      </c>
      <c r="E29">
        <v>571.10754395000004</v>
      </c>
      <c r="F29">
        <v>175.98912048</v>
      </c>
      <c r="G29">
        <v>80</v>
      </c>
      <c r="H29">
        <v>32.467887877999999</v>
      </c>
      <c r="I29">
        <v>50</v>
      </c>
      <c r="J29">
        <v>14.92875576</v>
      </c>
      <c r="K29">
        <v>2400</v>
      </c>
      <c r="L29">
        <v>0</v>
      </c>
      <c r="M29">
        <v>0</v>
      </c>
      <c r="N29">
        <v>2400</v>
      </c>
    </row>
    <row r="30" spans="1:14" x14ac:dyDescent="0.25">
      <c r="A30">
        <v>0.29174499999999998</v>
      </c>
      <c r="B30" s="1">
        <f>DATE(2010,5,1) + TIME(7,0,6)</f>
        <v>40299.29173611111</v>
      </c>
      <c r="C30">
        <v>2279.6464844000002</v>
      </c>
      <c r="D30">
        <v>2021.1469727000001</v>
      </c>
      <c r="E30">
        <v>567.37091064000003</v>
      </c>
      <c r="F30">
        <v>172.25132751000001</v>
      </c>
      <c r="G30">
        <v>80</v>
      </c>
      <c r="H30">
        <v>33.448497772000003</v>
      </c>
      <c r="I30">
        <v>50</v>
      </c>
      <c r="J30">
        <v>14.928715706</v>
      </c>
      <c r="K30">
        <v>2400</v>
      </c>
      <c r="L30">
        <v>0</v>
      </c>
      <c r="M30">
        <v>0</v>
      </c>
      <c r="N30">
        <v>2400</v>
      </c>
    </row>
    <row r="31" spans="1:14" x14ac:dyDescent="0.25">
      <c r="A31">
        <v>0.31012299999999998</v>
      </c>
      <c r="B31" s="1">
        <f>DATE(2010,5,1) + TIME(7,26,34)</f>
        <v>40299.310115740744</v>
      </c>
      <c r="C31">
        <v>2275.3703612999998</v>
      </c>
      <c r="D31">
        <v>2021.8238524999999</v>
      </c>
      <c r="E31">
        <v>563.99273682</v>
      </c>
      <c r="F31">
        <v>168.8724823</v>
      </c>
      <c r="G31">
        <v>80</v>
      </c>
      <c r="H31">
        <v>34.428634643999999</v>
      </c>
      <c r="I31">
        <v>50</v>
      </c>
      <c r="J31">
        <v>14.928711891000001</v>
      </c>
      <c r="K31">
        <v>2400</v>
      </c>
      <c r="L31">
        <v>0</v>
      </c>
      <c r="M31">
        <v>0</v>
      </c>
      <c r="N31">
        <v>2400</v>
      </c>
    </row>
    <row r="32" spans="1:14" x14ac:dyDescent="0.25">
      <c r="A32">
        <v>0.32886700000000002</v>
      </c>
      <c r="B32" s="1">
        <f>DATE(2010,5,1) + TIME(7,53,34)</f>
        <v>40299.328865740739</v>
      </c>
      <c r="C32">
        <v>2271.0192870999999</v>
      </c>
      <c r="D32">
        <v>2022.2637939000001</v>
      </c>
      <c r="E32">
        <v>560.93664550999995</v>
      </c>
      <c r="F32">
        <v>165.81608582000001</v>
      </c>
      <c r="G32">
        <v>80</v>
      </c>
      <c r="H32">
        <v>35.408279419000003</v>
      </c>
      <c r="I32">
        <v>50</v>
      </c>
      <c r="J32">
        <v>14.928742409</v>
      </c>
      <c r="K32">
        <v>2400</v>
      </c>
      <c r="L32">
        <v>0</v>
      </c>
      <c r="M32">
        <v>0</v>
      </c>
      <c r="N32">
        <v>2400</v>
      </c>
    </row>
    <row r="33" spans="1:14" x14ac:dyDescent="0.25">
      <c r="A33">
        <v>0.347993</v>
      </c>
      <c r="B33" s="1">
        <f>DATE(2010,5,1) + TIME(8,21,6)</f>
        <v>40299.347986111112</v>
      </c>
      <c r="C33">
        <v>2266.6127929999998</v>
      </c>
      <c r="D33">
        <v>2022.4931641000001</v>
      </c>
      <c r="E33">
        <v>558.17132568</v>
      </c>
      <c r="F33">
        <v>163.05082702999999</v>
      </c>
      <c r="G33">
        <v>80</v>
      </c>
      <c r="H33">
        <v>36.387413025000001</v>
      </c>
      <c r="I33">
        <v>50</v>
      </c>
      <c r="J33">
        <v>14.928802490000001</v>
      </c>
      <c r="K33">
        <v>2400</v>
      </c>
      <c r="L33">
        <v>0</v>
      </c>
      <c r="M33">
        <v>0</v>
      </c>
      <c r="N33">
        <v>2400</v>
      </c>
    </row>
    <row r="34" spans="1:14" x14ac:dyDescent="0.25">
      <c r="A34">
        <v>0.36751899999999998</v>
      </c>
      <c r="B34" s="1">
        <f>DATE(2010,5,1) + TIME(8,49,13)</f>
        <v>40299.367511574077</v>
      </c>
      <c r="C34">
        <v>2262.1665039</v>
      </c>
      <c r="D34">
        <v>2022.5343018000001</v>
      </c>
      <c r="E34">
        <v>555.66973876999998</v>
      </c>
      <c r="F34">
        <v>160.54962158000001</v>
      </c>
      <c r="G34">
        <v>80</v>
      </c>
      <c r="H34">
        <v>37.366016387999998</v>
      </c>
      <c r="I34">
        <v>50</v>
      </c>
      <c r="J34">
        <v>14.928889275</v>
      </c>
      <c r="K34">
        <v>2400</v>
      </c>
      <c r="L34">
        <v>0</v>
      </c>
      <c r="M34">
        <v>0</v>
      </c>
      <c r="N34">
        <v>2400</v>
      </c>
    </row>
    <row r="35" spans="1:14" x14ac:dyDescent="0.25">
      <c r="A35">
        <v>0.387465</v>
      </c>
      <c r="B35" s="1">
        <f>DATE(2010,5,1) + TIME(9,17,56)</f>
        <v>40299.387453703705</v>
      </c>
      <c r="C35">
        <v>2257.6931152000002</v>
      </c>
      <c r="D35">
        <v>2022.4061279</v>
      </c>
      <c r="E35">
        <v>553.40820312000005</v>
      </c>
      <c r="F35">
        <v>158.28881835999999</v>
      </c>
      <c r="G35">
        <v>80</v>
      </c>
      <c r="H35">
        <v>38.34406662</v>
      </c>
      <c r="I35">
        <v>50</v>
      </c>
      <c r="J35">
        <v>14.929001808000001</v>
      </c>
      <c r="K35">
        <v>2400</v>
      </c>
      <c r="L35">
        <v>0</v>
      </c>
      <c r="M35">
        <v>0</v>
      </c>
      <c r="N35">
        <v>2400</v>
      </c>
    </row>
    <row r="36" spans="1:14" x14ac:dyDescent="0.25">
      <c r="A36">
        <v>0.40784900000000002</v>
      </c>
      <c r="B36" s="1">
        <f>DATE(2010,5,1) + TIME(9,47,18)</f>
        <v>40299.407847222225</v>
      </c>
      <c r="C36">
        <v>2253.2023926000002</v>
      </c>
      <c r="D36">
        <v>2022.1247559000001</v>
      </c>
      <c r="E36">
        <v>551.36596680000002</v>
      </c>
      <c r="F36">
        <v>156.24752808</v>
      </c>
      <c r="G36">
        <v>80</v>
      </c>
      <c r="H36">
        <v>39.321540833</v>
      </c>
      <c r="I36">
        <v>50</v>
      </c>
      <c r="J36">
        <v>14.929138183999999</v>
      </c>
      <c r="K36">
        <v>2400</v>
      </c>
      <c r="L36">
        <v>0</v>
      </c>
      <c r="M36">
        <v>0</v>
      </c>
      <c r="N36">
        <v>2400</v>
      </c>
    </row>
    <row r="37" spans="1:14" x14ac:dyDescent="0.25">
      <c r="A37">
        <v>0.42869299999999999</v>
      </c>
      <c r="B37" s="1">
        <f>DATE(2010,5,1) + TIME(10,17,19)</f>
        <v>40299.42869212963</v>
      </c>
      <c r="C37">
        <v>2248.7026366999999</v>
      </c>
      <c r="D37">
        <v>2021.7039795000001</v>
      </c>
      <c r="E37">
        <v>549.52441406000003</v>
      </c>
      <c r="F37">
        <v>154.40722656</v>
      </c>
      <c r="G37">
        <v>80</v>
      </c>
      <c r="H37">
        <v>40.298484801999997</v>
      </c>
      <c r="I37">
        <v>50</v>
      </c>
      <c r="J37">
        <v>14.929294585999999</v>
      </c>
      <c r="K37">
        <v>2400</v>
      </c>
      <c r="L37">
        <v>0</v>
      </c>
      <c r="M37">
        <v>0</v>
      </c>
      <c r="N37">
        <v>2400</v>
      </c>
    </row>
    <row r="38" spans="1:14" x14ac:dyDescent="0.25">
      <c r="A38">
        <v>0.450019</v>
      </c>
      <c r="B38" s="1">
        <f>DATE(2010,5,1) + TIME(10,48,1)</f>
        <v>40299.450011574074</v>
      </c>
      <c r="C38">
        <v>2244.1999512000002</v>
      </c>
      <c r="D38">
        <v>2021.1555175999999</v>
      </c>
      <c r="E38">
        <v>547.86712646000001</v>
      </c>
      <c r="F38">
        <v>152.75134277000001</v>
      </c>
      <c r="G38">
        <v>80</v>
      </c>
      <c r="H38">
        <v>41.274890900000003</v>
      </c>
      <c r="I38">
        <v>50</v>
      </c>
      <c r="J38">
        <v>14.92947197</v>
      </c>
      <c r="K38">
        <v>2400</v>
      </c>
      <c r="L38">
        <v>0</v>
      </c>
      <c r="M38">
        <v>0</v>
      </c>
      <c r="N38">
        <v>2400</v>
      </c>
    </row>
    <row r="39" spans="1:14" x14ac:dyDescent="0.25">
      <c r="A39">
        <v>0.47184999999999999</v>
      </c>
      <c r="B39" s="1">
        <f>DATE(2010,5,1) + TIME(11,19,27)</f>
        <v>40299.47184027778</v>
      </c>
      <c r="C39">
        <v>2239.7006836</v>
      </c>
      <c r="D39">
        <v>2020.489624</v>
      </c>
      <c r="E39">
        <v>546.37902831999997</v>
      </c>
      <c r="F39">
        <v>151.26493834999999</v>
      </c>
      <c r="G39">
        <v>80</v>
      </c>
      <c r="H39">
        <v>42.250495911000002</v>
      </c>
      <c r="I39">
        <v>50</v>
      </c>
      <c r="J39">
        <v>14.929666519</v>
      </c>
      <c r="K39">
        <v>2400</v>
      </c>
      <c r="L39">
        <v>0</v>
      </c>
      <c r="M39">
        <v>0</v>
      </c>
      <c r="N39">
        <v>2400</v>
      </c>
    </row>
    <row r="40" spans="1:14" x14ac:dyDescent="0.25">
      <c r="A40">
        <v>0.49421399999999999</v>
      </c>
      <c r="B40" s="1">
        <f>DATE(2010,5,1) + TIME(11,51,40)</f>
        <v>40299.494212962964</v>
      </c>
      <c r="C40">
        <v>2235.2084961</v>
      </c>
      <c r="D40">
        <v>2019.7156981999999</v>
      </c>
      <c r="E40">
        <v>545.04632568</v>
      </c>
      <c r="F40">
        <v>149.93409729000001</v>
      </c>
      <c r="G40">
        <v>80</v>
      </c>
      <c r="H40">
        <v>43.225410461000003</v>
      </c>
      <c r="I40">
        <v>50</v>
      </c>
      <c r="J40">
        <v>14.929879188999999</v>
      </c>
      <c r="K40">
        <v>2400</v>
      </c>
      <c r="L40">
        <v>0</v>
      </c>
      <c r="M40">
        <v>0</v>
      </c>
      <c r="N40">
        <v>2400</v>
      </c>
    </row>
    <row r="41" spans="1:14" x14ac:dyDescent="0.25">
      <c r="A41">
        <v>0.51714099999999996</v>
      </c>
      <c r="B41" s="1">
        <f>DATE(2010,5,1) + TIME(12,24,40)</f>
        <v>40299.517129629632</v>
      </c>
      <c r="C41">
        <v>2230.7270508000001</v>
      </c>
      <c r="D41">
        <v>2018.8415527</v>
      </c>
      <c r="E41">
        <v>543.85644531000003</v>
      </c>
      <c r="F41">
        <v>148.74629211000001</v>
      </c>
      <c r="G41">
        <v>80</v>
      </c>
      <c r="H41">
        <v>44.199607849000003</v>
      </c>
      <c r="I41">
        <v>50</v>
      </c>
      <c r="J41">
        <v>14.930107117</v>
      </c>
      <c r="K41">
        <v>2400</v>
      </c>
      <c r="L41">
        <v>0</v>
      </c>
      <c r="M41">
        <v>0</v>
      </c>
      <c r="N41">
        <v>2400</v>
      </c>
    </row>
    <row r="42" spans="1:14" x14ac:dyDescent="0.25">
      <c r="A42">
        <v>0.54066099999999995</v>
      </c>
      <c r="B42" s="1">
        <f>DATE(2010,5,1) + TIME(12,58,33)</f>
        <v>40299.540659722225</v>
      </c>
      <c r="C42">
        <v>2226.2585448999998</v>
      </c>
      <c r="D42">
        <v>2017.8742675999999</v>
      </c>
      <c r="E42">
        <v>542.79797363</v>
      </c>
      <c r="F42">
        <v>147.68998718</v>
      </c>
      <c r="G42">
        <v>80</v>
      </c>
      <c r="H42">
        <v>45.173049927000001</v>
      </c>
      <c r="I42">
        <v>50</v>
      </c>
      <c r="J42">
        <v>14.930350303999999</v>
      </c>
      <c r="K42">
        <v>2400</v>
      </c>
      <c r="L42">
        <v>0</v>
      </c>
      <c r="M42">
        <v>0</v>
      </c>
      <c r="N42">
        <v>2400</v>
      </c>
    </row>
    <row r="43" spans="1:14" x14ac:dyDescent="0.25">
      <c r="A43">
        <v>0.56480699999999995</v>
      </c>
      <c r="B43" s="1">
        <f>DATE(2010,5,1) + TIME(13,33,19)</f>
        <v>40299.564803240741</v>
      </c>
      <c r="C43">
        <v>2221.8056640999998</v>
      </c>
      <c r="D43">
        <v>2016.8201904</v>
      </c>
      <c r="E43">
        <v>541.86016845999995</v>
      </c>
      <c r="F43">
        <v>146.75456238000001</v>
      </c>
      <c r="G43">
        <v>80</v>
      </c>
      <c r="H43">
        <v>46.145694732999999</v>
      </c>
      <c r="I43">
        <v>50</v>
      </c>
      <c r="J43">
        <v>14.930606842</v>
      </c>
      <c r="K43">
        <v>2400</v>
      </c>
      <c r="L43">
        <v>0</v>
      </c>
      <c r="M43">
        <v>0</v>
      </c>
      <c r="N43">
        <v>2400</v>
      </c>
    </row>
    <row r="44" spans="1:14" x14ac:dyDescent="0.25">
      <c r="A44">
        <v>0.58961600000000003</v>
      </c>
      <c r="B44" s="1">
        <f>DATE(2010,5,1) + TIME(14,9,2)</f>
        <v>40299.589606481481</v>
      </c>
      <c r="C44">
        <v>2217.3696289</v>
      </c>
      <c r="D44">
        <v>2015.6846923999999</v>
      </c>
      <c r="E44">
        <v>541.03320312000005</v>
      </c>
      <c r="F44">
        <v>145.93012999999999</v>
      </c>
      <c r="G44">
        <v>80</v>
      </c>
      <c r="H44">
        <v>47.11750412</v>
      </c>
      <c r="I44">
        <v>50</v>
      </c>
      <c r="J44">
        <v>14.930876732</v>
      </c>
      <c r="K44">
        <v>2400</v>
      </c>
      <c r="L44">
        <v>0</v>
      </c>
      <c r="M44">
        <v>0</v>
      </c>
      <c r="N44">
        <v>2400</v>
      </c>
    </row>
    <row r="45" spans="1:14" x14ac:dyDescent="0.25">
      <c r="A45">
        <v>0.61512699999999998</v>
      </c>
      <c r="B45" s="1">
        <f>DATE(2010,5,1) + TIME(14,45,46)</f>
        <v>40299.615115740744</v>
      </c>
      <c r="C45">
        <v>2212.9521484000002</v>
      </c>
      <c r="D45">
        <v>2014.4727783000001</v>
      </c>
      <c r="E45">
        <v>540.30786133000004</v>
      </c>
      <c r="F45">
        <v>145.20747374999999</v>
      </c>
      <c r="G45">
        <v>80</v>
      </c>
      <c r="H45">
        <v>48.088436127000001</v>
      </c>
      <c r="I45">
        <v>50</v>
      </c>
      <c r="J45">
        <v>14.931159019000001</v>
      </c>
      <c r="K45">
        <v>2400</v>
      </c>
      <c r="L45">
        <v>0</v>
      </c>
      <c r="M45">
        <v>0</v>
      </c>
      <c r="N45">
        <v>2400</v>
      </c>
    </row>
    <row r="46" spans="1:14" x14ac:dyDescent="0.25">
      <c r="A46">
        <v>0.64138200000000001</v>
      </c>
      <c r="B46" s="1">
        <f>DATE(2010,5,1) + TIME(15,23,35)</f>
        <v>40299.641377314816</v>
      </c>
      <c r="C46">
        <v>2208.5537109000002</v>
      </c>
      <c r="D46">
        <v>2013.1889647999999</v>
      </c>
      <c r="E46">
        <v>539.67559814000003</v>
      </c>
      <c r="F46">
        <v>144.57803344999999</v>
      </c>
      <c r="G46">
        <v>80</v>
      </c>
      <c r="H46">
        <v>49.058429717999999</v>
      </c>
      <c r="I46">
        <v>50</v>
      </c>
      <c r="J46">
        <v>14.931452751</v>
      </c>
      <c r="K46">
        <v>2400</v>
      </c>
      <c r="L46">
        <v>0</v>
      </c>
      <c r="M46">
        <v>0</v>
      </c>
      <c r="N46">
        <v>2400</v>
      </c>
    </row>
    <row r="47" spans="1:14" x14ac:dyDescent="0.25">
      <c r="A47">
        <v>0.66842800000000002</v>
      </c>
      <c r="B47" s="1">
        <f>DATE(2010,5,1) + TIME(16,2,32)</f>
        <v>40299.668425925927</v>
      </c>
      <c r="C47">
        <v>2204.1752929999998</v>
      </c>
      <c r="D47">
        <v>2011.8374022999999</v>
      </c>
      <c r="E47">
        <v>539.12841796999999</v>
      </c>
      <c r="F47">
        <v>144.03375244</v>
      </c>
      <c r="G47">
        <v>80</v>
      </c>
      <c r="H47">
        <v>50.027431487999998</v>
      </c>
      <c r="I47">
        <v>50</v>
      </c>
      <c r="J47">
        <v>14.931756973000001</v>
      </c>
      <c r="K47">
        <v>2400</v>
      </c>
      <c r="L47">
        <v>0</v>
      </c>
      <c r="M47">
        <v>0</v>
      </c>
      <c r="N47">
        <v>2400</v>
      </c>
    </row>
    <row r="48" spans="1:14" x14ac:dyDescent="0.25">
      <c r="A48">
        <v>0.69631600000000005</v>
      </c>
      <c r="B48" s="1">
        <f>DATE(2010,5,1) + TIME(16,42,41)</f>
        <v>40299.69630787037</v>
      </c>
      <c r="C48">
        <v>2199.8176269999999</v>
      </c>
      <c r="D48">
        <v>2010.4205322</v>
      </c>
      <c r="E48">
        <v>538.65869140999996</v>
      </c>
      <c r="F48">
        <v>143.56710815</v>
      </c>
      <c r="G48">
        <v>80</v>
      </c>
      <c r="H48">
        <v>50.994953156000001</v>
      </c>
      <c r="I48">
        <v>50</v>
      </c>
      <c r="J48">
        <v>14.932072638999999</v>
      </c>
      <c r="K48">
        <v>2400</v>
      </c>
      <c r="L48">
        <v>0</v>
      </c>
      <c r="M48">
        <v>0</v>
      </c>
      <c r="N48">
        <v>2400</v>
      </c>
    </row>
    <row r="49" spans="1:14" x14ac:dyDescent="0.25">
      <c r="A49">
        <v>0.72511599999999998</v>
      </c>
      <c r="B49" s="1">
        <f>DATE(2010,5,1) + TIME(17,24,10)</f>
        <v>40299.725115740737</v>
      </c>
      <c r="C49">
        <v>2195.4794922000001</v>
      </c>
      <c r="D49">
        <v>2008.9428711</v>
      </c>
      <c r="E49">
        <v>538.25939941000001</v>
      </c>
      <c r="F49">
        <v>143.17092896</v>
      </c>
      <c r="G49">
        <v>80</v>
      </c>
      <c r="H49">
        <v>51.961780548</v>
      </c>
      <c r="I49">
        <v>50</v>
      </c>
      <c r="J49">
        <v>14.932396889</v>
      </c>
      <c r="K49">
        <v>2400</v>
      </c>
      <c r="L49">
        <v>0</v>
      </c>
      <c r="M49">
        <v>0</v>
      </c>
      <c r="N49">
        <v>2400</v>
      </c>
    </row>
    <row r="50" spans="1:14" x14ac:dyDescent="0.25">
      <c r="A50">
        <v>0.75487700000000002</v>
      </c>
      <c r="B50" s="1">
        <f>DATE(2010,5,1) + TIME(18,7,1)</f>
        <v>40299.754872685182</v>
      </c>
      <c r="C50">
        <v>2191.1611327999999</v>
      </c>
      <c r="D50">
        <v>2007.4061279</v>
      </c>
      <c r="E50">
        <v>537.92395020000004</v>
      </c>
      <c r="F50">
        <v>142.83879089000001</v>
      </c>
      <c r="G50">
        <v>80</v>
      </c>
      <c r="H50">
        <v>52.92742157</v>
      </c>
      <c r="I50">
        <v>50</v>
      </c>
      <c r="J50">
        <v>14.932731628000001</v>
      </c>
      <c r="K50">
        <v>2400</v>
      </c>
      <c r="L50">
        <v>0</v>
      </c>
      <c r="M50">
        <v>0</v>
      </c>
      <c r="N50">
        <v>2400</v>
      </c>
    </row>
    <row r="51" spans="1:14" x14ac:dyDescent="0.25">
      <c r="A51">
        <v>0.78566599999999998</v>
      </c>
      <c r="B51" s="1">
        <f>DATE(2010,5,1) + TIME(18,51,21)</f>
        <v>40299.78565972222</v>
      </c>
      <c r="C51">
        <v>2186.8618164</v>
      </c>
      <c r="D51">
        <v>2005.8126221</v>
      </c>
      <c r="E51">
        <v>537.64630126999998</v>
      </c>
      <c r="F51">
        <v>142.56448363999999</v>
      </c>
      <c r="G51">
        <v>80</v>
      </c>
      <c r="H51">
        <v>53.891803740999997</v>
      </c>
      <c r="I51">
        <v>50</v>
      </c>
      <c r="J51">
        <v>14.933073996999999</v>
      </c>
      <c r="K51">
        <v>2400</v>
      </c>
      <c r="L51">
        <v>0</v>
      </c>
      <c r="M51">
        <v>0</v>
      </c>
      <c r="N51">
        <v>2400</v>
      </c>
    </row>
    <row r="52" spans="1:14" x14ac:dyDescent="0.25">
      <c r="A52">
        <v>0.81755999999999995</v>
      </c>
      <c r="B52" s="1">
        <f>DATE(2010,5,1) + TIME(19,37,17)</f>
        <v>40299.817557870374</v>
      </c>
      <c r="C52">
        <v>2182.5815429999998</v>
      </c>
      <c r="D52">
        <v>2004.1645507999999</v>
      </c>
      <c r="E52">
        <v>537.42059326000003</v>
      </c>
      <c r="F52">
        <v>142.34222412</v>
      </c>
      <c r="G52">
        <v>80</v>
      </c>
      <c r="H52">
        <v>54.854835510000001</v>
      </c>
      <c r="I52">
        <v>50</v>
      </c>
      <c r="J52">
        <v>14.933425903</v>
      </c>
      <c r="K52">
        <v>2400</v>
      </c>
      <c r="L52">
        <v>0</v>
      </c>
      <c r="M52">
        <v>0</v>
      </c>
      <c r="N52">
        <v>2400</v>
      </c>
    </row>
    <row r="53" spans="1:14" x14ac:dyDescent="0.25">
      <c r="A53">
        <v>0.85064200000000001</v>
      </c>
      <c r="B53" s="1">
        <f>DATE(2010,5,1) + TIME(20,24,55)</f>
        <v>40299.850636574076</v>
      </c>
      <c r="C53">
        <v>2178.3193359000002</v>
      </c>
      <c r="D53">
        <v>2002.463501</v>
      </c>
      <c r="E53">
        <v>537.24139404000005</v>
      </c>
      <c r="F53">
        <v>142.16653442</v>
      </c>
      <c r="G53">
        <v>80</v>
      </c>
      <c r="H53">
        <v>55.816421509000001</v>
      </c>
      <c r="I53">
        <v>50</v>
      </c>
      <c r="J53">
        <v>14.933786392</v>
      </c>
      <c r="K53">
        <v>2400</v>
      </c>
      <c r="L53">
        <v>0</v>
      </c>
      <c r="M53">
        <v>0</v>
      </c>
      <c r="N53">
        <v>2400</v>
      </c>
    </row>
    <row r="54" spans="1:14" x14ac:dyDescent="0.25">
      <c r="A54">
        <v>0.88500500000000004</v>
      </c>
      <c r="B54" s="1">
        <f>DATE(2010,5,1) + TIME(21,14,24)</f>
        <v>40299.885000000002</v>
      </c>
      <c r="C54">
        <v>2174.0742187999999</v>
      </c>
      <c r="D54">
        <v>2000.7109375</v>
      </c>
      <c r="E54">
        <v>537.10357666000004</v>
      </c>
      <c r="F54">
        <v>142.03236389</v>
      </c>
      <c r="G54">
        <v>80</v>
      </c>
      <c r="H54">
        <v>56.776458740000002</v>
      </c>
      <c r="I54">
        <v>50</v>
      </c>
      <c r="J54">
        <v>14.934154510000001</v>
      </c>
      <c r="K54">
        <v>2400</v>
      </c>
      <c r="L54">
        <v>0</v>
      </c>
      <c r="M54">
        <v>0</v>
      </c>
      <c r="N54">
        <v>2400</v>
      </c>
    </row>
    <row r="55" spans="1:14" x14ac:dyDescent="0.25">
      <c r="A55">
        <v>0.92075600000000002</v>
      </c>
      <c r="B55" s="1">
        <f>DATE(2010,5,1) + TIME(22,5,53)</f>
        <v>40299.920752314814</v>
      </c>
      <c r="C55">
        <v>2169.8447265999998</v>
      </c>
      <c r="D55">
        <v>1998.9075928</v>
      </c>
      <c r="E55">
        <v>537.00244140999996</v>
      </c>
      <c r="F55">
        <v>141.93490600999999</v>
      </c>
      <c r="G55">
        <v>80</v>
      </c>
      <c r="H55">
        <v>57.734828948999997</v>
      </c>
      <c r="I55">
        <v>50</v>
      </c>
      <c r="J55">
        <v>14.934530258000001</v>
      </c>
      <c r="K55">
        <v>2400</v>
      </c>
      <c r="L55">
        <v>0</v>
      </c>
      <c r="M55">
        <v>0</v>
      </c>
      <c r="N55">
        <v>2400</v>
      </c>
    </row>
    <row r="56" spans="1:14" x14ac:dyDescent="0.25">
      <c r="A56">
        <v>0.95801099999999995</v>
      </c>
      <c r="B56" s="1">
        <f>DATE(2010,5,1) + TIME(22,59,32)</f>
        <v>40299.958009259259</v>
      </c>
      <c r="C56">
        <v>2165.6296387000002</v>
      </c>
      <c r="D56">
        <v>1997.0540771000001</v>
      </c>
      <c r="E56">
        <v>536.93347168000003</v>
      </c>
      <c r="F56">
        <v>141.86978149000001</v>
      </c>
      <c r="G56">
        <v>80</v>
      </c>
      <c r="H56">
        <v>58.691390990999999</v>
      </c>
      <c r="I56">
        <v>50</v>
      </c>
      <c r="J56">
        <v>14.934913634999999</v>
      </c>
      <c r="K56">
        <v>2400</v>
      </c>
      <c r="L56">
        <v>0</v>
      </c>
      <c r="M56">
        <v>0</v>
      </c>
      <c r="N56">
        <v>2400</v>
      </c>
    </row>
    <row r="57" spans="1:14" x14ac:dyDescent="0.25">
      <c r="A57">
        <v>0.99690299999999998</v>
      </c>
      <c r="B57" s="1">
        <f>DATE(2010,5,1) + TIME(23,55,32)</f>
        <v>40299.996898148151</v>
      </c>
      <c r="C57">
        <v>2161.4270019999999</v>
      </c>
      <c r="D57">
        <v>1995.1506348</v>
      </c>
      <c r="E57">
        <v>536.89270020000004</v>
      </c>
      <c r="F57">
        <v>141.83280945000001</v>
      </c>
      <c r="G57">
        <v>80</v>
      </c>
      <c r="H57">
        <v>59.645999908</v>
      </c>
      <c r="I57">
        <v>50</v>
      </c>
      <c r="J57">
        <v>14.935304642</v>
      </c>
      <c r="K57">
        <v>2400</v>
      </c>
      <c r="L57">
        <v>0</v>
      </c>
      <c r="M57">
        <v>0</v>
      </c>
      <c r="N57">
        <v>2400</v>
      </c>
    </row>
    <row r="58" spans="1:14" x14ac:dyDescent="0.25">
      <c r="A58">
        <v>1.037585</v>
      </c>
      <c r="B58" s="1">
        <f>DATE(2010,5,2) + TIME(0,54,7)</f>
        <v>40300.037581018521</v>
      </c>
      <c r="C58">
        <v>2157.2355957</v>
      </c>
      <c r="D58">
        <v>1993.1966553</v>
      </c>
      <c r="E58">
        <v>536.87609863</v>
      </c>
      <c r="F58">
        <v>141.82020568999999</v>
      </c>
      <c r="G58">
        <v>80</v>
      </c>
      <c r="H58">
        <v>60.598052979000002</v>
      </c>
      <c r="I58">
        <v>50</v>
      </c>
      <c r="J58">
        <v>14.935704231000001</v>
      </c>
      <c r="K58">
        <v>2400</v>
      </c>
      <c r="L58">
        <v>0</v>
      </c>
      <c r="M58">
        <v>0</v>
      </c>
      <c r="N58">
        <v>2400</v>
      </c>
    </row>
    <row r="59" spans="1:14" x14ac:dyDescent="0.25">
      <c r="A59">
        <v>1.0802499999999999</v>
      </c>
      <c r="B59" s="1">
        <f>DATE(2010,5,2) + TIME(1,55,33)</f>
        <v>40300.080243055556</v>
      </c>
      <c r="C59">
        <v>2153.0512695000002</v>
      </c>
      <c r="D59">
        <v>1991.1912841999999</v>
      </c>
      <c r="E59">
        <v>536.88031006000006</v>
      </c>
      <c r="F59">
        <v>141.82841492</v>
      </c>
      <c r="G59">
        <v>80</v>
      </c>
      <c r="H59">
        <v>61.547943115000002</v>
      </c>
      <c r="I59">
        <v>50</v>
      </c>
      <c r="J59">
        <v>14.93611145</v>
      </c>
      <c r="K59">
        <v>2400</v>
      </c>
      <c r="L59">
        <v>0</v>
      </c>
      <c r="M59">
        <v>0</v>
      </c>
      <c r="N59">
        <v>2400</v>
      </c>
    </row>
    <row r="60" spans="1:14" x14ac:dyDescent="0.25">
      <c r="A60">
        <v>1.1250899999999999</v>
      </c>
      <c r="B60" s="1">
        <f>DATE(2010,5,2) + TIME(3,0,7)</f>
        <v>40300.125081018516</v>
      </c>
      <c r="C60">
        <v>2148.8710937999999</v>
      </c>
      <c r="D60">
        <v>1989.1335449000001</v>
      </c>
      <c r="E60">
        <v>536.90197753999996</v>
      </c>
      <c r="F60">
        <v>141.85418701</v>
      </c>
      <c r="G60">
        <v>80</v>
      </c>
      <c r="H60">
        <v>62.495510101000001</v>
      </c>
      <c r="I60">
        <v>50</v>
      </c>
      <c r="J60">
        <v>14.936527251999999</v>
      </c>
      <c r="K60">
        <v>2400</v>
      </c>
      <c r="L60">
        <v>0</v>
      </c>
      <c r="M60">
        <v>0</v>
      </c>
      <c r="N60">
        <v>2400</v>
      </c>
    </row>
    <row r="61" spans="1:14" x14ac:dyDescent="0.25">
      <c r="A61">
        <v>1.1723269999999999</v>
      </c>
      <c r="B61" s="1">
        <f>DATE(2010,5,2) + TIME(4,8,9)</f>
        <v>40300.172326388885</v>
      </c>
      <c r="C61">
        <v>2144.6923827999999</v>
      </c>
      <c r="D61">
        <v>1987.0212402</v>
      </c>
      <c r="E61">
        <v>536.93811034999999</v>
      </c>
      <c r="F61">
        <v>141.89451599</v>
      </c>
      <c r="G61">
        <v>80</v>
      </c>
      <c r="H61">
        <v>63.440292358000001</v>
      </c>
      <c r="I61">
        <v>50</v>
      </c>
      <c r="J61">
        <v>14.936950683999999</v>
      </c>
      <c r="K61">
        <v>2400</v>
      </c>
      <c r="L61">
        <v>0</v>
      </c>
      <c r="M61">
        <v>0</v>
      </c>
      <c r="N61">
        <v>2400</v>
      </c>
    </row>
    <row r="62" spans="1:14" x14ac:dyDescent="0.25">
      <c r="A62">
        <v>1.2222299999999999</v>
      </c>
      <c r="B62" s="1">
        <f>DATE(2010,5,2) + TIME(5,20,0)</f>
        <v>40300.222222222219</v>
      </c>
      <c r="C62">
        <v>2140.5112304999998</v>
      </c>
      <c r="D62">
        <v>1984.8519286999999</v>
      </c>
      <c r="E62">
        <v>536.98596191000001</v>
      </c>
      <c r="F62">
        <v>141.94665527000001</v>
      </c>
      <c r="G62">
        <v>80</v>
      </c>
      <c r="H62">
        <v>64.381988524999997</v>
      </c>
      <c r="I62">
        <v>50</v>
      </c>
      <c r="J62">
        <v>14.937383651999999</v>
      </c>
      <c r="K62">
        <v>2400</v>
      </c>
      <c r="L62">
        <v>0</v>
      </c>
      <c r="M62">
        <v>0</v>
      </c>
      <c r="N62">
        <v>2400</v>
      </c>
    </row>
    <row r="63" spans="1:14" x14ac:dyDescent="0.25">
      <c r="A63">
        <v>1.2751129999999999</v>
      </c>
      <c r="B63" s="1">
        <f>DATE(2010,5,2) + TIME(6,36,9)</f>
        <v>40300.275104166663</v>
      </c>
      <c r="C63">
        <v>2136.3229980000001</v>
      </c>
      <c r="D63">
        <v>1982.6228027</v>
      </c>
      <c r="E63">
        <v>537.04302978999999</v>
      </c>
      <c r="F63">
        <v>142.00813292999999</v>
      </c>
      <c r="G63">
        <v>80</v>
      </c>
      <c r="H63">
        <v>65.320358275999993</v>
      </c>
      <c r="I63">
        <v>50</v>
      </c>
      <c r="J63">
        <v>14.937825202999999</v>
      </c>
      <c r="K63">
        <v>2400</v>
      </c>
      <c r="L63">
        <v>0</v>
      </c>
      <c r="M63">
        <v>0</v>
      </c>
      <c r="N63">
        <v>2400</v>
      </c>
    </row>
    <row r="64" spans="1:14" x14ac:dyDescent="0.25">
      <c r="A64">
        <v>1.3313459999999999</v>
      </c>
      <c r="B64" s="1">
        <f>DATE(2010,5,2) + TIME(7,57,8)</f>
        <v>40300.331342592595</v>
      </c>
      <c r="C64">
        <v>2132.1228027000002</v>
      </c>
      <c r="D64">
        <v>1980.3298339999999</v>
      </c>
      <c r="E64">
        <v>537.10711670000001</v>
      </c>
      <c r="F64">
        <v>142.07670593</v>
      </c>
      <c r="G64">
        <v>80</v>
      </c>
      <c r="H64">
        <v>66.254981994999994</v>
      </c>
      <c r="I64">
        <v>50</v>
      </c>
      <c r="J64">
        <v>14.938278198000001</v>
      </c>
      <c r="K64">
        <v>2400</v>
      </c>
      <c r="L64">
        <v>0</v>
      </c>
      <c r="M64">
        <v>0</v>
      </c>
      <c r="N64">
        <v>2400</v>
      </c>
    </row>
    <row r="65" spans="1:14" x14ac:dyDescent="0.25">
      <c r="A65">
        <v>1.39137</v>
      </c>
      <c r="B65" s="1">
        <f>DATE(2010,5,2) + TIME(9,23,34)</f>
        <v>40300.391365740739</v>
      </c>
      <c r="C65">
        <v>2127.9052734000002</v>
      </c>
      <c r="D65">
        <v>1977.9680175999999</v>
      </c>
      <c r="E65">
        <v>537.17614746000004</v>
      </c>
      <c r="F65">
        <v>142.15032959000001</v>
      </c>
      <c r="G65">
        <v>80</v>
      </c>
      <c r="H65">
        <v>67.185218810999999</v>
      </c>
      <c r="I65">
        <v>50</v>
      </c>
      <c r="J65">
        <v>14.938740729999999</v>
      </c>
      <c r="K65">
        <v>2400</v>
      </c>
      <c r="L65">
        <v>0</v>
      </c>
      <c r="M65">
        <v>0</v>
      </c>
      <c r="N65">
        <v>2400</v>
      </c>
    </row>
    <row r="66" spans="1:14" x14ac:dyDescent="0.25">
      <c r="A66">
        <v>1.4519139999999999</v>
      </c>
      <c r="B66" s="1">
        <f>DATE(2010,5,2) + TIME(10,50,45)</f>
        <v>40300.451909722222</v>
      </c>
      <c r="C66">
        <v>2123.8188476999999</v>
      </c>
      <c r="D66">
        <v>1975.5858154</v>
      </c>
      <c r="E66">
        <v>537.24444579999999</v>
      </c>
      <c r="F66">
        <v>142.22306824</v>
      </c>
      <c r="G66">
        <v>80</v>
      </c>
      <c r="H66">
        <v>68.059516907000003</v>
      </c>
      <c r="I66">
        <v>50</v>
      </c>
      <c r="J66">
        <v>14.939189911</v>
      </c>
      <c r="K66">
        <v>2400</v>
      </c>
      <c r="L66">
        <v>0</v>
      </c>
      <c r="M66">
        <v>0</v>
      </c>
      <c r="N66">
        <v>2400</v>
      </c>
    </row>
    <row r="67" spans="1:14" x14ac:dyDescent="0.25">
      <c r="A67">
        <v>1.5125390000000001</v>
      </c>
      <c r="B67" s="1">
        <f>DATE(2010,5,2) + TIME(12,18,3)</f>
        <v>40300.51253472222</v>
      </c>
      <c r="C67">
        <v>2119.9409179999998</v>
      </c>
      <c r="D67">
        <v>1973.2658690999999</v>
      </c>
      <c r="E67">
        <v>537.31011963000003</v>
      </c>
      <c r="F67">
        <v>142.29298401</v>
      </c>
      <c r="G67">
        <v>80</v>
      </c>
      <c r="H67">
        <v>68.875099182</v>
      </c>
      <c r="I67">
        <v>50</v>
      </c>
      <c r="J67">
        <v>14.939621925000001</v>
      </c>
      <c r="K67">
        <v>2400</v>
      </c>
      <c r="L67">
        <v>0</v>
      </c>
      <c r="M67">
        <v>0</v>
      </c>
      <c r="N67">
        <v>2400</v>
      </c>
    </row>
    <row r="68" spans="1:14" x14ac:dyDescent="0.25">
      <c r="A68">
        <v>1.5733619999999999</v>
      </c>
      <c r="B68" s="1">
        <f>DATE(2010,5,2) + TIME(13,45,38)</f>
        <v>40300.57335648148</v>
      </c>
      <c r="C68">
        <v>2116.2636719000002</v>
      </c>
      <c r="D68">
        <v>1971.0170897999999</v>
      </c>
      <c r="E68">
        <v>537.37237548999997</v>
      </c>
      <c r="F68">
        <v>142.359375</v>
      </c>
      <c r="G68">
        <v>80</v>
      </c>
      <c r="H68">
        <v>69.637115479000002</v>
      </c>
      <c r="I68">
        <v>50</v>
      </c>
      <c r="J68">
        <v>14.940039635</v>
      </c>
      <c r="K68">
        <v>2400</v>
      </c>
      <c r="L68">
        <v>0</v>
      </c>
      <c r="M68">
        <v>0</v>
      </c>
      <c r="N68">
        <v>2400</v>
      </c>
    </row>
    <row r="69" spans="1:14" x14ac:dyDescent="0.25">
      <c r="A69">
        <v>1.6344799999999999</v>
      </c>
      <c r="B69" s="1">
        <f>DATE(2010,5,2) + TIME(15,13,39)</f>
        <v>40300.634479166663</v>
      </c>
      <c r="C69">
        <v>2112.7673340000001</v>
      </c>
      <c r="D69">
        <v>1968.8336182</v>
      </c>
      <c r="E69">
        <v>537.43090819999998</v>
      </c>
      <c r="F69">
        <v>142.42189026</v>
      </c>
      <c r="G69">
        <v>80</v>
      </c>
      <c r="H69">
        <v>70.349632263000004</v>
      </c>
      <c r="I69">
        <v>50</v>
      </c>
      <c r="J69">
        <v>14.940442085000001</v>
      </c>
      <c r="K69">
        <v>2400</v>
      </c>
      <c r="L69">
        <v>0</v>
      </c>
      <c r="M69">
        <v>0</v>
      </c>
      <c r="N69">
        <v>2400</v>
      </c>
    </row>
    <row r="70" spans="1:14" x14ac:dyDescent="0.25">
      <c r="A70">
        <v>1.6959839999999999</v>
      </c>
      <c r="B70" s="1">
        <f>DATE(2010,5,2) + TIME(16,42,13)</f>
        <v>40300.695983796293</v>
      </c>
      <c r="C70">
        <v>2109.4350586</v>
      </c>
      <c r="D70">
        <v>1966.7100829999999</v>
      </c>
      <c r="E70">
        <v>537.48559569999998</v>
      </c>
      <c r="F70">
        <v>142.48039245999999</v>
      </c>
      <c r="G70">
        <v>80</v>
      </c>
      <c r="H70">
        <v>71.016456603999998</v>
      </c>
      <c r="I70">
        <v>50</v>
      </c>
      <c r="J70">
        <v>14.940833092</v>
      </c>
      <c r="K70">
        <v>2400</v>
      </c>
      <c r="L70">
        <v>0</v>
      </c>
      <c r="M70">
        <v>0</v>
      </c>
      <c r="N70">
        <v>2400</v>
      </c>
    </row>
    <row r="71" spans="1:14" x14ac:dyDescent="0.25">
      <c r="A71">
        <v>1.7579629999999999</v>
      </c>
      <c r="B71" s="1">
        <f>DATE(2010,5,2) + TIME(18,11,28)</f>
        <v>40300.757962962962</v>
      </c>
      <c r="C71">
        <v>2106.2509765999998</v>
      </c>
      <c r="D71">
        <v>1964.6416016000001</v>
      </c>
      <c r="E71">
        <v>537.53631591999999</v>
      </c>
      <c r="F71">
        <v>142.53489685</v>
      </c>
      <c r="G71">
        <v>80</v>
      </c>
      <c r="H71">
        <v>71.641212463000002</v>
      </c>
      <c r="I71">
        <v>50</v>
      </c>
      <c r="J71">
        <v>14.9412117</v>
      </c>
      <c r="K71">
        <v>2400</v>
      </c>
      <c r="L71">
        <v>0</v>
      </c>
      <c r="M71">
        <v>0</v>
      </c>
      <c r="N71">
        <v>2400</v>
      </c>
    </row>
    <row r="72" spans="1:14" x14ac:dyDescent="0.25">
      <c r="A72">
        <v>1.8205039999999999</v>
      </c>
      <c r="B72" s="1">
        <f>DATE(2010,5,2) + TIME(19,41,31)</f>
        <v>40300.820497685185</v>
      </c>
      <c r="C72">
        <v>2103.2009277000002</v>
      </c>
      <c r="D72">
        <v>1962.6229248</v>
      </c>
      <c r="E72">
        <v>537.58337401999995</v>
      </c>
      <c r="F72">
        <v>142.58558654999999</v>
      </c>
      <c r="G72">
        <v>80</v>
      </c>
      <c r="H72">
        <v>72.226921082000004</v>
      </c>
      <c r="I72">
        <v>50</v>
      </c>
      <c r="J72">
        <v>14.941580772</v>
      </c>
      <c r="K72">
        <v>2400</v>
      </c>
      <c r="L72">
        <v>0</v>
      </c>
      <c r="M72">
        <v>0</v>
      </c>
      <c r="N72">
        <v>2400</v>
      </c>
    </row>
    <row r="73" spans="1:14" x14ac:dyDescent="0.25">
      <c r="A73">
        <v>1.8836930000000001</v>
      </c>
      <c r="B73" s="1">
        <f>DATE(2010,5,2) + TIME(21,12,31)</f>
        <v>40300.883692129632</v>
      </c>
      <c r="C73">
        <v>2100.2729491999999</v>
      </c>
      <c r="D73">
        <v>1960.6496582</v>
      </c>
      <c r="E73">
        <v>537.62689208999996</v>
      </c>
      <c r="F73">
        <v>142.63264465</v>
      </c>
      <c r="G73">
        <v>80</v>
      </c>
      <c r="H73">
        <v>72.776275635000005</v>
      </c>
      <c r="I73">
        <v>50</v>
      </c>
      <c r="J73">
        <v>14.941939354000001</v>
      </c>
      <c r="K73">
        <v>2400</v>
      </c>
      <c r="L73">
        <v>0</v>
      </c>
      <c r="M73">
        <v>0</v>
      </c>
      <c r="N73">
        <v>2400</v>
      </c>
    </row>
    <row r="74" spans="1:14" x14ac:dyDescent="0.25">
      <c r="A74">
        <v>1.9476169999999999</v>
      </c>
      <c r="B74" s="1">
        <f>DATE(2010,5,2) + TIME(22,44,34)</f>
        <v>40300.947615740741</v>
      </c>
      <c r="C74">
        <v>2097.4560547000001</v>
      </c>
      <c r="D74">
        <v>1958.7176514</v>
      </c>
      <c r="E74">
        <v>537.66711425999995</v>
      </c>
      <c r="F74">
        <v>142.67634583</v>
      </c>
      <c r="G74">
        <v>80</v>
      </c>
      <c r="H74">
        <v>73.291709900000001</v>
      </c>
      <c r="I74">
        <v>50</v>
      </c>
      <c r="J74">
        <v>14.942289352</v>
      </c>
      <c r="K74">
        <v>2400</v>
      </c>
      <c r="L74">
        <v>0</v>
      </c>
      <c r="M74">
        <v>0</v>
      </c>
      <c r="N74">
        <v>2400</v>
      </c>
    </row>
    <row r="75" spans="1:14" x14ac:dyDescent="0.25">
      <c r="A75">
        <v>2.012356</v>
      </c>
      <c r="B75" s="1">
        <f>DATE(2010,5,3) + TIME(0,17,47)</f>
        <v>40301.012349537035</v>
      </c>
      <c r="C75">
        <v>2094.7407226999999</v>
      </c>
      <c r="D75">
        <v>1956.8231201000001</v>
      </c>
      <c r="E75">
        <v>537.70434569999998</v>
      </c>
      <c r="F75">
        <v>142.71694946</v>
      </c>
      <c r="G75">
        <v>80</v>
      </c>
      <c r="H75">
        <v>73.775375366000006</v>
      </c>
      <c r="I75">
        <v>50</v>
      </c>
      <c r="J75">
        <v>14.942630768000001</v>
      </c>
      <c r="K75">
        <v>2400</v>
      </c>
      <c r="L75">
        <v>0</v>
      </c>
      <c r="M75">
        <v>0</v>
      </c>
      <c r="N75">
        <v>2400</v>
      </c>
    </row>
    <row r="76" spans="1:14" x14ac:dyDescent="0.25">
      <c r="A76">
        <v>2.0779960000000002</v>
      </c>
      <c r="B76" s="1">
        <f>DATE(2010,5,3) + TIME(1,52,18)</f>
        <v>40301.077986111108</v>
      </c>
      <c r="C76">
        <v>2092.1179198999998</v>
      </c>
      <c r="D76">
        <v>1954.9624022999999</v>
      </c>
      <c r="E76">
        <v>537.73883057</v>
      </c>
      <c r="F76">
        <v>142.75473022</v>
      </c>
      <c r="G76">
        <v>80</v>
      </c>
      <c r="H76">
        <v>74.229270935000002</v>
      </c>
      <c r="I76">
        <v>50</v>
      </c>
      <c r="J76">
        <v>14.942964554</v>
      </c>
      <c r="K76">
        <v>2400</v>
      </c>
      <c r="L76">
        <v>0</v>
      </c>
      <c r="M76">
        <v>0</v>
      </c>
      <c r="N76">
        <v>2400</v>
      </c>
    </row>
    <row r="77" spans="1:14" x14ac:dyDescent="0.25">
      <c r="A77">
        <v>2.1446350000000001</v>
      </c>
      <c r="B77" s="1">
        <f>DATE(2010,5,3) + TIME(3,28,16)</f>
        <v>40301.144629629627</v>
      </c>
      <c r="C77">
        <v>2089.5798340000001</v>
      </c>
      <c r="D77">
        <v>1953.1324463000001</v>
      </c>
      <c r="E77">
        <v>537.77087401999995</v>
      </c>
      <c r="F77">
        <v>142.78997802999999</v>
      </c>
      <c r="G77">
        <v>80</v>
      </c>
      <c r="H77">
        <v>74.655265807999996</v>
      </c>
      <c r="I77">
        <v>50</v>
      </c>
      <c r="J77">
        <v>14.943292617999999</v>
      </c>
      <c r="K77">
        <v>2400</v>
      </c>
      <c r="L77">
        <v>0</v>
      </c>
      <c r="M77">
        <v>0</v>
      </c>
      <c r="N77">
        <v>2400</v>
      </c>
    </row>
    <row r="78" spans="1:14" x14ac:dyDescent="0.25">
      <c r="A78">
        <v>2.2123689999999998</v>
      </c>
      <c r="B78" s="1">
        <f>DATE(2010,5,3) + TIME(5,5,48)</f>
        <v>40301.212361111109</v>
      </c>
      <c r="C78">
        <v>2087.1188965000001</v>
      </c>
      <c r="D78">
        <v>1951.3298339999999</v>
      </c>
      <c r="E78">
        <v>537.80065918000003</v>
      </c>
      <c r="F78">
        <v>142.82293701</v>
      </c>
      <c r="G78">
        <v>80</v>
      </c>
      <c r="H78">
        <v>75.054992675999998</v>
      </c>
      <c r="I78">
        <v>50</v>
      </c>
      <c r="J78">
        <v>14.943614006000001</v>
      </c>
      <c r="K78">
        <v>2400</v>
      </c>
      <c r="L78">
        <v>0</v>
      </c>
      <c r="M78">
        <v>0</v>
      </c>
      <c r="N78">
        <v>2400</v>
      </c>
    </row>
    <row r="79" spans="1:14" x14ac:dyDescent="0.25">
      <c r="A79">
        <v>2.2812950000000001</v>
      </c>
      <c r="B79" s="1">
        <f>DATE(2010,5,3) + TIME(6,45,3)</f>
        <v>40301.281284722223</v>
      </c>
      <c r="C79">
        <v>2084.7285155999998</v>
      </c>
      <c r="D79">
        <v>1949.5511475000001</v>
      </c>
      <c r="E79">
        <v>537.82849121000004</v>
      </c>
      <c r="F79">
        <v>142.85389709</v>
      </c>
      <c r="G79">
        <v>80</v>
      </c>
      <c r="H79">
        <v>75.429771423000005</v>
      </c>
      <c r="I79">
        <v>50</v>
      </c>
      <c r="J79">
        <v>14.943929671999999</v>
      </c>
      <c r="K79">
        <v>2400</v>
      </c>
      <c r="L79">
        <v>0</v>
      </c>
      <c r="M79">
        <v>0</v>
      </c>
      <c r="N79">
        <v>2400</v>
      </c>
    </row>
    <row r="80" spans="1:14" x14ac:dyDescent="0.25">
      <c r="A80">
        <v>2.3515139999999999</v>
      </c>
      <c r="B80" s="1">
        <f>DATE(2010,5,3) + TIME(8,26,10)</f>
        <v>40301.351504629631</v>
      </c>
      <c r="C80">
        <v>2082.4023437999999</v>
      </c>
      <c r="D80">
        <v>1947.7941894999999</v>
      </c>
      <c r="E80">
        <v>537.85455321999996</v>
      </c>
      <c r="F80">
        <v>142.88305664000001</v>
      </c>
      <c r="G80">
        <v>80</v>
      </c>
      <c r="H80">
        <v>75.78125</v>
      </c>
      <c r="I80">
        <v>50</v>
      </c>
      <c r="J80">
        <v>14.94424057</v>
      </c>
      <c r="K80">
        <v>2400</v>
      </c>
      <c r="L80">
        <v>0</v>
      </c>
      <c r="M80">
        <v>0</v>
      </c>
      <c r="N80">
        <v>2400</v>
      </c>
    </row>
    <row r="81" spans="1:14" x14ac:dyDescent="0.25">
      <c r="A81">
        <v>2.423136</v>
      </c>
      <c r="B81" s="1">
        <f>DATE(2010,5,3) + TIME(10,9,18)</f>
        <v>40301.423125000001</v>
      </c>
      <c r="C81">
        <v>2080.1345215000001</v>
      </c>
      <c r="D81">
        <v>1946.0557861</v>
      </c>
      <c r="E81">
        <v>537.87908935999997</v>
      </c>
      <c r="F81">
        <v>142.91064453000001</v>
      </c>
      <c r="G81">
        <v>80</v>
      </c>
      <c r="H81">
        <v>76.110733031999999</v>
      </c>
      <c r="I81">
        <v>50</v>
      </c>
      <c r="J81">
        <v>14.9445467</v>
      </c>
      <c r="K81">
        <v>2400</v>
      </c>
      <c r="L81">
        <v>0</v>
      </c>
      <c r="M81">
        <v>0</v>
      </c>
      <c r="N81">
        <v>2400</v>
      </c>
    </row>
    <row r="82" spans="1:14" x14ac:dyDescent="0.25">
      <c r="A82">
        <v>2.4962749999999998</v>
      </c>
      <c r="B82" s="1">
        <f>DATE(2010,5,3) + TIME(11,54,38)</f>
        <v>40301.49627314815</v>
      </c>
      <c r="C82">
        <v>2077.9196777000002</v>
      </c>
      <c r="D82">
        <v>1944.3334961</v>
      </c>
      <c r="E82">
        <v>537.90234375</v>
      </c>
      <c r="F82">
        <v>142.93687439000001</v>
      </c>
      <c r="G82">
        <v>80</v>
      </c>
      <c r="H82">
        <v>76.419433593999997</v>
      </c>
      <c r="I82">
        <v>50</v>
      </c>
      <c r="J82">
        <v>14.944849014000001</v>
      </c>
      <c r="K82">
        <v>2400</v>
      </c>
      <c r="L82">
        <v>0</v>
      </c>
      <c r="M82">
        <v>0</v>
      </c>
      <c r="N82">
        <v>2400</v>
      </c>
    </row>
    <row r="83" spans="1:14" x14ac:dyDescent="0.25">
      <c r="A83">
        <v>2.5710540000000002</v>
      </c>
      <c r="B83" s="1">
        <f>DATE(2010,5,3) + TIME(13,42,19)</f>
        <v>40301.571053240739</v>
      </c>
      <c r="C83">
        <v>2075.7529297000001</v>
      </c>
      <c r="D83">
        <v>1942.6246338000001</v>
      </c>
      <c r="E83">
        <v>537.92443848000005</v>
      </c>
      <c r="F83">
        <v>142.96192932</v>
      </c>
      <c r="G83">
        <v>80</v>
      </c>
      <c r="H83">
        <v>76.708457946999999</v>
      </c>
      <c r="I83">
        <v>50</v>
      </c>
      <c r="J83">
        <v>14.945148467999999</v>
      </c>
      <c r="K83">
        <v>2400</v>
      </c>
      <c r="L83">
        <v>0</v>
      </c>
      <c r="M83">
        <v>0</v>
      </c>
      <c r="N83">
        <v>2400</v>
      </c>
    </row>
    <row r="84" spans="1:14" x14ac:dyDescent="0.25">
      <c r="A84">
        <v>2.647605</v>
      </c>
      <c r="B84" s="1">
        <f>DATE(2010,5,3) + TIME(15,32,33)</f>
        <v>40301.647604166668</v>
      </c>
      <c r="C84">
        <v>2073.6291504000001</v>
      </c>
      <c r="D84">
        <v>1940.9267577999999</v>
      </c>
      <c r="E84">
        <v>537.94555663999995</v>
      </c>
      <c r="F84">
        <v>142.98597717000001</v>
      </c>
      <c r="G84">
        <v>80</v>
      </c>
      <c r="H84">
        <v>76.978874207000004</v>
      </c>
      <c r="I84">
        <v>50</v>
      </c>
      <c r="J84">
        <v>14.945444107</v>
      </c>
      <c r="K84">
        <v>2400</v>
      </c>
      <c r="L84">
        <v>0</v>
      </c>
      <c r="M84">
        <v>0</v>
      </c>
      <c r="N84">
        <v>2400</v>
      </c>
    </row>
    <row r="85" spans="1:14" x14ac:dyDescent="0.25">
      <c r="A85">
        <v>2.7260779999999998</v>
      </c>
      <c r="B85" s="1">
        <f>DATE(2010,5,3) + TIME(17,25,33)</f>
        <v>40301.726076388892</v>
      </c>
      <c r="C85">
        <v>2071.5437012000002</v>
      </c>
      <c r="D85">
        <v>1939.2373047000001</v>
      </c>
      <c r="E85">
        <v>537.96588135000002</v>
      </c>
      <c r="F85">
        <v>143.00920105</v>
      </c>
      <c r="G85">
        <v>80</v>
      </c>
      <c r="H85">
        <v>77.231666564999998</v>
      </c>
      <c r="I85">
        <v>50</v>
      </c>
      <c r="J85">
        <v>14.945737839</v>
      </c>
      <c r="K85">
        <v>2400</v>
      </c>
      <c r="L85">
        <v>0</v>
      </c>
      <c r="M85">
        <v>0</v>
      </c>
      <c r="N85">
        <v>2400</v>
      </c>
    </row>
    <row r="86" spans="1:14" x14ac:dyDescent="0.25">
      <c r="A86">
        <v>2.8066460000000002</v>
      </c>
      <c r="B86" s="1">
        <f>DATE(2010,5,3) + TIME(19,21,34)</f>
        <v>40301.806643518517</v>
      </c>
      <c r="C86">
        <v>2069.4924316000001</v>
      </c>
      <c r="D86">
        <v>1937.5539550999999</v>
      </c>
      <c r="E86">
        <v>537.98547363</v>
      </c>
      <c r="F86">
        <v>143.03170775999999</v>
      </c>
      <c r="G86">
        <v>80</v>
      </c>
      <c r="H86">
        <v>77.467803954999994</v>
      </c>
      <c r="I86">
        <v>50</v>
      </c>
      <c r="J86">
        <v>14.946028709</v>
      </c>
      <c r="K86">
        <v>2400</v>
      </c>
      <c r="L86">
        <v>0</v>
      </c>
      <c r="M86">
        <v>0</v>
      </c>
      <c r="N86">
        <v>2400</v>
      </c>
    </row>
    <row r="87" spans="1:14" x14ac:dyDescent="0.25">
      <c r="A87">
        <v>2.8894510000000002</v>
      </c>
      <c r="B87" s="1">
        <f>DATE(2010,5,3) + TIME(21,20,48)</f>
        <v>40301.889444444445</v>
      </c>
      <c r="C87">
        <v>2067.4711914</v>
      </c>
      <c r="D87">
        <v>1935.8740233999999</v>
      </c>
      <c r="E87">
        <v>538.00457763999998</v>
      </c>
      <c r="F87">
        <v>143.05366516000001</v>
      </c>
      <c r="G87">
        <v>80</v>
      </c>
      <c r="H87">
        <v>77.688056946000003</v>
      </c>
      <c r="I87">
        <v>50</v>
      </c>
      <c r="J87">
        <v>14.946318626</v>
      </c>
      <c r="K87">
        <v>2400</v>
      </c>
      <c r="L87">
        <v>0</v>
      </c>
      <c r="M87">
        <v>0</v>
      </c>
      <c r="N87">
        <v>2400</v>
      </c>
    </row>
    <row r="88" spans="1:14" x14ac:dyDescent="0.25">
      <c r="A88">
        <v>2.9746760000000001</v>
      </c>
      <c r="B88" s="1">
        <f>DATE(2010,5,3) + TIME(23,23,31)</f>
        <v>40301.974664351852</v>
      </c>
      <c r="C88">
        <v>2065.4760741999999</v>
      </c>
      <c r="D88">
        <v>1934.1954346</v>
      </c>
      <c r="E88">
        <v>538.02319336000005</v>
      </c>
      <c r="F88">
        <v>143.07518005</v>
      </c>
      <c r="G88">
        <v>80</v>
      </c>
      <c r="H88">
        <v>77.893241881999998</v>
      </c>
      <c r="I88">
        <v>50</v>
      </c>
      <c r="J88">
        <v>14.946607589999999</v>
      </c>
      <c r="K88">
        <v>2400</v>
      </c>
      <c r="L88">
        <v>0</v>
      </c>
      <c r="M88">
        <v>0</v>
      </c>
      <c r="N88">
        <v>2400</v>
      </c>
    </row>
    <row r="89" spans="1:14" x14ac:dyDescent="0.25">
      <c r="A89">
        <v>3.0625209999999998</v>
      </c>
      <c r="B89" s="1">
        <f>DATE(2010,5,4) + TIME(1,30,1)</f>
        <v>40302.062511574077</v>
      </c>
      <c r="C89">
        <v>2063.5029297000001</v>
      </c>
      <c r="D89">
        <v>1932.515625</v>
      </c>
      <c r="E89">
        <v>538.04156493999994</v>
      </c>
      <c r="F89">
        <v>143.09638977</v>
      </c>
      <c r="G89">
        <v>80</v>
      </c>
      <c r="H89">
        <v>78.084121703999998</v>
      </c>
      <c r="I89">
        <v>50</v>
      </c>
      <c r="J89">
        <v>14.946895598999999</v>
      </c>
      <c r="K89">
        <v>2400</v>
      </c>
      <c r="L89">
        <v>0</v>
      </c>
      <c r="M89">
        <v>0</v>
      </c>
      <c r="N89">
        <v>2400</v>
      </c>
    </row>
    <row r="90" spans="1:14" x14ac:dyDescent="0.25">
      <c r="A90">
        <v>3.1532070000000001</v>
      </c>
      <c r="B90" s="1">
        <f>DATE(2010,5,4) + TIME(3,40,37)</f>
        <v>40302.15320601852</v>
      </c>
      <c r="C90">
        <v>2061.5480957</v>
      </c>
      <c r="D90">
        <v>1930.8321533000001</v>
      </c>
      <c r="E90">
        <v>538.05969238</v>
      </c>
      <c r="F90">
        <v>143.11740112000001</v>
      </c>
      <c r="G90">
        <v>80</v>
      </c>
      <c r="H90">
        <v>78.261413574000002</v>
      </c>
      <c r="I90">
        <v>50</v>
      </c>
      <c r="J90">
        <v>14.947183609</v>
      </c>
      <c r="K90">
        <v>2400</v>
      </c>
      <c r="L90">
        <v>0</v>
      </c>
      <c r="M90">
        <v>0</v>
      </c>
      <c r="N90">
        <v>2400</v>
      </c>
    </row>
    <row r="91" spans="1:14" x14ac:dyDescent="0.25">
      <c r="A91">
        <v>3.2469790000000001</v>
      </c>
      <c r="B91" s="1">
        <f>DATE(2010,5,4) + TIME(5,55,38)</f>
        <v>40302.246967592589</v>
      </c>
      <c r="C91">
        <v>2059.6076659999999</v>
      </c>
      <c r="D91">
        <v>1929.1422118999999</v>
      </c>
      <c r="E91">
        <v>538.07775878999996</v>
      </c>
      <c r="F91">
        <v>143.13830565999999</v>
      </c>
      <c r="G91">
        <v>80</v>
      </c>
      <c r="H91">
        <v>78.425804138000004</v>
      </c>
      <c r="I91">
        <v>50</v>
      </c>
      <c r="J91">
        <v>14.947471619</v>
      </c>
      <c r="K91">
        <v>2400</v>
      </c>
      <c r="L91">
        <v>0</v>
      </c>
      <c r="M91">
        <v>0</v>
      </c>
      <c r="N91">
        <v>2400</v>
      </c>
    </row>
    <row r="92" spans="1:14" x14ac:dyDescent="0.25">
      <c r="A92">
        <v>3.3440300000000001</v>
      </c>
      <c r="B92" s="1">
        <f>DATE(2010,5,4) + TIME(8,15,24)</f>
        <v>40302.344027777777</v>
      </c>
      <c r="C92">
        <v>2057.6779784999999</v>
      </c>
      <c r="D92">
        <v>1927.4437256000001</v>
      </c>
      <c r="E92">
        <v>538.09576416000004</v>
      </c>
      <c r="F92">
        <v>143.15921021</v>
      </c>
      <c r="G92">
        <v>80</v>
      </c>
      <c r="H92">
        <v>78.577835082999997</v>
      </c>
      <c r="I92">
        <v>50</v>
      </c>
      <c r="J92">
        <v>14.947760582000001</v>
      </c>
      <c r="K92">
        <v>2400</v>
      </c>
      <c r="L92">
        <v>0</v>
      </c>
      <c r="M92">
        <v>0</v>
      </c>
      <c r="N92">
        <v>2400</v>
      </c>
    </row>
    <row r="93" spans="1:14" x14ac:dyDescent="0.25">
      <c r="A93">
        <v>3.4440300000000001</v>
      </c>
      <c r="B93" s="1">
        <f>DATE(2010,5,4) + TIME(10,39,24)</f>
        <v>40302.444027777776</v>
      </c>
      <c r="C93">
        <v>2055.7585448999998</v>
      </c>
      <c r="D93">
        <v>1925.7357178</v>
      </c>
      <c r="E93">
        <v>538.11383057</v>
      </c>
      <c r="F93">
        <v>143.18009949</v>
      </c>
      <c r="G93">
        <v>80</v>
      </c>
      <c r="H93">
        <v>78.717369079999997</v>
      </c>
      <c r="I93">
        <v>50</v>
      </c>
      <c r="J93">
        <v>14.948048591999999</v>
      </c>
      <c r="K93">
        <v>2400</v>
      </c>
      <c r="L93">
        <v>0</v>
      </c>
      <c r="M93">
        <v>0</v>
      </c>
      <c r="N93">
        <v>2400</v>
      </c>
    </row>
    <row r="94" spans="1:14" x14ac:dyDescent="0.25">
      <c r="A94">
        <v>3.547247</v>
      </c>
      <c r="B94" s="1">
        <f>DATE(2010,5,4) + TIME(13,8,2)</f>
        <v>40302.54724537037</v>
      </c>
      <c r="C94">
        <v>2053.8540039</v>
      </c>
      <c r="D94">
        <v>1924.0244141000001</v>
      </c>
      <c r="E94">
        <v>538.13189696999996</v>
      </c>
      <c r="F94">
        <v>143.20106505999999</v>
      </c>
      <c r="G94">
        <v>80</v>
      </c>
      <c r="H94">
        <v>78.845222473000007</v>
      </c>
      <c r="I94">
        <v>50</v>
      </c>
      <c r="J94">
        <v>14.948336600999999</v>
      </c>
      <c r="K94">
        <v>2400</v>
      </c>
      <c r="L94">
        <v>0</v>
      </c>
      <c r="M94">
        <v>0</v>
      </c>
      <c r="N94">
        <v>2400</v>
      </c>
    </row>
    <row r="95" spans="1:14" x14ac:dyDescent="0.25">
      <c r="A95">
        <v>3.6539519999999999</v>
      </c>
      <c r="B95" s="1">
        <f>DATE(2010,5,4) + TIME(15,41,41)</f>
        <v>40302.653946759259</v>
      </c>
      <c r="C95">
        <v>2051.9599609000002</v>
      </c>
      <c r="D95">
        <v>1922.3066406</v>
      </c>
      <c r="E95">
        <v>538.15014647999999</v>
      </c>
      <c r="F95">
        <v>143.22219849000001</v>
      </c>
      <c r="G95">
        <v>80</v>
      </c>
      <c r="H95">
        <v>78.962135314999998</v>
      </c>
      <c r="I95">
        <v>50</v>
      </c>
      <c r="J95">
        <v>14.948625565</v>
      </c>
      <c r="K95">
        <v>2400</v>
      </c>
      <c r="L95">
        <v>0</v>
      </c>
      <c r="M95">
        <v>0</v>
      </c>
      <c r="N95">
        <v>2400</v>
      </c>
    </row>
    <row r="96" spans="1:14" x14ac:dyDescent="0.25">
      <c r="A96">
        <v>3.7644489999999999</v>
      </c>
      <c r="B96" s="1">
        <f>DATE(2010,5,4) + TIME(18,20,48)</f>
        <v>40302.764444444445</v>
      </c>
      <c r="C96">
        <v>2050.0734862999998</v>
      </c>
      <c r="D96">
        <v>1920.5805664</v>
      </c>
      <c r="E96">
        <v>538.16864013999998</v>
      </c>
      <c r="F96">
        <v>143.24354553000001</v>
      </c>
      <c r="G96">
        <v>80</v>
      </c>
      <c r="H96">
        <v>79.068794249999996</v>
      </c>
      <c r="I96">
        <v>50</v>
      </c>
      <c r="J96">
        <v>14.948915482</v>
      </c>
      <c r="K96">
        <v>2400</v>
      </c>
      <c r="L96">
        <v>0</v>
      </c>
      <c r="M96">
        <v>0</v>
      </c>
      <c r="N96">
        <v>2400</v>
      </c>
    </row>
    <row r="97" spans="1:14" x14ac:dyDescent="0.25">
      <c r="A97">
        <v>3.8790789999999999</v>
      </c>
      <c r="B97" s="1">
        <f>DATE(2010,5,4) + TIME(21,5,52)</f>
        <v>40302.879074074073</v>
      </c>
      <c r="C97">
        <v>2048.1899414</v>
      </c>
      <c r="D97">
        <v>1918.8430175999999</v>
      </c>
      <c r="E97">
        <v>538.18737793000003</v>
      </c>
      <c r="F97">
        <v>143.26519775</v>
      </c>
      <c r="G97">
        <v>80</v>
      </c>
      <c r="H97">
        <v>79.165870666999993</v>
      </c>
      <c r="I97">
        <v>50</v>
      </c>
      <c r="J97">
        <v>14.949207306</v>
      </c>
      <c r="K97">
        <v>2400</v>
      </c>
      <c r="L97">
        <v>0</v>
      </c>
      <c r="M97">
        <v>0</v>
      </c>
      <c r="N97">
        <v>2400</v>
      </c>
    </row>
    <row r="98" spans="1:14" x14ac:dyDescent="0.25">
      <c r="A98">
        <v>3.9982220000000002</v>
      </c>
      <c r="B98" s="1">
        <f>DATE(2010,5,4) + TIME(23,57,26)</f>
        <v>40302.998217592591</v>
      </c>
      <c r="C98">
        <v>2046.3057861</v>
      </c>
      <c r="D98">
        <v>1917.0911865</v>
      </c>
      <c r="E98">
        <v>538.20654296999999</v>
      </c>
      <c r="F98">
        <v>143.2872467</v>
      </c>
      <c r="G98">
        <v>80</v>
      </c>
      <c r="H98">
        <v>79.253974915000001</v>
      </c>
      <c r="I98">
        <v>50</v>
      </c>
      <c r="J98">
        <v>14.949501037999999</v>
      </c>
      <c r="K98">
        <v>2400</v>
      </c>
      <c r="L98">
        <v>0</v>
      </c>
      <c r="M98">
        <v>0</v>
      </c>
      <c r="N98">
        <v>2400</v>
      </c>
    </row>
    <row r="99" spans="1:14" x14ac:dyDescent="0.25">
      <c r="A99">
        <v>4.1223109999999998</v>
      </c>
      <c r="B99" s="1">
        <f>DATE(2010,5,5) + TIME(2,56,7)</f>
        <v>40303.122303240743</v>
      </c>
      <c r="C99">
        <v>2044.4162598</v>
      </c>
      <c r="D99">
        <v>1915.3211670000001</v>
      </c>
      <c r="E99">
        <v>538.22607421999999</v>
      </c>
      <c r="F99">
        <v>143.30976867999999</v>
      </c>
      <c r="G99">
        <v>80</v>
      </c>
      <c r="H99">
        <v>79.333717346</v>
      </c>
      <c r="I99">
        <v>50</v>
      </c>
      <c r="J99">
        <v>14.949797630000001</v>
      </c>
      <c r="K99">
        <v>2400</v>
      </c>
      <c r="L99">
        <v>0</v>
      </c>
      <c r="M99">
        <v>0</v>
      </c>
      <c r="N99">
        <v>2400</v>
      </c>
    </row>
    <row r="100" spans="1:14" x14ac:dyDescent="0.25">
      <c r="A100">
        <v>4.2515179999999999</v>
      </c>
      <c r="B100" s="1">
        <f>DATE(2010,5,5) + TIME(6,2,11)</f>
        <v>40303.251516203702</v>
      </c>
      <c r="C100">
        <v>2042.5180664</v>
      </c>
      <c r="D100">
        <v>1913.5306396000001</v>
      </c>
      <c r="E100">
        <v>538.24615478999999</v>
      </c>
      <c r="F100">
        <v>143.33279418999999</v>
      </c>
      <c r="G100">
        <v>80</v>
      </c>
      <c r="H100">
        <v>79.405502318999993</v>
      </c>
      <c r="I100">
        <v>50</v>
      </c>
      <c r="J100">
        <v>14.950098038</v>
      </c>
      <c r="K100">
        <v>2400</v>
      </c>
      <c r="L100">
        <v>0</v>
      </c>
      <c r="M100">
        <v>0</v>
      </c>
      <c r="N100">
        <v>2400</v>
      </c>
    </row>
    <row r="101" spans="1:14" x14ac:dyDescent="0.25">
      <c r="A101">
        <v>4.3831319999999998</v>
      </c>
      <c r="B101" s="1">
        <f>DATE(2010,5,5) + TIME(9,11,42)</f>
        <v>40303.383125</v>
      </c>
      <c r="C101">
        <v>2040.6149902</v>
      </c>
      <c r="D101">
        <v>1911.7220459</v>
      </c>
      <c r="E101">
        <v>538.26647949000005</v>
      </c>
      <c r="F101">
        <v>143.35604857999999</v>
      </c>
      <c r="G101">
        <v>80</v>
      </c>
      <c r="H101">
        <v>79.468582153</v>
      </c>
      <c r="I101">
        <v>50</v>
      </c>
      <c r="J101">
        <v>14.95039463</v>
      </c>
      <c r="K101">
        <v>2400</v>
      </c>
      <c r="L101">
        <v>0</v>
      </c>
      <c r="M101">
        <v>0</v>
      </c>
      <c r="N101">
        <v>2400</v>
      </c>
    </row>
    <row r="102" spans="1:14" x14ac:dyDescent="0.25">
      <c r="A102">
        <v>4.5150940000000004</v>
      </c>
      <c r="B102" s="1">
        <f>DATE(2010,5,5) + TIME(12,21,44)</f>
        <v>40303.515092592592</v>
      </c>
      <c r="C102">
        <v>2038.7432861</v>
      </c>
      <c r="D102">
        <v>1909.9321289</v>
      </c>
      <c r="E102">
        <v>538.28680420000001</v>
      </c>
      <c r="F102">
        <v>143.37925720000001</v>
      </c>
      <c r="G102">
        <v>80</v>
      </c>
      <c r="H102">
        <v>79.523139954000001</v>
      </c>
      <c r="I102">
        <v>50</v>
      </c>
      <c r="J102">
        <v>14.950684547</v>
      </c>
      <c r="K102">
        <v>2400</v>
      </c>
      <c r="L102">
        <v>0</v>
      </c>
      <c r="M102">
        <v>0</v>
      </c>
      <c r="N102">
        <v>2400</v>
      </c>
    </row>
    <row r="103" spans="1:14" x14ac:dyDescent="0.25">
      <c r="A103">
        <v>4.6476499999999996</v>
      </c>
      <c r="B103" s="1">
        <f>DATE(2010,5,5) + TIME(15,32,36)</f>
        <v>40303.647638888891</v>
      </c>
      <c r="C103">
        <v>2036.9260254000001</v>
      </c>
      <c r="D103">
        <v>1908.1859131000001</v>
      </c>
      <c r="E103">
        <v>538.30706786999997</v>
      </c>
      <c r="F103">
        <v>143.40237427</v>
      </c>
      <c r="G103">
        <v>80</v>
      </c>
      <c r="H103">
        <v>79.570419311999999</v>
      </c>
      <c r="I103">
        <v>50</v>
      </c>
      <c r="J103">
        <v>14.950968742000001</v>
      </c>
      <c r="K103">
        <v>2400</v>
      </c>
      <c r="L103">
        <v>0</v>
      </c>
      <c r="M103">
        <v>0</v>
      </c>
      <c r="N103">
        <v>2400</v>
      </c>
    </row>
    <row r="104" spans="1:14" x14ac:dyDescent="0.25">
      <c r="A104">
        <v>4.7806699999999998</v>
      </c>
      <c r="B104" s="1">
        <f>DATE(2010,5,5) + TIME(18,44,9)</f>
        <v>40303.780659722222</v>
      </c>
      <c r="C104">
        <v>2035.1575928</v>
      </c>
      <c r="D104">
        <v>1906.4790039</v>
      </c>
      <c r="E104">
        <v>538.32733154000005</v>
      </c>
      <c r="F104">
        <v>143.42536926</v>
      </c>
      <c r="G104">
        <v>80</v>
      </c>
      <c r="H104">
        <v>79.611343383999994</v>
      </c>
      <c r="I104">
        <v>50</v>
      </c>
      <c r="J104">
        <v>14.951247215</v>
      </c>
      <c r="K104">
        <v>2400</v>
      </c>
      <c r="L104">
        <v>0</v>
      </c>
      <c r="M104">
        <v>0</v>
      </c>
      <c r="N104">
        <v>2400</v>
      </c>
    </row>
    <row r="105" spans="1:14" x14ac:dyDescent="0.25">
      <c r="A105">
        <v>4.9142859999999997</v>
      </c>
      <c r="B105" s="1">
        <f>DATE(2010,5,5) + TIME(21,56,34)</f>
        <v>40303.914282407408</v>
      </c>
      <c r="C105">
        <v>2033.4362793</v>
      </c>
      <c r="D105">
        <v>1904.8112793</v>
      </c>
      <c r="E105">
        <v>538.34747314000003</v>
      </c>
      <c r="F105">
        <v>143.44824219</v>
      </c>
      <c r="G105">
        <v>80</v>
      </c>
      <c r="H105">
        <v>79.646804810000006</v>
      </c>
      <c r="I105">
        <v>50</v>
      </c>
      <c r="J105">
        <v>14.95152092</v>
      </c>
      <c r="K105">
        <v>2400</v>
      </c>
      <c r="L105">
        <v>0</v>
      </c>
      <c r="M105">
        <v>0</v>
      </c>
      <c r="N105">
        <v>2400</v>
      </c>
    </row>
    <row r="106" spans="1:14" x14ac:dyDescent="0.25">
      <c r="A106">
        <v>5.0486890000000004</v>
      </c>
      <c r="B106" s="1">
        <f>DATE(2010,5,6) + TIME(1,10,6)</f>
        <v>40304.048680555556</v>
      </c>
      <c r="C106">
        <v>2031.7573242000001</v>
      </c>
      <c r="D106">
        <v>1903.1789550999999</v>
      </c>
      <c r="E106">
        <v>538.36761475000003</v>
      </c>
      <c r="F106">
        <v>143.47100829999999</v>
      </c>
      <c r="G106">
        <v>80</v>
      </c>
      <c r="H106">
        <v>79.677574157999999</v>
      </c>
      <c r="I106">
        <v>50</v>
      </c>
      <c r="J106">
        <v>14.951789856</v>
      </c>
      <c r="K106">
        <v>2400</v>
      </c>
      <c r="L106">
        <v>0</v>
      </c>
      <c r="M106">
        <v>0</v>
      </c>
      <c r="N106">
        <v>2400</v>
      </c>
    </row>
    <row r="107" spans="1:14" x14ac:dyDescent="0.25">
      <c r="A107">
        <v>5.1840400000000004</v>
      </c>
      <c r="B107" s="1">
        <f>DATE(2010,5,6) + TIME(4,25,1)</f>
        <v>40304.184039351851</v>
      </c>
      <c r="C107">
        <v>2030.1158447</v>
      </c>
      <c r="D107">
        <v>1901.578125</v>
      </c>
      <c r="E107">
        <v>538.38769531000003</v>
      </c>
      <c r="F107">
        <v>143.49371338</v>
      </c>
      <c r="G107">
        <v>80</v>
      </c>
      <c r="H107">
        <v>79.704292296999995</v>
      </c>
      <c r="I107">
        <v>50</v>
      </c>
      <c r="J107">
        <v>14.952054024000001</v>
      </c>
      <c r="K107">
        <v>2400</v>
      </c>
      <c r="L107">
        <v>0</v>
      </c>
      <c r="M107">
        <v>0</v>
      </c>
      <c r="N107">
        <v>2400</v>
      </c>
    </row>
    <row r="108" spans="1:14" x14ac:dyDescent="0.25">
      <c r="A108">
        <v>5.3205429999999998</v>
      </c>
      <c r="B108" s="1">
        <f>DATE(2010,5,6) + TIME(7,41,34)</f>
        <v>40304.320532407408</v>
      </c>
      <c r="C108">
        <v>2028.5076904</v>
      </c>
      <c r="D108">
        <v>1900.0054932</v>
      </c>
      <c r="E108">
        <v>538.40783691000001</v>
      </c>
      <c r="F108">
        <v>143.51638793999999</v>
      </c>
      <c r="G108">
        <v>80</v>
      </c>
      <c r="H108">
        <v>79.727508545000006</v>
      </c>
      <c r="I108">
        <v>50</v>
      </c>
      <c r="J108">
        <v>14.952314377</v>
      </c>
      <c r="K108">
        <v>2400</v>
      </c>
      <c r="L108">
        <v>0</v>
      </c>
      <c r="M108">
        <v>0</v>
      </c>
      <c r="N108">
        <v>2400</v>
      </c>
    </row>
    <row r="109" spans="1:14" x14ac:dyDescent="0.25">
      <c r="A109">
        <v>5.4583870000000001</v>
      </c>
      <c r="B109" s="1">
        <f>DATE(2010,5,6) + TIME(11,0,4)</f>
        <v>40304.458379629628</v>
      </c>
      <c r="C109">
        <v>2026.9290771000001</v>
      </c>
      <c r="D109">
        <v>1898.4580077999999</v>
      </c>
      <c r="E109">
        <v>538.42791748000002</v>
      </c>
      <c r="F109">
        <v>143.53907776</v>
      </c>
      <c r="G109">
        <v>80</v>
      </c>
      <c r="H109">
        <v>79.747711182000003</v>
      </c>
      <c r="I109">
        <v>50</v>
      </c>
      <c r="J109">
        <v>14.952571869</v>
      </c>
      <c r="K109">
        <v>2400</v>
      </c>
      <c r="L109">
        <v>0</v>
      </c>
      <c r="M109">
        <v>0</v>
      </c>
      <c r="N109">
        <v>2400</v>
      </c>
    </row>
    <row r="110" spans="1:14" x14ac:dyDescent="0.25">
      <c r="A110">
        <v>5.5977569999999996</v>
      </c>
      <c r="B110" s="1">
        <f>DATE(2010,5,6) + TIME(14,20,46)</f>
        <v>40304.597754629627</v>
      </c>
      <c r="C110">
        <v>2025.3762207</v>
      </c>
      <c r="D110">
        <v>1896.9324951000001</v>
      </c>
      <c r="E110">
        <v>538.44818114999998</v>
      </c>
      <c r="F110">
        <v>143.5617981</v>
      </c>
      <c r="G110">
        <v>80</v>
      </c>
      <c r="H110">
        <v>79.765296935999999</v>
      </c>
      <c r="I110">
        <v>50</v>
      </c>
      <c r="J110">
        <v>14.952825546</v>
      </c>
      <c r="K110">
        <v>2400</v>
      </c>
      <c r="L110">
        <v>0</v>
      </c>
      <c r="M110">
        <v>0</v>
      </c>
      <c r="N110">
        <v>2400</v>
      </c>
    </row>
    <row r="111" spans="1:14" x14ac:dyDescent="0.25">
      <c r="A111">
        <v>5.7388440000000003</v>
      </c>
      <c r="B111" s="1">
        <f>DATE(2010,5,6) + TIME(17,43,56)</f>
        <v>40304.738842592589</v>
      </c>
      <c r="C111">
        <v>2023.8459473</v>
      </c>
      <c r="D111">
        <v>1895.4262695</v>
      </c>
      <c r="E111">
        <v>538.46850586000005</v>
      </c>
      <c r="F111">
        <v>143.58462524000001</v>
      </c>
      <c r="G111">
        <v>80</v>
      </c>
      <c r="H111">
        <v>79.780609131000006</v>
      </c>
      <c r="I111">
        <v>50</v>
      </c>
      <c r="J111">
        <v>14.953077316</v>
      </c>
      <c r="K111">
        <v>2400</v>
      </c>
      <c r="L111">
        <v>0</v>
      </c>
      <c r="M111">
        <v>0</v>
      </c>
      <c r="N111">
        <v>2400</v>
      </c>
    </row>
    <row r="112" spans="1:14" x14ac:dyDescent="0.25">
      <c r="A112">
        <v>5.8818450000000002</v>
      </c>
      <c r="B112" s="1">
        <f>DATE(2010,5,6) + TIME(21,9,51)</f>
        <v>40304.881840277776</v>
      </c>
      <c r="C112">
        <v>2022.3349608999999</v>
      </c>
      <c r="D112">
        <v>1893.9365233999999</v>
      </c>
      <c r="E112">
        <v>538.48895263999998</v>
      </c>
      <c r="F112">
        <v>143.6075592</v>
      </c>
      <c r="G112">
        <v>80</v>
      </c>
      <c r="H112">
        <v>79.793960571</v>
      </c>
      <c r="I112">
        <v>50</v>
      </c>
      <c r="J112">
        <v>14.953327179</v>
      </c>
      <c r="K112">
        <v>2400</v>
      </c>
      <c r="L112">
        <v>0</v>
      </c>
      <c r="M112">
        <v>0</v>
      </c>
      <c r="N112">
        <v>2400</v>
      </c>
    </row>
    <row r="113" spans="1:14" x14ac:dyDescent="0.25">
      <c r="A113">
        <v>6.0269620000000002</v>
      </c>
      <c r="B113" s="1">
        <f>DATE(2010,5,7) + TIME(0,38,49)</f>
        <v>40305.026956018519</v>
      </c>
      <c r="C113">
        <v>2020.8409423999999</v>
      </c>
      <c r="D113">
        <v>1892.4613036999999</v>
      </c>
      <c r="E113">
        <v>538.50964354999996</v>
      </c>
      <c r="F113">
        <v>143.63066101000001</v>
      </c>
      <c r="G113">
        <v>80</v>
      </c>
      <c r="H113">
        <v>79.805595397999994</v>
      </c>
      <c r="I113">
        <v>50</v>
      </c>
      <c r="J113">
        <v>14.953575133999999</v>
      </c>
      <c r="K113">
        <v>2400</v>
      </c>
      <c r="L113">
        <v>0</v>
      </c>
      <c r="M113">
        <v>0</v>
      </c>
      <c r="N113">
        <v>2400</v>
      </c>
    </row>
    <row r="114" spans="1:14" x14ac:dyDescent="0.25">
      <c r="A114">
        <v>6.1744079999999997</v>
      </c>
      <c r="B114" s="1">
        <f>DATE(2010,5,7) + TIME(4,11,8)</f>
        <v>40305.174398148149</v>
      </c>
      <c r="C114">
        <v>2019.3610839999999</v>
      </c>
      <c r="D114">
        <v>1890.9981689000001</v>
      </c>
      <c r="E114">
        <v>538.53051758000004</v>
      </c>
      <c r="F114">
        <v>143.65396118000001</v>
      </c>
      <c r="G114">
        <v>80</v>
      </c>
      <c r="H114">
        <v>79.815750121999997</v>
      </c>
      <c r="I114">
        <v>50</v>
      </c>
      <c r="J114">
        <v>14.953821182</v>
      </c>
      <c r="K114">
        <v>2400</v>
      </c>
      <c r="L114">
        <v>0</v>
      </c>
      <c r="M114">
        <v>0</v>
      </c>
      <c r="N114">
        <v>2400</v>
      </c>
    </row>
    <row r="115" spans="1:14" x14ac:dyDescent="0.25">
      <c r="A115">
        <v>6.324408</v>
      </c>
      <c r="B115" s="1">
        <f>DATE(2010,5,7) + TIME(7,47,8)</f>
        <v>40305.32439814815</v>
      </c>
      <c r="C115">
        <v>2017.8927002</v>
      </c>
      <c r="D115">
        <v>1889.5446777</v>
      </c>
      <c r="E115">
        <v>538.55163574000005</v>
      </c>
      <c r="F115">
        <v>143.67749022999999</v>
      </c>
      <c r="G115">
        <v>80</v>
      </c>
      <c r="H115">
        <v>79.824607849000003</v>
      </c>
      <c r="I115">
        <v>50</v>
      </c>
      <c r="J115">
        <v>14.954066277000001</v>
      </c>
      <c r="K115">
        <v>2400</v>
      </c>
      <c r="L115">
        <v>0</v>
      </c>
      <c r="M115">
        <v>0</v>
      </c>
      <c r="N115">
        <v>2400</v>
      </c>
    </row>
    <row r="116" spans="1:14" x14ac:dyDescent="0.25">
      <c r="A116">
        <v>6.4771989999999997</v>
      </c>
      <c r="B116" s="1">
        <f>DATE(2010,5,7) + TIME(11,27,9)</f>
        <v>40305.477187500001</v>
      </c>
      <c r="C116">
        <v>2016.4337158000001</v>
      </c>
      <c r="D116">
        <v>1888.098999</v>
      </c>
      <c r="E116">
        <v>538.57305908000001</v>
      </c>
      <c r="F116">
        <v>143.7013092</v>
      </c>
      <c r="G116">
        <v>80</v>
      </c>
      <c r="H116">
        <v>79.832344054999993</v>
      </c>
      <c r="I116">
        <v>50</v>
      </c>
      <c r="J116">
        <v>14.954310417</v>
      </c>
      <c r="K116">
        <v>2400</v>
      </c>
      <c r="L116">
        <v>0</v>
      </c>
      <c r="M116">
        <v>0</v>
      </c>
      <c r="N116">
        <v>2400</v>
      </c>
    </row>
    <row r="117" spans="1:14" x14ac:dyDescent="0.25">
      <c r="A117">
        <v>6.6330900000000002</v>
      </c>
      <c r="B117" s="1">
        <f>DATE(2010,5,7) + TIME(15,11,38)</f>
        <v>40305.6330787037</v>
      </c>
      <c r="C117">
        <v>2014.9818115</v>
      </c>
      <c r="D117">
        <v>1886.6589355000001</v>
      </c>
      <c r="E117">
        <v>538.59478760000002</v>
      </c>
      <c r="F117">
        <v>143.72543335</v>
      </c>
      <c r="G117">
        <v>80</v>
      </c>
      <c r="H117">
        <v>79.839103699000006</v>
      </c>
      <c r="I117">
        <v>50</v>
      </c>
      <c r="J117">
        <v>14.954554558</v>
      </c>
      <c r="K117">
        <v>2400</v>
      </c>
      <c r="L117">
        <v>0</v>
      </c>
      <c r="M117">
        <v>0</v>
      </c>
      <c r="N117">
        <v>2400</v>
      </c>
    </row>
    <row r="118" spans="1:14" x14ac:dyDescent="0.25">
      <c r="A118">
        <v>6.7923239999999998</v>
      </c>
      <c r="B118" s="1">
        <f>DATE(2010,5,7) + TIME(19,0,56)</f>
        <v>40305.792314814818</v>
      </c>
      <c r="C118">
        <v>2013.5343018000001</v>
      </c>
      <c r="D118">
        <v>1885.222168</v>
      </c>
      <c r="E118">
        <v>538.61688231999995</v>
      </c>
      <c r="F118">
        <v>143.74990844999999</v>
      </c>
      <c r="G118">
        <v>80</v>
      </c>
      <c r="H118">
        <v>79.845016478999995</v>
      </c>
      <c r="I118">
        <v>50</v>
      </c>
      <c r="J118">
        <v>14.954798697999999</v>
      </c>
      <c r="K118">
        <v>2400</v>
      </c>
      <c r="L118">
        <v>0</v>
      </c>
      <c r="M118">
        <v>0</v>
      </c>
      <c r="N118">
        <v>2400</v>
      </c>
    </row>
    <row r="119" spans="1:14" x14ac:dyDescent="0.25">
      <c r="A119">
        <v>6.9551809999999996</v>
      </c>
      <c r="B119" s="1">
        <f>DATE(2010,5,7) + TIME(22,55,27)</f>
        <v>40305.95517361111</v>
      </c>
      <c r="C119">
        <v>2012.0892334</v>
      </c>
      <c r="D119">
        <v>1883.7869873</v>
      </c>
      <c r="E119">
        <v>538.63934326000003</v>
      </c>
      <c r="F119">
        <v>143.77479553000001</v>
      </c>
      <c r="G119">
        <v>80</v>
      </c>
      <c r="H119">
        <v>79.850181579999997</v>
      </c>
      <c r="I119">
        <v>50</v>
      </c>
      <c r="J119">
        <v>14.955041885</v>
      </c>
      <c r="K119">
        <v>2400</v>
      </c>
      <c r="L119">
        <v>0</v>
      </c>
      <c r="M119">
        <v>0</v>
      </c>
      <c r="N119">
        <v>2400</v>
      </c>
    </row>
    <row r="120" spans="1:14" x14ac:dyDescent="0.25">
      <c r="A120">
        <v>7.1219840000000003</v>
      </c>
      <c r="B120" s="1">
        <f>DATE(2010,5,8) + TIME(2,55,39)</f>
        <v>40306.121979166666</v>
      </c>
      <c r="C120">
        <v>2010.6445312000001</v>
      </c>
      <c r="D120">
        <v>1882.3513184000001</v>
      </c>
      <c r="E120">
        <v>538.66229248000002</v>
      </c>
      <c r="F120">
        <v>143.80010985999999</v>
      </c>
      <c r="G120">
        <v>80</v>
      </c>
      <c r="H120">
        <v>79.854705811000002</v>
      </c>
      <c r="I120">
        <v>50</v>
      </c>
      <c r="J120">
        <v>14.95528698</v>
      </c>
      <c r="K120">
        <v>2400</v>
      </c>
      <c r="L120">
        <v>0</v>
      </c>
      <c r="M120">
        <v>0</v>
      </c>
      <c r="N120">
        <v>2400</v>
      </c>
    </row>
    <row r="121" spans="1:14" x14ac:dyDescent="0.25">
      <c r="A121">
        <v>7.2930830000000002</v>
      </c>
      <c r="B121" s="1">
        <f>DATE(2010,5,8) + TIME(7,2,2)</f>
        <v>40306.293078703704</v>
      </c>
      <c r="C121">
        <v>2009.1983643000001</v>
      </c>
      <c r="D121">
        <v>1880.9133300999999</v>
      </c>
      <c r="E121">
        <v>538.68566895000004</v>
      </c>
      <c r="F121">
        <v>143.82591248</v>
      </c>
      <c r="G121">
        <v>80</v>
      </c>
      <c r="H121">
        <v>79.858673096000004</v>
      </c>
      <c r="I121">
        <v>50</v>
      </c>
      <c r="J121">
        <v>14.955532074000001</v>
      </c>
      <c r="K121">
        <v>2400</v>
      </c>
      <c r="L121">
        <v>0</v>
      </c>
      <c r="M121">
        <v>0</v>
      </c>
      <c r="N121">
        <v>2400</v>
      </c>
    </row>
    <row r="122" spans="1:14" x14ac:dyDescent="0.25">
      <c r="A122">
        <v>7.4688660000000002</v>
      </c>
      <c r="B122" s="1">
        <f>DATE(2010,5,8) + TIME(11,15,10)</f>
        <v>40306.468865740739</v>
      </c>
      <c r="C122">
        <v>2007.7484131000001</v>
      </c>
      <c r="D122">
        <v>1879.4710693</v>
      </c>
      <c r="E122">
        <v>538.70959473000005</v>
      </c>
      <c r="F122">
        <v>143.85224915000001</v>
      </c>
      <c r="G122">
        <v>80</v>
      </c>
      <c r="H122">
        <v>79.862144470000004</v>
      </c>
      <c r="I122">
        <v>50</v>
      </c>
      <c r="J122">
        <v>14.955778122</v>
      </c>
      <c r="K122">
        <v>2400</v>
      </c>
      <c r="L122">
        <v>0</v>
      </c>
      <c r="M122">
        <v>0</v>
      </c>
      <c r="N122">
        <v>2400</v>
      </c>
    </row>
    <row r="123" spans="1:14" x14ac:dyDescent="0.25">
      <c r="A123">
        <v>7.6497529999999996</v>
      </c>
      <c r="B123" s="1">
        <f>DATE(2010,5,8) + TIME(15,35,38)</f>
        <v>40306.649745370371</v>
      </c>
      <c r="C123">
        <v>2006.2921143000001</v>
      </c>
      <c r="D123">
        <v>1878.0219727000001</v>
      </c>
      <c r="E123">
        <v>538.73413086000005</v>
      </c>
      <c r="F123">
        <v>143.87921143</v>
      </c>
      <c r="G123">
        <v>80</v>
      </c>
      <c r="H123">
        <v>79.865203856999997</v>
      </c>
      <c r="I123">
        <v>50</v>
      </c>
      <c r="J123">
        <v>14.956026077000001</v>
      </c>
      <c r="K123">
        <v>2400</v>
      </c>
      <c r="L123">
        <v>0</v>
      </c>
      <c r="M123">
        <v>0</v>
      </c>
      <c r="N123">
        <v>2400</v>
      </c>
    </row>
    <row r="124" spans="1:14" x14ac:dyDescent="0.25">
      <c r="A124">
        <v>7.8361320000000001</v>
      </c>
      <c r="B124" s="1">
        <f>DATE(2010,5,8) + TIME(20,4,1)</f>
        <v>40306.836122685185</v>
      </c>
      <c r="C124">
        <v>2004.8275146000001</v>
      </c>
      <c r="D124">
        <v>1876.5642089999999</v>
      </c>
      <c r="E124">
        <v>538.75933838000003</v>
      </c>
      <c r="F124">
        <v>143.90681458</v>
      </c>
      <c r="G124">
        <v>80</v>
      </c>
      <c r="H124">
        <v>79.867889403999996</v>
      </c>
      <c r="I124">
        <v>50</v>
      </c>
      <c r="J124">
        <v>14.956275939999999</v>
      </c>
      <c r="K124">
        <v>2400</v>
      </c>
      <c r="L124">
        <v>0</v>
      </c>
      <c r="M124">
        <v>0</v>
      </c>
      <c r="N124">
        <v>2400</v>
      </c>
    </row>
    <row r="125" spans="1:14" x14ac:dyDescent="0.25">
      <c r="A125">
        <v>8.0283929999999994</v>
      </c>
      <c r="B125" s="1">
        <f>DATE(2010,5,9) + TIME(0,40,53)</f>
        <v>40307.028391203705</v>
      </c>
      <c r="C125">
        <v>2003.3526611</v>
      </c>
      <c r="D125">
        <v>1875.0957031</v>
      </c>
      <c r="E125">
        <v>538.78521728999999</v>
      </c>
      <c r="F125">
        <v>143.93513489</v>
      </c>
      <c r="G125">
        <v>80</v>
      </c>
      <c r="H125">
        <v>79.870254517000006</v>
      </c>
      <c r="I125">
        <v>50</v>
      </c>
      <c r="J125">
        <v>14.95652771</v>
      </c>
      <c r="K125">
        <v>2400</v>
      </c>
      <c r="L125">
        <v>0</v>
      </c>
      <c r="M125">
        <v>0</v>
      </c>
      <c r="N125">
        <v>2400</v>
      </c>
    </row>
    <row r="126" spans="1:14" x14ac:dyDescent="0.25">
      <c r="A126">
        <v>8.2269039999999993</v>
      </c>
      <c r="B126" s="1">
        <f>DATE(2010,5,9) + TIME(5,26,44)</f>
        <v>40307.226898148147</v>
      </c>
      <c r="C126">
        <v>2001.8658447</v>
      </c>
      <c r="D126">
        <v>1873.6151123</v>
      </c>
      <c r="E126">
        <v>538.81182861000002</v>
      </c>
      <c r="F126">
        <v>143.96421814000001</v>
      </c>
      <c r="G126">
        <v>80</v>
      </c>
      <c r="H126">
        <v>79.872337341000005</v>
      </c>
      <c r="I126">
        <v>50</v>
      </c>
      <c r="J126">
        <v>14.956782341</v>
      </c>
      <c r="K126">
        <v>2400</v>
      </c>
      <c r="L126">
        <v>0</v>
      </c>
      <c r="M126">
        <v>0</v>
      </c>
      <c r="N126">
        <v>2400</v>
      </c>
    </row>
    <row r="127" spans="1:14" x14ac:dyDescent="0.25">
      <c r="A127">
        <v>8.4315270000000009</v>
      </c>
      <c r="B127" s="1">
        <f>DATE(2010,5,9) + TIME(10,21,23)</f>
        <v>40307.431516203702</v>
      </c>
      <c r="C127">
        <v>2000.3658447</v>
      </c>
      <c r="D127">
        <v>1872.1210937999999</v>
      </c>
      <c r="E127">
        <v>538.83917236000002</v>
      </c>
      <c r="F127">
        <v>143.99407959000001</v>
      </c>
      <c r="G127">
        <v>80</v>
      </c>
      <c r="H127">
        <v>79.874176024999997</v>
      </c>
      <c r="I127">
        <v>50</v>
      </c>
      <c r="J127">
        <v>14.957037926</v>
      </c>
      <c r="K127">
        <v>2400</v>
      </c>
      <c r="L127">
        <v>0</v>
      </c>
      <c r="M127">
        <v>0</v>
      </c>
      <c r="N127">
        <v>2400</v>
      </c>
    </row>
    <row r="128" spans="1:14" x14ac:dyDescent="0.25">
      <c r="A128">
        <v>8.5368340000000007</v>
      </c>
      <c r="B128" s="1">
        <f>DATE(2010,5,9) + TIME(12,53,2)</f>
        <v>40307.536828703705</v>
      </c>
      <c r="C128">
        <v>1998.9082031</v>
      </c>
      <c r="D128">
        <v>1870.6661377</v>
      </c>
      <c r="E128">
        <v>538.85809326000003</v>
      </c>
      <c r="F128">
        <v>144.01434326</v>
      </c>
      <c r="G128">
        <v>80</v>
      </c>
      <c r="H128">
        <v>79.874961853000002</v>
      </c>
      <c r="I128">
        <v>50</v>
      </c>
      <c r="J128">
        <v>14.957180977</v>
      </c>
      <c r="K128">
        <v>2400</v>
      </c>
      <c r="L128">
        <v>0</v>
      </c>
      <c r="M128">
        <v>0</v>
      </c>
      <c r="N128">
        <v>2400</v>
      </c>
    </row>
    <row r="129" spans="1:14" x14ac:dyDescent="0.25">
      <c r="A129">
        <v>8.6421419999999998</v>
      </c>
      <c r="B129" s="1">
        <f>DATE(2010,5,9) + TIME(15,24,41)</f>
        <v>40307.642141203702</v>
      </c>
      <c r="C129">
        <v>1998.0964355000001</v>
      </c>
      <c r="D129">
        <v>1869.8575439000001</v>
      </c>
      <c r="E129">
        <v>538.87585449000005</v>
      </c>
      <c r="F129">
        <v>144.03341674999999</v>
      </c>
      <c r="G129">
        <v>80</v>
      </c>
      <c r="H129">
        <v>79.875762938999998</v>
      </c>
      <c r="I129">
        <v>50</v>
      </c>
      <c r="J129">
        <v>14.957321167</v>
      </c>
      <c r="K129">
        <v>2400</v>
      </c>
      <c r="L129">
        <v>0</v>
      </c>
      <c r="M129">
        <v>0</v>
      </c>
      <c r="N129">
        <v>2400</v>
      </c>
    </row>
    <row r="130" spans="1:14" x14ac:dyDescent="0.25">
      <c r="A130">
        <v>8.7474489999999996</v>
      </c>
      <c r="B130" s="1">
        <f>DATE(2010,5,9) + TIME(17,56,19)</f>
        <v>40307.747442129628</v>
      </c>
      <c r="C130">
        <v>1997.3306885</v>
      </c>
      <c r="D130">
        <v>1869.0947266000001</v>
      </c>
      <c r="E130">
        <v>538.89221191000001</v>
      </c>
      <c r="F130">
        <v>144.05108643</v>
      </c>
      <c r="G130">
        <v>80</v>
      </c>
      <c r="H130">
        <v>79.876510620000005</v>
      </c>
      <c r="I130">
        <v>50</v>
      </c>
      <c r="J130">
        <v>14.95745945</v>
      </c>
      <c r="K130">
        <v>2400</v>
      </c>
      <c r="L130">
        <v>0</v>
      </c>
      <c r="M130">
        <v>0</v>
      </c>
      <c r="N130">
        <v>2400</v>
      </c>
    </row>
    <row r="131" spans="1:14" x14ac:dyDescent="0.25">
      <c r="A131">
        <v>8.8527559999999994</v>
      </c>
      <c r="B131" s="1">
        <f>DATE(2010,5,9) + TIME(20,27,58)</f>
        <v>40307.852754629632</v>
      </c>
      <c r="C131">
        <v>1996.5800781</v>
      </c>
      <c r="D131">
        <v>1868.3470459</v>
      </c>
      <c r="E131">
        <v>538.90753173999997</v>
      </c>
      <c r="F131">
        <v>144.06771850999999</v>
      </c>
      <c r="G131">
        <v>80</v>
      </c>
      <c r="H131">
        <v>79.877204895000006</v>
      </c>
      <c r="I131">
        <v>50</v>
      </c>
      <c r="J131">
        <v>14.957594872</v>
      </c>
      <c r="K131">
        <v>2400</v>
      </c>
      <c r="L131">
        <v>0</v>
      </c>
      <c r="M131">
        <v>0</v>
      </c>
      <c r="N131">
        <v>2400</v>
      </c>
    </row>
    <row r="132" spans="1:14" x14ac:dyDescent="0.25">
      <c r="A132">
        <v>8.9580629999999992</v>
      </c>
      <c r="B132" s="1">
        <f>DATE(2010,5,9) + TIME(22,59,36)</f>
        <v>40307.958055555559</v>
      </c>
      <c r="C132">
        <v>1995.8400879000001</v>
      </c>
      <c r="D132">
        <v>1867.6097411999999</v>
      </c>
      <c r="E132">
        <v>538.92224121000004</v>
      </c>
      <c r="F132">
        <v>144.08372498</v>
      </c>
      <c r="G132">
        <v>80</v>
      </c>
      <c r="H132">
        <v>79.877845764</v>
      </c>
      <c r="I132">
        <v>50</v>
      </c>
      <c r="J132">
        <v>14.957727432</v>
      </c>
      <c r="K132">
        <v>2400</v>
      </c>
      <c r="L132">
        <v>0</v>
      </c>
      <c r="M132">
        <v>0</v>
      </c>
      <c r="N132">
        <v>2400</v>
      </c>
    </row>
    <row r="133" spans="1:14" x14ac:dyDescent="0.25">
      <c r="A133">
        <v>9.1686770000000006</v>
      </c>
      <c r="B133" s="1">
        <f>DATE(2010,5,10) + TIME(4,2,53)</f>
        <v>40308.168668981481</v>
      </c>
      <c r="C133">
        <v>1995.0836182</v>
      </c>
      <c r="D133">
        <v>1866.8583983999999</v>
      </c>
      <c r="E133">
        <v>538.94329833999996</v>
      </c>
      <c r="F133">
        <v>144.10714722</v>
      </c>
      <c r="G133">
        <v>80</v>
      </c>
      <c r="H133">
        <v>79.879035950000002</v>
      </c>
      <c r="I133">
        <v>50</v>
      </c>
      <c r="J133">
        <v>14.957963942999999</v>
      </c>
      <c r="K133">
        <v>2400</v>
      </c>
      <c r="L133">
        <v>0</v>
      </c>
      <c r="M133">
        <v>0</v>
      </c>
      <c r="N133">
        <v>2400</v>
      </c>
    </row>
    <row r="134" spans="1:14" x14ac:dyDescent="0.25">
      <c r="A134">
        <v>9.3794789999999999</v>
      </c>
      <c r="B134" s="1">
        <f>DATE(2010,5,10) + TIME(9,6,27)</f>
        <v>40308.379479166666</v>
      </c>
      <c r="C134">
        <v>1993.6811522999999</v>
      </c>
      <c r="D134">
        <v>1865.4609375</v>
      </c>
      <c r="E134">
        <v>538.96820068</v>
      </c>
      <c r="F134">
        <v>144.13432312</v>
      </c>
      <c r="G134">
        <v>80</v>
      </c>
      <c r="H134">
        <v>79.879997252999999</v>
      </c>
      <c r="I134">
        <v>50</v>
      </c>
      <c r="J134">
        <v>14.958197594</v>
      </c>
      <c r="K134">
        <v>2400</v>
      </c>
      <c r="L134">
        <v>0</v>
      </c>
      <c r="M134">
        <v>0</v>
      </c>
      <c r="N134">
        <v>2400</v>
      </c>
    </row>
    <row r="135" spans="1:14" x14ac:dyDescent="0.25">
      <c r="A135">
        <v>9.5910709999999995</v>
      </c>
      <c r="B135" s="1">
        <f>DATE(2010,5,10) + TIME(14,11,8)</f>
        <v>40308.591064814813</v>
      </c>
      <c r="C135">
        <v>1992.2821045000001</v>
      </c>
      <c r="D135">
        <v>1864.0668945</v>
      </c>
      <c r="E135">
        <v>538.99542236000002</v>
      </c>
      <c r="F135">
        <v>144.16381835999999</v>
      </c>
      <c r="G135">
        <v>80</v>
      </c>
      <c r="H135">
        <v>79.880851746000005</v>
      </c>
      <c r="I135">
        <v>50</v>
      </c>
      <c r="J135">
        <v>14.958430290000001</v>
      </c>
      <c r="K135">
        <v>2400</v>
      </c>
      <c r="L135">
        <v>0</v>
      </c>
      <c r="M135">
        <v>0</v>
      </c>
      <c r="N135">
        <v>2400</v>
      </c>
    </row>
    <row r="136" spans="1:14" x14ac:dyDescent="0.25">
      <c r="A136">
        <v>9.8037980000000005</v>
      </c>
      <c r="B136" s="1">
        <f>DATE(2010,5,10) + TIME(19,17,28)</f>
        <v>40308.803796296299</v>
      </c>
      <c r="C136">
        <v>1990.9038086</v>
      </c>
      <c r="D136">
        <v>1862.6934814000001</v>
      </c>
      <c r="E136">
        <v>539.02374268000005</v>
      </c>
      <c r="F136">
        <v>144.1943512</v>
      </c>
      <c r="G136">
        <v>80</v>
      </c>
      <c r="H136">
        <v>79.881607056000007</v>
      </c>
      <c r="I136">
        <v>50</v>
      </c>
      <c r="J136">
        <v>14.958660126</v>
      </c>
      <c r="K136">
        <v>2400</v>
      </c>
      <c r="L136">
        <v>0</v>
      </c>
      <c r="M136">
        <v>0</v>
      </c>
      <c r="N136">
        <v>2400</v>
      </c>
    </row>
    <row r="137" spans="1:14" x14ac:dyDescent="0.25">
      <c r="A137">
        <v>10.017965999999999</v>
      </c>
      <c r="B137" s="1">
        <f>DATE(2010,5,11) + TIME(0,25,52)</f>
        <v>40309.017962962964</v>
      </c>
      <c r="C137">
        <v>1989.5460204999999</v>
      </c>
      <c r="D137">
        <v>1861.3405762</v>
      </c>
      <c r="E137">
        <v>539.05249022999999</v>
      </c>
      <c r="F137">
        <v>144.22528076</v>
      </c>
      <c r="G137">
        <v>80</v>
      </c>
      <c r="H137">
        <v>79.882278442</v>
      </c>
      <c r="I137">
        <v>50</v>
      </c>
      <c r="J137">
        <v>14.958889008</v>
      </c>
      <c r="K137">
        <v>2400</v>
      </c>
      <c r="L137">
        <v>0</v>
      </c>
      <c r="M137">
        <v>0</v>
      </c>
      <c r="N137">
        <v>2400</v>
      </c>
    </row>
    <row r="138" spans="1:14" x14ac:dyDescent="0.25">
      <c r="A138">
        <v>10.233877</v>
      </c>
      <c r="B138" s="1">
        <f>DATE(2010,5,11) + TIME(5,36,46)</f>
        <v>40309.233865740738</v>
      </c>
      <c r="C138">
        <v>1988.206543</v>
      </c>
      <c r="D138">
        <v>1860.0059814000001</v>
      </c>
      <c r="E138">
        <v>539.08148193</v>
      </c>
      <c r="F138">
        <v>144.25643921</v>
      </c>
      <c r="G138">
        <v>80</v>
      </c>
      <c r="H138">
        <v>79.882888793999996</v>
      </c>
      <c r="I138">
        <v>50</v>
      </c>
      <c r="J138">
        <v>14.959115982</v>
      </c>
      <c r="K138">
        <v>2400</v>
      </c>
      <c r="L138">
        <v>0</v>
      </c>
      <c r="M138">
        <v>0</v>
      </c>
      <c r="N138">
        <v>2400</v>
      </c>
    </row>
    <row r="139" spans="1:14" x14ac:dyDescent="0.25">
      <c r="A139">
        <v>10.451835000000001</v>
      </c>
      <c r="B139" s="1">
        <f>DATE(2010,5,11) + TIME(10,50,38)</f>
        <v>40309.451828703706</v>
      </c>
      <c r="C139">
        <v>1986.8835449000001</v>
      </c>
      <c r="D139">
        <v>1858.6877440999999</v>
      </c>
      <c r="E139">
        <v>539.11059569999998</v>
      </c>
      <c r="F139">
        <v>144.28775024000001</v>
      </c>
      <c r="G139">
        <v>80</v>
      </c>
      <c r="H139">
        <v>79.88343811</v>
      </c>
      <c r="I139">
        <v>50</v>
      </c>
      <c r="J139">
        <v>14.959341049000001</v>
      </c>
      <c r="K139">
        <v>2400</v>
      </c>
      <c r="L139">
        <v>0</v>
      </c>
      <c r="M139">
        <v>0</v>
      </c>
      <c r="N139">
        <v>2400</v>
      </c>
    </row>
    <row r="140" spans="1:14" x14ac:dyDescent="0.25">
      <c r="A140">
        <v>10.672150999999999</v>
      </c>
      <c r="B140" s="1">
        <f>DATE(2010,5,11) + TIME(16,7,53)</f>
        <v>40309.6721412037</v>
      </c>
      <c r="C140">
        <v>1985.5745850000001</v>
      </c>
      <c r="D140">
        <v>1857.3835449000001</v>
      </c>
      <c r="E140">
        <v>539.13995361000002</v>
      </c>
      <c r="F140">
        <v>144.31925964000001</v>
      </c>
      <c r="G140">
        <v>80</v>
      </c>
      <c r="H140">
        <v>79.883941649999997</v>
      </c>
      <c r="I140">
        <v>50</v>
      </c>
      <c r="J140">
        <v>14.959565163000001</v>
      </c>
      <c r="K140">
        <v>2400</v>
      </c>
      <c r="L140">
        <v>0</v>
      </c>
      <c r="M140">
        <v>0</v>
      </c>
      <c r="N140">
        <v>2400</v>
      </c>
    </row>
    <row r="141" spans="1:14" x14ac:dyDescent="0.25">
      <c r="A141">
        <v>10.895142999999999</v>
      </c>
      <c r="B141" s="1">
        <f>DATE(2010,5,11) + TIME(21,29,0)</f>
        <v>40309.895138888889</v>
      </c>
      <c r="C141">
        <v>1984.2774658000001</v>
      </c>
      <c r="D141">
        <v>1856.0913086</v>
      </c>
      <c r="E141">
        <v>539.16961670000001</v>
      </c>
      <c r="F141">
        <v>144.35101318</v>
      </c>
      <c r="G141">
        <v>80</v>
      </c>
      <c r="H141">
        <v>79.884391785000005</v>
      </c>
      <c r="I141">
        <v>50</v>
      </c>
      <c r="J141">
        <v>14.959787369000001</v>
      </c>
      <c r="K141">
        <v>2400</v>
      </c>
      <c r="L141">
        <v>0</v>
      </c>
      <c r="M141">
        <v>0</v>
      </c>
      <c r="N141">
        <v>2400</v>
      </c>
    </row>
    <row r="142" spans="1:14" x14ac:dyDescent="0.25">
      <c r="A142">
        <v>11.121143</v>
      </c>
      <c r="B142" s="1">
        <f>DATE(2010,5,12) + TIME(2,54,26)</f>
        <v>40310.121134259258</v>
      </c>
      <c r="C142">
        <v>1982.9904785000001</v>
      </c>
      <c r="D142">
        <v>1854.809082</v>
      </c>
      <c r="E142">
        <v>539.19952393000005</v>
      </c>
      <c r="F142">
        <v>144.38302612000001</v>
      </c>
      <c r="G142">
        <v>80</v>
      </c>
      <c r="H142">
        <v>79.884811400999993</v>
      </c>
      <c r="I142">
        <v>50</v>
      </c>
      <c r="J142">
        <v>14.960009575000001</v>
      </c>
      <c r="K142">
        <v>2400</v>
      </c>
      <c r="L142">
        <v>0</v>
      </c>
      <c r="M142">
        <v>0</v>
      </c>
      <c r="N142">
        <v>2400</v>
      </c>
    </row>
    <row r="143" spans="1:14" x14ac:dyDescent="0.25">
      <c r="A143">
        <v>11.350493</v>
      </c>
      <c r="B143" s="1">
        <f>DATE(2010,5,12) + TIME(8,24,42)</f>
        <v>40310.350486111114</v>
      </c>
      <c r="C143">
        <v>1981.7116699000001</v>
      </c>
      <c r="D143">
        <v>1853.5351562000001</v>
      </c>
      <c r="E143">
        <v>539.22973633000004</v>
      </c>
      <c r="F143">
        <v>144.41537475999999</v>
      </c>
      <c r="G143">
        <v>80</v>
      </c>
      <c r="H143">
        <v>79.885200499999996</v>
      </c>
      <c r="I143">
        <v>50</v>
      </c>
      <c r="J143">
        <v>14.960229873999999</v>
      </c>
      <c r="K143">
        <v>2400</v>
      </c>
      <c r="L143">
        <v>0</v>
      </c>
      <c r="M143">
        <v>0</v>
      </c>
      <c r="N143">
        <v>2400</v>
      </c>
    </row>
    <row r="144" spans="1:14" x14ac:dyDescent="0.25">
      <c r="A144">
        <v>11.583555</v>
      </c>
      <c r="B144" s="1">
        <f>DATE(2010,5,12) + TIME(14,0,19)</f>
        <v>40310.583553240744</v>
      </c>
      <c r="C144">
        <v>1980.4389647999999</v>
      </c>
      <c r="D144">
        <v>1852.2673339999999</v>
      </c>
      <c r="E144">
        <v>539.26037598000005</v>
      </c>
      <c r="F144">
        <v>144.44813538</v>
      </c>
      <c r="G144">
        <v>80</v>
      </c>
      <c r="H144">
        <v>79.885551453000005</v>
      </c>
      <c r="I144">
        <v>50</v>
      </c>
      <c r="J144">
        <v>14.960450172</v>
      </c>
      <c r="K144">
        <v>2400</v>
      </c>
      <c r="L144">
        <v>0</v>
      </c>
      <c r="M144">
        <v>0</v>
      </c>
      <c r="N144">
        <v>2400</v>
      </c>
    </row>
    <row r="145" spans="1:14" x14ac:dyDescent="0.25">
      <c r="A145">
        <v>11.82081</v>
      </c>
      <c r="B145" s="1">
        <f>DATE(2010,5,12) + TIME(19,41,57)</f>
        <v>40310.820798611108</v>
      </c>
      <c r="C145">
        <v>1979.1706543</v>
      </c>
      <c r="D145">
        <v>1851.0039062000001</v>
      </c>
      <c r="E145">
        <v>539.29150390999996</v>
      </c>
      <c r="F145">
        <v>144.48132323999999</v>
      </c>
      <c r="G145">
        <v>80</v>
      </c>
      <c r="H145">
        <v>79.885879517000006</v>
      </c>
      <c r="I145">
        <v>50</v>
      </c>
      <c r="J145">
        <v>14.960670471</v>
      </c>
      <c r="K145">
        <v>2400</v>
      </c>
      <c r="L145">
        <v>0</v>
      </c>
      <c r="M145">
        <v>0</v>
      </c>
      <c r="N145">
        <v>2400</v>
      </c>
    </row>
    <row r="146" spans="1:14" x14ac:dyDescent="0.25">
      <c r="A146">
        <v>12.062594000000001</v>
      </c>
      <c r="B146" s="1">
        <f>DATE(2010,5,13) + TIME(1,30,8)</f>
        <v>40311.062592592592</v>
      </c>
      <c r="C146">
        <v>1977.9045410000001</v>
      </c>
      <c r="D146">
        <v>1849.7427978999999</v>
      </c>
      <c r="E146">
        <v>539.32312012</v>
      </c>
      <c r="F146">
        <v>144.51502991000001</v>
      </c>
      <c r="G146">
        <v>80</v>
      </c>
      <c r="H146">
        <v>79.886184692</v>
      </c>
      <c r="I146">
        <v>50</v>
      </c>
      <c r="J146">
        <v>14.960890770000001</v>
      </c>
      <c r="K146">
        <v>2400</v>
      </c>
      <c r="L146">
        <v>0</v>
      </c>
      <c r="M146">
        <v>0</v>
      </c>
      <c r="N146">
        <v>2400</v>
      </c>
    </row>
    <row r="147" spans="1:14" x14ac:dyDescent="0.25">
      <c r="A147">
        <v>12.309340000000001</v>
      </c>
      <c r="B147" s="1">
        <f>DATE(2010,5,13) + TIME(7,25,26)</f>
        <v>40311.309328703705</v>
      </c>
      <c r="C147">
        <v>1976.6389160000001</v>
      </c>
      <c r="D147">
        <v>1848.4822998</v>
      </c>
      <c r="E147">
        <v>539.35528564000003</v>
      </c>
      <c r="F147">
        <v>144.54930114999999</v>
      </c>
      <c r="G147">
        <v>80</v>
      </c>
      <c r="H147">
        <v>79.886474609000004</v>
      </c>
      <c r="I147">
        <v>50</v>
      </c>
      <c r="J147">
        <v>14.961111068999999</v>
      </c>
      <c r="K147">
        <v>2400</v>
      </c>
      <c r="L147">
        <v>0</v>
      </c>
      <c r="M147">
        <v>0</v>
      </c>
      <c r="N147">
        <v>2400</v>
      </c>
    </row>
    <row r="148" spans="1:14" x14ac:dyDescent="0.25">
      <c r="A148">
        <v>12.561527</v>
      </c>
      <c r="B148" s="1">
        <f>DATE(2010,5,13) + TIME(13,28,35)</f>
        <v>40311.561516203707</v>
      </c>
      <c r="C148">
        <v>1975.3723144999999</v>
      </c>
      <c r="D148">
        <v>1847.2207031</v>
      </c>
      <c r="E148">
        <v>539.38812256000006</v>
      </c>
      <c r="F148">
        <v>144.58421326000001</v>
      </c>
      <c r="G148">
        <v>80</v>
      </c>
      <c r="H148">
        <v>79.886741638000004</v>
      </c>
      <c r="I148">
        <v>50</v>
      </c>
      <c r="J148">
        <v>14.961331367</v>
      </c>
      <c r="K148">
        <v>2400</v>
      </c>
      <c r="L148">
        <v>0</v>
      </c>
      <c r="M148">
        <v>0</v>
      </c>
      <c r="N148">
        <v>2400</v>
      </c>
    </row>
    <row r="149" spans="1:14" x14ac:dyDescent="0.25">
      <c r="A149">
        <v>12.819675999999999</v>
      </c>
      <c r="B149" s="1">
        <f>DATE(2010,5,13) + TIME(19,40,19)</f>
        <v>40311.819664351853</v>
      </c>
      <c r="C149">
        <v>1974.1026611</v>
      </c>
      <c r="D149">
        <v>1845.9562988</v>
      </c>
      <c r="E149">
        <v>539.42163086000005</v>
      </c>
      <c r="F149">
        <v>144.61982727</v>
      </c>
      <c r="G149">
        <v>80</v>
      </c>
      <c r="H149">
        <v>79.886993407999995</v>
      </c>
      <c r="I149">
        <v>50</v>
      </c>
      <c r="J149">
        <v>14.961552620000001</v>
      </c>
      <c r="K149">
        <v>2400</v>
      </c>
      <c r="L149">
        <v>0</v>
      </c>
      <c r="M149">
        <v>0</v>
      </c>
      <c r="N149">
        <v>2400</v>
      </c>
    </row>
    <row r="150" spans="1:14" x14ac:dyDescent="0.25">
      <c r="A150">
        <v>13.084356</v>
      </c>
      <c r="B150" s="1">
        <f>DATE(2010,5,14) + TIME(2,1,28)</f>
        <v>40312.084351851852</v>
      </c>
      <c r="C150">
        <v>1972.828125</v>
      </c>
      <c r="D150">
        <v>1844.6870117000001</v>
      </c>
      <c r="E150">
        <v>539.45587158000001</v>
      </c>
      <c r="F150">
        <v>144.65620422000001</v>
      </c>
      <c r="G150">
        <v>80</v>
      </c>
      <c r="H150">
        <v>79.887222289999997</v>
      </c>
      <c r="I150">
        <v>50</v>
      </c>
      <c r="J150">
        <v>14.96177578</v>
      </c>
      <c r="K150">
        <v>2400</v>
      </c>
      <c r="L150">
        <v>0</v>
      </c>
      <c r="M150">
        <v>0</v>
      </c>
      <c r="N150">
        <v>2400</v>
      </c>
    </row>
    <row r="151" spans="1:14" x14ac:dyDescent="0.25">
      <c r="A151">
        <v>13.355874</v>
      </c>
      <c r="B151" s="1">
        <f>DATE(2010,5,14) + TIME(8,32,27)</f>
        <v>40312.355868055558</v>
      </c>
      <c r="C151">
        <v>1971.546875</v>
      </c>
      <c r="D151">
        <v>1843.4112548999999</v>
      </c>
      <c r="E151">
        <v>539.49096680000002</v>
      </c>
      <c r="F151">
        <v>144.69342040999999</v>
      </c>
      <c r="G151">
        <v>80</v>
      </c>
      <c r="H151">
        <v>79.887443542</v>
      </c>
      <c r="I151">
        <v>50</v>
      </c>
      <c r="J151">
        <v>14.961999893</v>
      </c>
      <c r="K151">
        <v>2400</v>
      </c>
      <c r="L151">
        <v>0</v>
      </c>
      <c r="M151">
        <v>0</v>
      </c>
      <c r="N151">
        <v>2400</v>
      </c>
    </row>
    <row r="152" spans="1:14" x14ac:dyDescent="0.25">
      <c r="A152">
        <v>13.634819999999999</v>
      </c>
      <c r="B152" s="1">
        <f>DATE(2010,5,14) + TIME(15,14,8)</f>
        <v>40312.634814814817</v>
      </c>
      <c r="C152">
        <v>1970.2580565999999</v>
      </c>
      <c r="D152">
        <v>1842.1280518000001</v>
      </c>
      <c r="E152">
        <v>539.52703856999995</v>
      </c>
      <c r="F152">
        <v>144.73156738</v>
      </c>
      <c r="G152">
        <v>80</v>
      </c>
      <c r="H152">
        <v>79.887657165999997</v>
      </c>
      <c r="I152">
        <v>50</v>
      </c>
      <c r="J152">
        <v>14.96222496</v>
      </c>
      <c r="K152">
        <v>2400</v>
      </c>
      <c r="L152">
        <v>0</v>
      </c>
      <c r="M152">
        <v>0</v>
      </c>
      <c r="N152">
        <v>2400</v>
      </c>
    </row>
    <row r="153" spans="1:14" x14ac:dyDescent="0.25">
      <c r="A153">
        <v>13.921903</v>
      </c>
      <c r="B153" s="1">
        <f>DATE(2010,5,14) + TIME(22,7,32)</f>
        <v>40312.921898148146</v>
      </c>
      <c r="C153">
        <v>1968.9600829999999</v>
      </c>
      <c r="D153">
        <v>1840.8356934000001</v>
      </c>
      <c r="E153">
        <v>539.56402588000003</v>
      </c>
      <c r="F153">
        <v>144.77070617999999</v>
      </c>
      <c r="G153">
        <v>80</v>
      </c>
      <c r="H153">
        <v>79.887855529999996</v>
      </c>
      <c r="I153">
        <v>50</v>
      </c>
      <c r="J153">
        <v>14.962452888</v>
      </c>
      <c r="K153">
        <v>2400</v>
      </c>
      <c r="L153">
        <v>0</v>
      </c>
      <c r="M153">
        <v>0</v>
      </c>
      <c r="N153">
        <v>2400</v>
      </c>
    </row>
    <row r="154" spans="1:14" x14ac:dyDescent="0.25">
      <c r="A154">
        <v>14.068076</v>
      </c>
      <c r="B154" s="1">
        <f>DATE(2010,5,15) + TIME(1,38,1)</f>
        <v>40313.068067129629</v>
      </c>
      <c r="C154">
        <v>1967.7004394999999</v>
      </c>
      <c r="D154">
        <v>1839.5802002</v>
      </c>
      <c r="E154">
        <v>539.59118651999995</v>
      </c>
      <c r="F154">
        <v>144.79902648999999</v>
      </c>
      <c r="G154">
        <v>80</v>
      </c>
      <c r="H154">
        <v>79.887878418</v>
      </c>
      <c r="I154">
        <v>50</v>
      </c>
      <c r="J154">
        <v>14.962583542000001</v>
      </c>
      <c r="K154">
        <v>2400</v>
      </c>
      <c r="L154">
        <v>0</v>
      </c>
      <c r="M154">
        <v>0</v>
      </c>
      <c r="N154">
        <v>2400</v>
      </c>
    </row>
    <row r="155" spans="1:14" x14ac:dyDescent="0.25">
      <c r="A155">
        <v>14.214249000000001</v>
      </c>
      <c r="B155" s="1">
        <f>DATE(2010,5,15) + TIME(5,8,31)</f>
        <v>40313.214247685188</v>
      </c>
      <c r="C155">
        <v>1966.9982910000001</v>
      </c>
      <c r="D155">
        <v>1838.8812256000001</v>
      </c>
      <c r="E155">
        <v>539.61541748000002</v>
      </c>
      <c r="F155">
        <v>144.82447815</v>
      </c>
      <c r="G155">
        <v>80</v>
      </c>
      <c r="H155">
        <v>79.887969971000004</v>
      </c>
      <c r="I155">
        <v>50</v>
      </c>
      <c r="J155">
        <v>14.962710381000001</v>
      </c>
      <c r="K155">
        <v>2400</v>
      </c>
      <c r="L155">
        <v>0</v>
      </c>
      <c r="M155">
        <v>0</v>
      </c>
      <c r="N155">
        <v>2400</v>
      </c>
    </row>
    <row r="156" spans="1:14" x14ac:dyDescent="0.25">
      <c r="A156">
        <v>14.360423000000001</v>
      </c>
      <c r="B156" s="1">
        <f>DATE(2010,5,15) + TIME(8,39,0)</f>
        <v>40313.36041666667</v>
      </c>
      <c r="C156">
        <v>1966.3371582</v>
      </c>
      <c r="D156">
        <v>1838.2230225000001</v>
      </c>
      <c r="E156">
        <v>539.63708496000004</v>
      </c>
      <c r="F156">
        <v>144.84725951999999</v>
      </c>
      <c r="G156">
        <v>80</v>
      </c>
      <c r="H156">
        <v>79.888069153000004</v>
      </c>
      <c r="I156">
        <v>50</v>
      </c>
      <c r="J156">
        <v>14.962835311999999</v>
      </c>
      <c r="K156">
        <v>2400</v>
      </c>
      <c r="L156">
        <v>0</v>
      </c>
      <c r="M156">
        <v>0</v>
      </c>
      <c r="N156">
        <v>2400</v>
      </c>
    </row>
    <row r="157" spans="1:14" x14ac:dyDescent="0.25">
      <c r="A157">
        <v>14.506596</v>
      </c>
      <c r="B157" s="1">
        <f>DATE(2010,5,15) + TIME(12,9,29)</f>
        <v>40313.506585648145</v>
      </c>
      <c r="C157">
        <v>1965.6885986</v>
      </c>
      <c r="D157">
        <v>1837.5772704999999</v>
      </c>
      <c r="E157">
        <v>539.65716553000004</v>
      </c>
      <c r="F157">
        <v>144.86853027000001</v>
      </c>
      <c r="G157">
        <v>80</v>
      </c>
      <c r="H157">
        <v>79.888160705999994</v>
      </c>
      <c r="I157">
        <v>50</v>
      </c>
      <c r="J157">
        <v>14.962956429</v>
      </c>
      <c r="K157">
        <v>2400</v>
      </c>
      <c r="L157">
        <v>0</v>
      </c>
      <c r="M157">
        <v>0</v>
      </c>
      <c r="N157">
        <v>2400</v>
      </c>
    </row>
    <row r="158" spans="1:14" x14ac:dyDescent="0.25">
      <c r="A158">
        <v>14.798942</v>
      </c>
      <c r="B158" s="1">
        <f>DATE(2010,5,15) + TIME(19,10,28)</f>
        <v>40313.798935185187</v>
      </c>
      <c r="C158">
        <v>1965.0241699000001</v>
      </c>
      <c r="D158">
        <v>1836.9172363</v>
      </c>
      <c r="E158">
        <v>539.68402100000003</v>
      </c>
      <c r="F158">
        <v>144.89736937999999</v>
      </c>
      <c r="G158">
        <v>80</v>
      </c>
      <c r="H158">
        <v>79.888397217000005</v>
      </c>
      <c r="I158">
        <v>50</v>
      </c>
      <c r="J158">
        <v>14.96316433</v>
      </c>
      <c r="K158">
        <v>2400</v>
      </c>
      <c r="L158">
        <v>0</v>
      </c>
      <c r="M158">
        <v>0</v>
      </c>
      <c r="N158">
        <v>2400</v>
      </c>
    </row>
    <row r="159" spans="1:14" x14ac:dyDescent="0.25">
      <c r="A159">
        <v>15.091417</v>
      </c>
      <c r="B159" s="1">
        <f>DATE(2010,5,16) + TIME(2,11,38)</f>
        <v>40314.091412037036</v>
      </c>
      <c r="C159">
        <v>1963.7966309000001</v>
      </c>
      <c r="D159">
        <v>1835.6954346</v>
      </c>
      <c r="E159">
        <v>539.71801758000004</v>
      </c>
      <c r="F159">
        <v>144.93336486999999</v>
      </c>
      <c r="G159">
        <v>80</v>
      </c>
      <c r="H159">
        <v>79.888534546000002</v>
      </c>
      <c r="I159">
        <v>50</v>
      </c>
      <c r="J159">
        <v>14.963373184</v>
      </c>
      <c r="K159">
        <v>2400</v>
      </c>
      <c r="L159">
        <v>0</v>
      </c>
      <c r="M159">
        <v>0</v>
      </c>
      <c r="N159">
        <v>2400</v>
      </c>
    </row>
    <row r="160" spans="1:14" x14ac:dyDescent="0.25">
      <c r="A160">
        <v>15.38496</v>
      </c>
      <c r="B160" s="1">
        <f>DATE(2010,5,16) + TIME(9,14,20)</f>
        <v>40314.384953703702</v>
      </c>
      <c r="C160">
        <v>1962.567749</v>
      </c>
      <c r="D160">
        <v>1834.4722899999999</v>
      </c>
      <c r="E160">
        <v>539.75549316000001</v>
      </c>
      <c r="F160">
        <v>144.97274780000001</v>
      </c>
      <c r="G160">
        <v>80</v>
      </c>
      <c r="H160">
        <v>79.888664246000005</v>
      </c>
      <c r="I160">
        <v>50</v>
      </c>
      <c r="J160">
        <v>14.963581085</v>
      </c>
      <c r="K160">
        <v>2400</v>
      </c>
      <c r="L160">
        <v>0</v>
      </c>
      <c r="M160">
        <v>0</v>
      </c>
      <c r="N160">
        <v>2400</v>
      </c>
    </row>
    <row r="161" spans="1:14" x14ac:dyDescent="0.25">
      <c r="A161">
        <v>15.679999</v>
      </c>
      <c r="B161" s="1">
        <f>DATE(2010,5,16) + TIME(16,19,11)</f>
        <v>40314.679988425924</v>
      </c>
      <c r="C161">
        <v>1961.3537598</v>
      </c>
      <c r="D161">
        <v>1833.2641602000001</v>
      </c>
      <c r="E161">
        <v>539.79412841999999</v>
      </c>
      <c r="F161">
        <v>145.01329041</v>
      </c>
      <c r="G161">
        <v>80</v>
      </c>
      <c r="H161">
        <v>79.888793945000003</v>
      </c>
      <c r="I161">
        <v>50</v>
      </c>
      <c r="J161">
        <v>14.963788986000001</v>
      </c>
      <c r="K161">
        <v>2400</v>
      </c>
      <c r="L161">
        <v>0</v>
      </c>
      <c r="M161">
        <v>0</v>
      </c>
      <c r="N161">
        <v>2400</v>
      </c>
    </row>
    <row r="162" spans="1:14" x14ac:dyDescent="0.25">
      <c r="A162">
        <v>15.976962</v>
      </c>
      <c r="B162" s="1">
        <f>DATE(2010,5,16) + TIME(23,26,49)</f>
        <v>40314.976956018516</v>
      </c>
      <c r="C162">
        <v>1960.1546631000001</v>
      </c>
      <c r="D162">
        <v>1832.0708007999999</v>
      </c>
      <c r="E162">
        <v>539.83312988</v>
      </c>
      <c r="F162">
        <v>145.05424500000001</v>
      </c>
      <c r="G162">
        <v>80</v>
      </c>
      <c r="H162">
        <v>79.888916015999996</v>
      </c>
      <c r="I162">
        <v>50</v>
      </c>
      <c r="J162">
        <v>14.963994980000001</v>
      </c>
      <c r="K162">
        <v>2400</v>
      </c>
      <c r="L162">
        <v>0</v>
      </c>
      <c r="M162">
        <v>0</v>
      </c>
      <c r="N162">
        <v>2400</v>
      </c>
    </row>
    <row r="163" spans="1:14" x14ac:dyDescent="0.25">
      <c r="A163">
        <v>16.276274999999998</v>
      </c>
      <c r="B163" s="1">
        <f>DATE(2010,5,17) + TIME(6,37,50)</f>
        <v>40315.276273148149</v>
      </c>
      <c r="C163">
        <v>1958.9689940999999</v>
      </c>
      <c r="D163">
        <v>1830.8909911999999</v>
      </c>
      <c r="E163">
        <v>539.87243651999995</v>
      </c>
      <c r="F163">
        <v>145.09544373</v>
      </c>
      <c r="G163">
        <v>80</v>
      </c>
      <c r="H163">
        <v>79.889030457000004</v>
      </c>
      <c r="I163">
        <v>50</v>
      </c>
      <c r="J163">
        <v>14.964200974000001</v>
      </c>
      <c r="K163">
        <v>2400</v>
      </c>
      <c r="L163">
        <v>0</v>
      </c>
      <c r="M163">
        <v>0</v>
      </c>
      <c r="N163">
        <v>2400</v>
      </c>
    </row>
    <row r="164" spans="1:14" x14ac:dyDescent="0.25">
      <c r="A164">
        <v>16.578372000000002</v>
      </c>
      <c r="B164" s="1">
        <f>DATE(2010,5,17) + TIME(13,52,51)</f>
        <v>40315.578368055554</v>
      </c>
      <c r="C164">
        <v>1957.7951660000001</v>
      </c>
      <c r="D164">
        <v>1829.7229004000001</v>
      </c>
      <c r="E164">
        <v>539.91198729999996</v>
      </c>
      <c r="F164">
        <v>145.13690185999999</v>
      </c>
      <c r="G164">
        <v>80</v>
      </c>
      <c r="H164">
        <v>79.889144896999994</v>
      </c>
      <c r="I164">
        <v>50</v>
      </c>
      <c r="J164">
        <v>14.964406013</v>
      </c>
      <c r="K164">
        <v>2400</v>
      </c>
      <c r="L164">
        <v>0</v>
      </c>
      <c r="M164">
        <v>0</v>
      </c>
      <c r="N164">
        <v>2400</v>
      </c>
    </row>
    <row r="165" spans="1:14" x14ac:dyDescent="0.25">
      <c r="A165">
        <v>16.883697000000002</v>
      </c>
      <c r="B165" s="1">
        <f>DATE(2010,5,17) + TIME(21,12,31)</f>
        <v>40315.883692129632</v>
      </c>
      <c r="C165">
        <v>1956.6313477000001</v>
      </c>
      <c r="D165">
        <v>1828.5649414</v>
      </c>
      <c r="E165">
        <v>539.95190430000002</v>
      </c>
      <c r="F165">
        <v>145.17869568</v>
      </c>
      <c r="G165">
        <v>80</v>
      </c>
      <c r="H165">
        <v>79.889251709000007</v>
      </c>
      <c r="I165">
        <v>50</v>
      </c>
      <c r="J165">
        <v>14.964609146000001</v>
      </c>
      <c r="K165">
        <v>2400</v>
      </c>
      <c r="L165">
        <v>0</v>
      </c>
      <c r="M165">
        <v>0</v>
      </c>
      <c r="N165">
        <v>2400</v>
      </c>
    </row>
    <row r="166" spans="1:14" x14ac:dyDescent="0.25">
      <c r="A166">
        <v>17.192705</v>
      </c>
      <c r="B166" s="1">
        <f>DATE(2010,5,18) + TIME(4,37,29)</f>
        <v>40316.192696759259</v>
      </c>
      <c r="C166">
        <v>1955.4755858999999</v>
      </c>
      <c r="D166">
        <v>1827.4151611</v>
      </c>
      <c r="E166">
        <v>539.99224853999999</v>
      </c>
      <c r="F166">
        <v>145.22090148999999</v>
      </c>
      <c r="G166">
        <v>80</v>
      </c>
      <c r="H166">
        <v>79.889350891000007</v>
      </c>
      <c r="I166">
        <v>50</v>
      </c>
      <c r="J166">
        <v>14.964813231999999</v>
      </c>
      <c r="K166">
        <v>2400</v>
      </c>
      <c r="L166">
        <v>0</v>
      </c>
      <c r="M166">
        <v>0</v>
      </c>
      <c r="N166">
        <v>2400</v>
      </c>
    </row>
    <row r="167" spans="1:14" x14ac:dyDescent="0.25">
      <c r="A167">
        <v>17.505873000000001</v>
      </c>
      <c r="B167" s="1">
        <f>DATE(2010,5,18) + TIME(12,8,27)</f>
        <v>40316.505868055552</v>
      </c>
      <c r="C167">
        <v>1954.3264160000001</v>
      </c>
      <c r="D167">
        <v>1826.2718506000001</v>
      </c>
      <c r="E167">
        <v>540.03308104999996</v>
      </c>
      <c r="F167">
        <v>145.26361084000001</v>
      </c>
      <c r="G167">
        <v>80</v>
      </c>
      <c r="H167">
        <v>79.889457703000005</v>
      </c>
      <c r="I167">
        <v>50</v>
      </c>
      <c r="J167">
        <v>14.965015411</v>
      </c>
      <c r="K167">
        <v>2400</v>
      </c>
      <c r="L167">
        <v>0</v>
      </c>
      <c r="M167">
        <v>0</v>
      </c>
      <c r="N167">
        <v>2400</v>
      </c>
    </row>
    <row r="168" spans="1:14" x14ac:dyDescent="0.25">
      <c r="A168">
        <v>17.823737000000001</v>
      </c>
      <c r="B168" s="1">
        <f>DATE(2010,5,18) + TIME(19,46,10)</f>
        <v>40316.82372685185</v>
      </c>
      <c r="C168">
        <v>1953.1817627</v>
      </c>
      <c r="D168">
        <v>1825.1331786999999</v>
      </c>
      <c r="E168">
        <v>540.07446288999995</v>
      </c>
      <c r="F168">
        <v>145.30686951000001</v>
      </c>
      <c r="G168">
        <v>80</v>
      </c>
      <c r="H168">
        <v>79.889556885000005</v>
      </c>
      <c r="I168">
        <v>50</v>
      </c>
      <c r="J168">
        <v>14.96521759</v>
      </c>
      <c r="K168">
        <v>2400</v>
      </c>
      <c r="L168">
        <v>0</v>
      </c>
      <c r="M168">
        <v>0</v>
      </c>
      <c r="N168">
        <v>2400</v>
      </c>
    </row>
    <row r="169" spans="1:14" x14ac:dyDescent="0.25">
      <c r="A169">
        <v>18.146896000000002</v>
      </c>
      <c r="B169" s="1">
        <f>DATE(2010,5,19) + TIME(3,31,31)</f>
        <v>40317.146886574075</v>
      </c>
      <c r="C169">
        <v>1952.0399170000001</v>
      </c>
      <c r="D169">
        <v>1823.9973144999999</v>
      </c>
      <c r="E169">
        <v>540.11651611000002</v>
      </c>
      <c r="F169">
        <v>145.35076903999999</v>
      </c>
      <c r="G169">
        <v>80</v>
      </c>
      <c r="H169">
        <v>79.889648437999995</v>
      </c>
      <c r="I169">
        <v>50</v>
      </c>
      <c r="J169">
        <v>14.965419769</v>
      </c>
      <c r="K169">
        <v>2400</v>
      </c>
      <c r="L169">
        <v>0</v>
      </c>
      <c r="M169">
        <v>0</v>
      </c>
      <c r="N169">
        <v>2400</v>
      </c>
    </row>
    <row r="170" spans="1:14" x14ac:dyDescent="0.25">
      <c r="A170">
        <v>18.475814</v>
      </c>
      <c r="B170" s="1">
        <f>DATE(2010,5,19) + TIME(11,25,10)</f>
        <v>40317.475810185184</v>
      </c>
      <c r="C170">
        <v>1950.8990478999999</v>
      </c>
      <c r="D170">
        <v>1822.8625488</v>
      </c>
      <c r="E170">
        <v>540.15930175999995</v>
      </c>
      <c r="F170">
        <v>145.39537048</v>
      </c>
      <c r="G170">
        <v>80</v>
      </c>
      <c r="H170">
        <v>79.889747619999994</v>
      </c>
      <c r="I170">
        <v>50</v>
      </c>
      <c r="J170">
        <v>14.965621948000001</v>
      </c>
      <c r="K170">
        <v>2400</v>
      </c>
      <c r="L170">
        <v>0</v>
      </c>
      <c r="M170">
        <v>0</v>
      </c>
      <c r="N170">
        <v>2400</v>
      </c>
    </row>
    <row r="171" spans="1:14" x14ac:dyDescent="0.25">
      <c r="A171">
        <v>18.811095000000002</v>
      </c>
      <c r="B171" s="1">
        <f>DATE(2010,5,19) + TIME(19,27,58)</f>
        <v>40317.81108796296</v>
      </c>
      <c r="C171">
        <v>1949.7578125</v>
      </c>
      <c r="D171">
        <v>1821.7274170000001</v>
      </c>
      <c r="E171">
        <v>540.20281981999995</v>
      </c>
      <c r="F171">
        <v>145.44076537999999</v>
      </c>
      <c r="G171">
        <v>80</v>
      </c>
      <c r="H171">
        <v>79.889839171999995</v>
      </c>
      <c r="I171">
        <v>50</v>
      </c>
      <c r="J171">
        <v>14.965825081</v>
      </c>
      <c r="K171">
        <v>2400</v>
      </c>
      <c r="L171">
        <v>0</v>
      </c>
      <c r="M171">
        <v>0</v>
      </c>
      <c r="N171">
        <v>2400</v>
      </c>
    </row>
    <row r="172" spans="1:14" x14ac:dyDescent="0.25">
      <c r="A172">
        <v>19.153386000000001</v>
      </c>
      <c r="B172" s="1">
        <f>DATE(2010,5,20) + TIME(3,40,52)</f>
        <v>40318.153379629628</v>
      </c>
      <c r="C172">
        <v>1948.6143798999999</v>
      </c>
      <c r="D172">
        <v>1820.590332</v>
      </c>
      <c r="E172">
        <v>540.24725341999999</v>
      </c>
      <c r="F172">
        <v>145.48701477</v>
      </c>
      <c r="G172">
        <v>80</v>
      </c>
      <c r="H172">
        <v>79.889930724999999</v>
      </c>
      <c r="I172">
        <v>50</v>
      </c>
      <c r="J172">
        <v>14.966028214</v>
      </c>
      <c r="K172">
        <v>2400</v>
      </c>
      <c r="L172">
        <v>0</v>
      </c>
      <c r="M172">
        <v>0</v>
      </c>
      <c r="N172">
        <v>2400</v>
      </c>
    </row>
    <row r="173" spans="1:14" x14ac:dyDescent="0.25">
      <c r="A173">
        <v>19.503205999999999</v>
      </c>
      <c r="B173" s="1">
        <f>DATE(2010,5,20) + TIME(12,4,37)</f>
        <v>40318.503206018519</v>
      </c>
      <c r="C173">
        <v>1947.4672852000001</v>
      </c>
      <c r="D173">
        <v>1819.4495850000001</v>
      </c>
      <c r="E173">
        <v>540.29260253999996</v>
      </c>
      <c r="F173">
        <v>145.53422545999999</v>
      </c>
      <c r="G173">
        <v>80</v>
      </c>
      <c r="H173">
        <v>79.890029906999999</v>
      </c>
      <c r="I173">
        <v>50</v>
      </c>
      <c r="J173">
        <v>14.9662323</v>
      </c>
      <c r="K173">
        <v>2400</v>
      </c>
      <c r="L173">
        <v>0</v>
      </c>
      <c r="M173">
        <v>0</v>
      </c>
      <c r="N173">
        <v>2400</v>
      </c>
    </row>
    <row r="174" spans="1:14" x14ac:dyDescent="0.25">
      <c r="A174">
        <v>19.860942999999999</v>
      </c>
      <c r="B174" s="1">
        <f>DATE(2010,5,20) + TIME(20,39,45)</f>
        <v>40318.860937500001</v>
      </c>
      <c r="C174">
        <v>1946.3153076000001</v>
      </c>
      <c r="D174">
        <v>1818.3041992000001</v>
      </c>
      <c r="E174">
        <v>540.33898925999995</v>
      </c>
      <c r="F174">
        <v>145.58247374999999</v>
      </c>
      <c r="G174">
        <v>80</v>
      </c>
      <c r="H174">
        <v>79.890121460000003</v>
      </c>
      <c r="I174">
        <v>50</v>
      </c>
      <c r="J174">
        <v>14.966437340000001</v>
      </c>
      <c r="K174">
        <v>2400</v>
      </c>
      <c r="L174">
        <v>0</v>
      </c>
      <c r="M174">
        <v>0</v>
      </c>
      <c r="N174">
        <v>2400</v>
      </c>
    </row>
    <row r="175" spans="1:14" x14ac:dyDescent="0.25">
      <c r="A175">
        <v>20.227402000000001</v>
      </c>
      <c r="B175" s="1">
        <f>DATE(2010,5,21) + TIME(5,27,27)</f>
        <v>40319.227395833332</v>
      </c>
      <c r="C175">
        <v>1945.1577147999999</v>
      </c>
      <c r="D175">
        <v>1817.1530762</v>
      </c>
      <c r="E175">
        <v>540.38647461000005</v>
      </c>
      <c r="F175">
        <v>145.63183594</v>
      </c>
      <c r="G175">
        <v>80</v>
      </c>
      <c r="H175">
        <v>79.890213012999993</v>
      </c>
      <c r="I175">
        <v>50</v>
      </c>
      <c r="J175">
        <v>14.966644286999999</v>
      </c>
      <c r="K175">
        <v>2400</v>
      </c>
      <c r="L175">
        <v>0</v>
      </c>
      <c r="M175">
        <v>0</v>
      </c>
      <c r="N175">
        <v>2400</v>
      </c>
    </row>
    <row r="176" spans="1:14" x14ac:dyDescent="0.25">
      <c r="A176">
        <v>20.603142999999999</v>
      </c>
      <c r="B176" s="1">
        <f>DATE(2010,5,21) + TIME(14,28,31)</f>
        <v>40319.603136574071</v>
      </c>
      <c r="C176">
        <v>1943.9926757999999</v>
      </c>
      <c r="D176">
        <v>1815.994751</v>
      </c>
      <c r="E176">
        <v>540.43511963000003</v>
      </c>
      <c r="F176">
        <v>145.68240356000001</v>
      </c>
      <c r="G176">
        <v>80</v>
      </c>
      <c r="H176">
        <v>79.890304564999994</v>
      </c>
      <c r="I176">
        <v>50</v>
      </c>
      <c r="J176">
        <v>14.966852188000001</v>
      </c>
      <c r="K176">
        <v>2400</v>
      </c>
      <c r="L176">
        <v>0</v>
      </c>
      <c r="M176">
        <v>0</v>
      </c>
      <c r="N176">
        <v>2400</v>
      </c>
    </row>
    <row r="177" spans="1:14" x14ac:dyDescent="0.25">
      <c r="A177">
        <v>20.792204999999999</v>
      </c>
      <c r="B177" s="1">
        <f>DATE(2010,5,21) + TIME(19,0,46)</f>
        <v>40319.792199074072</v>
      </c>
      <c r="C177">
        <v>1942.8673096</v>
      </c>
      <c r="D177">
        <v>1814.875</v>
      </c>
      <c r="E177">
        <v>540.47265625</v>
      </c>
      <c r="F177">
        <v>145.72096252</v>
      </c>
      <c r="G177">
        <v>80</v>
      </c>
      <c r="H177">
        <v>79.890281677000004</v>
      </c>
      <c r="I177">
        <v>50</v>
      </c>
      <c r="J177">
        <v>14.966975211999999</v>
      </c>
      <c r="K177">
        <v>2400</v>
      </c>
      <c r="L177">
        <v>0</v>
      </c>
      <c r="M177">
        <v>0</v>
      </c>
      <c r="N177">
        <v>2400</v>
      </c>
    </row>
    <row r="178" spans="1:14" x14ac:dyDescent="0.25">
      <c r="A178">
        <v>20.981266000000002</v>
      </c>
      <c r="B178" s="1">
        <f>DATE(2010,5,21) + TIME(23,33,1)</f>
        <v>40319.981261574074</v>
      </c>
      <c r="C178">
        <v>1942.2407227000001</v>
      </c>
      <c r="D178">
        <v>1814.2519531</v>
      </c>
      <c r="E178">
        <v>540.50445557</v>
      </c>
      <c r="F178">
        <v>145.75378418</v>
      </c>
      <c r="G178">
        <v>80</v>
      </c>
      <c r="H178">
        <v>79.890335082999997</v>
      </c>
      <c r="I178">
        <v>50</v>
      </c>
      <c r="J178">
        <v>14.967093468</v>
      </c>
      <c r="K178">
        <v>2400</v>
      </c>
      <c r="L178">
        <v>0</v>
      </c>
      <c r="M178">
        <v>0</v>
      </c>
      <c r="N178">
        <v>2400</v>
      </c>
    </row>
    <row r="179" spans="1:14" x14ac:dyDescent="0.25">
      <c r="A179">
        <v>21.170328000000001</v>
      </c>
      <c r="B179" s="1">
        <f>DATE(2010,5,22) + TIME(4,5,16)</f>
        <v>40320.170324074075</v>
      </c>
      <c r="C179">
        <v>1941.6522216999999</v>
      </c>
      <c r="D179">
        <v>1813.6668701000001</v>
      </c>
      <c r="E179">
        <v>540.53210449000005</v>
      </c>
      <c r="F179">
        <v>145.78245544000001</v>
      </c>
      <c r="G179">
        <v>80</v>
      </c>
      <c r="H179">
        <v>79.890388489000003</v>
      </c>
      <c r="I179">
        <v>50</v>
      </c>
      <c r="J179">
        <v>14.967207909000001</v>
      </c>
      <c r="K179">
        <v>2400</v>
      </c>
      <c r="L179">
        <v>0</v>
      </c>
      <c r="M179">
        <v>0</v>
      </c>
      <c r="N179">
        <v>2400</v>
      </c>
    </row>
    <row r="180" spans="1:14" x14ac:dyDescent="0.25">
      <c r="A180">
        <v>21.359389</v>
      </c>
      <c r="B180" s="1">
        <f>DATE(2010,5,22) + TIME(8,37,31)</f>
        <v>40320.359386574077</v>
      </c>
      <c r="C180">
        <v>1941.074707</v>
      </c>
      <c r="D180">
        <v>1813.0927733999999</v>
      </c>
      <c r="E180">
        <v>540.55792236000002</v>
      </c>
      <c r="F180">
        <v>145.80926514000001</v>
      </c>
      <c r="G180">
        <v>80</v>
      </c>
      <c r="H180">
        <v>79.890441894999995</v>
      </c>
      <c r="I180">
        <v>50</v>
      </c>
      <c r="J180">
        <v>14.967319488999999</v>
      </c>
      <c r="K180">
        <v>2400</v>
      </c>
      <c r="L180">
        <v>0</v>
      </c>
      <c r="M180">
        <v>0</v>
      </c>
      <c r="N180">
        <v>2400</v>
      </c>
    </row>
    <row r="181" spans="1:14" x14ac:dyDescent="0.25">
      <c r="A181">
        <v>21.737511999999999</v>
      </c>
      <c r="B181" s="1">
        <f>DATE(2010,5,22) + TIME(17,42,1)</f>
        <v>40320.737511574072</v>
      </c>
      <c r="C181">
        <v>1940.4810791</v>
      </c>
      <c r="D181">
        <v>1812.5036620999999</v>
      </c>
      <c r="E181">
        <v>540.59088135000002</v>
      </c>
      <c r="F181">
        <v>145.8440094</v>
      </c>
      <c r="G181">
        <v>80</v>
      </c>
      <c r="H181">
        <v>79.890586853000002</v>
      </c>
      <c r="I181">
        <v>50</v>
      </c>
      <c r="J181">
        <v>14.967503548</v>
      </c>
      <c r="K181">
        <v>2400</v>
      </c>
      <c r="L181">
        <v>0</v>
      </c>
      <c r="M181">
        <v>0</v>
      </c>
      <c r="N181">
        <v>2400</v>
      </c>
    </row>
    <row r="182" spans="1:14" x14ac:dyDescent="0.25">
      <c r="A182">
        <v>22.115926999999999</v>
      </c>
      <c r="B182" s="1">
        <f>DATE(2010,5,23) + TIME(2,46,56)</f>
        <v>40321.115925925929</v>
      </c>
      <c r="C182">
        <v>1939.3879394999999</v>
      </c>
      <c r="D182">
        <v>1811.4171143000001</v>
      </c>
      <c r="E182">
        <v>540.63592529000005</v>
      </c>
      <c r="F182">
        <v>145.89070129000001</v>
      </c>
      <c r="G182">
        <v>80</v>
      </c>
      <c r="H182">
        <v>79.890670775999993</v>
      </c>
      <c r="I182">
        <v>50</v>
      </c>
      <c r="J182">
        <v>14.967691422</v>
      </c>
      <c r="K182">
        <v>2400</v>
      </c>
      <c r="L182">
        <v>0</v>
      </c>
      <c r="M182">
        <v>0</v>
      </c>
      <c r="N182">
        <v>2400</v>
      </c>
    </row>
    <row r="183" spans="1:14" x14ac:dyDescent="0.25">
      <c r="A183">
        <v>22.495830000000002</v>
      </c>
      <c r="B183" s="1">
        <f>DATE(2010,5,23) + TIME(11,53,59)</f>
        <v>40321.495821759258</v>
      </c>
      <c r="C183">
        <v>1938.2894286999999</v>
      </c>
      <c r="D183">
        <v>1810.3251952999999</v>
      </c>
      <c r="E183">
        <v>540.68536376999998</v>
      </c>
      <c r="F183">
        <v>145.94186400999999</v>
      </c>
      <c r="G183">
        <v>80</v>
      </c>
      <c r="H183">
        <v>79.890747070000003</v>
      </c>
      <c r="I183">
        <v>50</v>
      </c>
      <c r="J183">
        <v>14.967880249</v>
      </c>
      <c r="K183">
        <v>2400</v>
      </c>
      <c r="L183">
        <v>0</v>
      </c>
      <c r="M183">
        <v>0</v>
      </c>
      <c r="N183">
        <v>2400</v>
      </c>
    </row>
    <row r="184" spans="1:14" x14ac:dyDescent="0.25">
      <c r="A184">
        <v>22.877783999999998</v>
      </c>
      <c r="B184" s="1">
        <f>DATE(2010,5,23) + TIME(21,4,0)</f>
        <v>40321.87777777778</v>
      </c>
      <c r="C184">
        <v>1937.2011719</v>
      </c>
      <c r="D184">
        <v>1809.2436522999999</v>
      </c>
      <c r="E184">
        <v>540.73608397999999</v>
      </c>
      <c r="F184">
        <v>145.99426270000001</v>
      </c>
      <c r="G184">
        <v>80</v>
      </c>
      <c r="H184">
        <v>79.890823363999999</v>
      </c>
      <c r="I184">
        <v>50</v>
      </c>
      <c r="J184">
        <v>14.96807003</v>
      </c>
      <c r="K184">
        <v>2400</v>
      </c>
      <c r="L184">
        <v>0</v>
      </c>
      <c r="M184">
        <v>0</v>
      </c>
      <c r="N184">
        <v>2400</v>
      </c>
    </row>
    <row r="185" spans="1:14" x14ac:dyDescent="0.25">
      <c r="A185">
        <v>23.262347999999999</v>
      </c>
      <c r="B185" s="1">
        <f>DATE(2010,5,24) + TIME(6,17,46)</f>
        <v>40322.262337962966</v>
      </c>
      <c r="C185">
        <v>1936.1237793</v>
      </c>
      <c r="D185">
        <v>1808.1728516000001</v>
      </c>
      <c r="E185">
        <v>540.78723145000004</v>
      </c>
      <c r="F185">
        <v>146.04708862000001</v>
      </c>
      <c r="G185">
        <v>80</v>
      </c>
      <c r="H185">
        <v>79.890907287999994</v>
      </c>
      <c r="I185">
        <v>50</v>
      </c>
      <c r="J185">
        <v>14.968258858</v>
      </c>
      <c r="K185">
        <v>2400</v>
      </c>
      <c r="L185">
        <v>0</v>
      </c>
      <c r="M185">
        <v>0</v>
      </c>
      <c r="N185">
        <v>2400</v>
      </c>
    </row>
    <row r="186" spans="1:14" x14ac:dyDescent="0.25">
      <c r="A186">
        <v>23.650086999999999</v>
      </c>
      <c r="B186" s="1">
        <f>DATE(2010,5,24) + TIME(15,36,7)</f>
        <v>40322.650081018517</v>
      </c>
      <c r="C186">
        <v>1935.0557861</v>
      </c>
      <c r="D186">
        <v>1807.1116943</v>
      </c>
      <c r="E186">
        <v>540.83862305000002</v>
      </c>
      <c r="F186">
        <v>146.10014343</v>
      </c>
      <c r="G186">
        <v>80</v>
      </c>
      <c r="H186">
        <v>79.890991210999999</v>
      </c>
      <c r="I186">
        <v>50</v>
      </c>
      <c r="J186">
        <v>14.968448639</v>
      </c>
      <c r="K186">
        <v>2400</v>
      </c>
      <c r="L186">
        <v>0</v>
      </c>
      <c r="M186">
        <v>0</v>
      </c>
      <c r="N186">
        <v>2400</v>
      </c>
    </row>
    <row r="187" spans="1:14" x14ac:dyDescent="0.25">
      <c r="A187">
        <v>24.041574000000001</v>
      </c>
      <c r="B187" s="1">
        <f>DATE(2010,5,25) + TIME(0,59,51)</f>
        <v>40323.041562500002</v>
      </c>
      <c r="C187">
        <v>1933.9960937999999</v>
      </c>
      <c r="D187">
        <v>1806.0585937999999</v>
      </c>
      <c r="E187">
        <v>540.89038086000005</v>
      </c>
      <c r="F187">
        <v>146.15354919000001</v>
      </c>
      <c r="G187">
        <v>80</v>
      </c>
      <c r="H187">
        <v>79.891075134000005</v>
      </c>
      <c r="I187">
        <v>50</v>
      </c>
      <c r="J187">
        <v>14.968637466000001</v>
      </c>
      <c r="K187">
        <v>2400</v>
      </c>
      <c r="L187">
        <v>0</v>
      </c>
      <c r="M187">
        <v>0</v>
      </c>
      <c r="N187">
        <v>2400</v>
      </c>
    </row>
    <row r="188" spans="1:14" x14ac:dyDescent="0.25">
      <c r="A188">
        <v>24.4374</v>
      </c>
      <c r="B188" s="1">
        <f>DATE(2010,5,25) + TIME(10,29,51)</f>
        <v>40323.437395833331</v>
      </c>
      <c r="C188">
        <v>1932.9428711</v>
      </c>
      <c r="D188">
        <v>1805.0120850000001</v>
      </c>
      <c r="E188">
        <v>540.94262694999998</v>
      </c>
      <c r="F188">
        <v>146.2074585</v>
      </c>
      <c r="G188">
        <v>80</v>
      </c>
      <c r="H188">
        <v>79.891151428000001</v>
      </c>
      <c r="I188">
        <v>50</v>
      </c>
      <c r="J188">
        <v>14.96882534</v>
      </c>
      <c r="K188">
        <v>2400</v>
      </c>
      <c r="L188">
        <v>0</v>
      </c>
      <c r="M188">
        <v>0</v>
      </c>
      <c r="N188">
        <v>2400</v>
      </c>
    </row>
    <row r="189" spans="1:14" x14ac:dyDescent="0.25">
      <c r="A189">
        <v>24.838179</v>
      </c>
      <c r="B189" s="1">
        <f>DATE(2010,5,25) + TIME(20,6,58)</f>
        <v>40323.838171296295</v>
      </c>
      <c r="C189">
        <v>1931.8946533000001</v>
      </c>
      <c r="D189">
        <v>1803.9705810999999</v>
      </c>
      <c r="E189">
        <v>540.99548340000001</v>
      </c>
      <c r="F189">
        <v>146.26199341</v>
      </c>
      <c r="G189">
        <v>80</v>
      </c>
      <c r="H189">
        <v>79.891235351999995</v>
      </c>
      <c r="I189">
        <v>50</v>
      </c>
      <c r="J189">
        <v>14.969014167999999</v>
      </c>
      <c r="K189">
        <v>2400</v>
      </c>
      <c r="L189">
        <v>0</v>
      </c>
      <c r="M189">
        <v>0</v>
      </c>
      <c r="N189">
        <v>2400</v>
      </c>
    </row>
    <row r="190" spans="1:14" x14ac:dyDescent="0.25">
      <c r="A190">
        <v>25.244637000000001</v>
      </c>
      <c r="B190" s="1">
        <f>DATE(2010,5,26) + TIME(5,52,16)</f>
        <v>40324.244629629633</v>
      </c>
      <c r="C190">
        <v>1930.8498535000001</v>
      </c>
      <c r="D190">
        <v>1802.9324951000001</v>
      </c>
      <c r="E190">
        <v>541.04913329999999</v>
      </c>
      <c r="F190">
        <v>146.31726073999999</v>
      </c>
      <c r="G190">
        <v>80</v>
      </c>
      <c r="H190">
        <v>79.891326903999996</v>
      </c>
      <c r="I190">
        <v>50</v>
      </c>
      <c r="J190">
        <v>14.969202041999999</v>
      </c>
      <c r="K190">
        <v>2400</v>
      </c>
      <c r="L190">
        <v>0</v>
      </c>
      <c r="M190">
        <v>0</v>
      </c>
      <c r="N190">
        <v>2400</v>
      </c>
    </row>
    <row r="191" spans="1:14" x14ac:dyDescent="0.25">
      <c r="A191">
        <v>25.657475000000002</v>
      </c>
      <c r="B191" s="1">
        <f>DATE(2010,5,26) + TIME(15,46,45)</f>
        <v>40324.657465277778</v>
      </c>
      <c r="C191">
        <v>1929.8068848</v>
      </c>
      <c r="D191">
        <v>1801.8963623</v>
      </c>
      <c r="E191">
        <v>541.10363770000004</v>
      </c>
      <c r="F191">
        <v>146.37338256999999</v>
      </c>
      <c r="G191">
        <v>80</v>
      </c>
      <c r="H191">
        <v>79.891410828000005</v>
      </c>
      <c r="I191">
        <v>50</v>
      </c>
      <c r="J191">
        <v>14.969389915000001</v>
      </c>
      <c r="K191">
        <v>2400</v>
      </c>
      <c r="L191">
        <v>0</v>
      </c>
      <c r="M191">
        <v>0</v>
      </c>
      <c r="N191">
        <v>2400</v>
      </c>
    </row>
    <row r="192" spans="1:14" x14ac:dyDescent="0.25">
      <c r="A192">
        <v>26.07732</v>
      </c>
      <c r="B192" s="1">
        <f>DATE(2010,5,27) + TIME(1,51,20)</f>
        <v>40325.077314814815</v>
      </c>
      <c r="C192">
        <v>1928.7641602000001</v>
      </c>
      <c r="D192">
        <v>1800.8604736</v>
      </c>
      <c r="E192">
        <v>541.15905762</v>
      </c>
      <c r="F192">
        <v>146.43045043999999</v>
      </c>
      <c r="G192">
        <v>80</v>
      </c>
      <c r="H192">
        <v>79.891494750999996</v>
      </c>
      <c r="I192">
        <v>50</v>
      </c>
      <c r="J192">
        <v>14.969577789000001</v>
      </c>
      <c r="K192">
        <v>2400</v>
      </c>
      <c r="L192">
        <v>0</v>
      </c>
      <c r="M192">
        <v>0</v>
      </c>
      <c r="N192">
        <v>2400</v>
      </c>
    </row>
    <row r="193" spans="1:14" x14ac:dyDescent="0.25">
      <c r="A193">
        <v>26.504944999999999</v>
      </c>
      <c r="B193" s="1">
        <f>DATE(2010,5,27) + TIME(12,7,7)</f>
        <v>40325.504942129628</v>
      </c>
      <c r="C193">
        <v>1927.7202147999999</v>
      </c>
      <c r="D193">
        <v>1799.8234863</v>
      </c>
      <c r="E193">
        <v>541.21551513999998</v>
      </c>
      <c r="F193">
        <v>146.48858643</v>
      </c>
      <c r="G193">
        <v>80</v>
      </c>
      <c r="H193">
        <v>79.891586304</v>
      </c>
      <c r="I193">
        <v>50</v>
      </c>
      <c r="J193">
        <v>14.969766616999999</v>
      </c>
      <c r="K193">
        <v>2400</v>
      </c>
      <c r="L193">
        <v>0</v>
      </c>
      <c r="M193">
        <v>0</v>
      </c>
      <c r="N193">
        <v>2400</v>
      </c>
    </row>
    <row r="194" spans="1:14" x14ac:dyDescent="0.25">
      <c r="A194">
        <v>26.940943000000001</v>
      </c>
      <c r="B194" s="1">
        <f>DATE(2010,5,27) + TIME(22,34,57)</f>
        <v>40325.940937500003</v>
      </c>
      <c r="C194">
        <v>1926.6737060999999</v>
      </c>
      <c r="D194">
        <v>1798.7839355000001</v>
      </c>
      <c r="E194">
        <v>541.27319336000005</v>
      </c>
      <c r="F194">
        <v>146.54786682</v>
      </c>
      <c r="G194">
        <v>80</v>
      </c>
      <c r="H194">
        <v>79.891670227000006</v>
      </c>
      <c r="I194">
        <v>50</v>
      </c>
      <c r="J194">
        <v>14.969956398000001</v>
      </c>
      <c r="K194">
        <v>2400</v>
      </c>
      <c r="L194">
        <v>0</v>
      </c>
      <c r="M194">
        <v>0</v>
      </c>
      <c r="N194">
        <v>2400</v>
      </c>
    </row>
    <row r="195" spans="1:14" x14ac:dyDescent="0.25">
      <c r="A195">
        <v>27.385629000000002</v>
      </c>
      <c r="B195" s="1">
        <f>DATE(2010,5,28) + TIME(9,15,18)</f>
        <v>40326.385625000003</v>
      </c>
      <c r="C195">
        <v>1925.6235352000001</v>
      </c>
      <c r="D195">
        <v>1797.7408447</v>
      </c>
      <c r="E195">
        <v>541.33209228999999</v>
      </c>
      <c r="F195">
        <v>146.60842896</v>
      </c>
      <c r="G195">
        <v>80</v>
      </c>
      <c r="H195">
        <v>79.891761779999996</v>
      </c>
      <c r="I195">
        <v>50</v>
      </c>
      <c r="J195">
        <v>14.970147132999999</v>
      </c>
      <c r="K195">
        <v>2400</v>
      </c>
      <c r="L195">
        <v>0</v>
      </c>
      <c r="M195">
        <v>0</v>
      </c>
      <c r="N195">
        <v>2400</v>
      </c>
    </row>
    <row r="196" spans="1:14" x14ac:dyDescent="0.25">
      <c r="A196">
        <v>27.839922999999999</v>
      </c>
      <c r="B196" s="1">
        <f>DATE(2010,5,28) + TIME(20,9,29)</f>
        <v>40326.839918981481</v>
      </c>
      <c r="C196">
        <v>1924.5693358999999</v>
      </c>
      <c r="D196">
        <v>1796.6937256000001</v>
      </c>
      <c r="E196">
        <v>541.39233397999999</v>
      </c>
      <c r="F196">
        <v>146.67033386</v>
      </c>
      <c r="G196">
        <v>80</v>
      </c>
      <c r="H196">
        <v>79.891853333</v>
      </c>
      <c r="I196">
        <v>50</v>
      </c>
      <c r="J196">
        <v>14.970337868</v>
      </c>
      <c r="K196">
        <v>2400</v>
      </c>
      <c r="L196">
        <v>0</v>
      </c>
      <c r="M196">
        <v>0</v>
      </c>
      <c r="N196">
        <v>2400</v>
      </c>
    </row>
    <row r="197" spans="1:14" x14ac:dyDescent="0.25">
      <c r="A197">
        <v>28.304818000000001</v>
      </c>
      <c r="B197" s="1">
        <f>DATE(2010,5,29) + TIME(7,18,56)</f>
        <v>40327.304814814815</v>
      </c>
      <c r="C197">
        <v>1923.5092772999999</v>
      </c>
      <c r="D197">
        <v>1795.6409911999999</v>
      </c>
      <c r="E197">
        <v>541.45404053000004</v>
      </c>
      <c r="F197">
        <v>146.73370360999999</v>
      </c>
      <c r="G197">
        <v>80</v>
      </c>
      <c r="H197">
        <v>79.891952515</v>
      </c>
      <c r="I197">
        <v>50</v>
      </c>
      <c r="J197">
        <v>14.97053051</v>
      </c>
      <c r="K197">
        <v>2400</v>
      </c>
      <c r="L197">
        <v>0</v>
      </c>
      <c r="M197">
        <v>0</v>
      </c>
      <c r="N197">
        <v>2400</v>
      </c>
    </row>
    <row r="198" spans="1:14" x14ac:dyDescent="0.25">
      <c r="A198">
        <v>28.540628000000002</v>
      </c>
      <c r="B198" s="1">
        <f>DATE(2010,5,29) + TIME(12,58,30)</f>
        <v>40327.540625000001</v>
      </c>
      <c r="C198">
        <v>1922.4873047000001</v>
      </c>
      <c r="D198">
        <v>1794.6253661999999</v>
      </c>
      <c r="E198">
        <v>541.50396728999999</v>
      </c>
      <c r="F198">
        <v>146.78453064000001</v>
      </c>
      <c r="G198">
        <v>80</v>
      </c>
      <c r="H198">
        <v>79.891944885000001</v>
      </c>
      <c r="I198">
        <v>50</v>
      </c>
      <c r="J198">
        <v>14.970648766</v>
      </c>
      <c r="K198">
        <v>2400</v>
      </c>
      <c r="L198">
        <v>0</v>
      </c>
      <c r="M198">
        <v>0</v>
      </c>
      <c r="N198">
        <v>2400</v>
      </c>
    </row>
    <row r="199" spans="1:14" x14ac:dyDescent="0.25">
      <c r="A199">
        <v>28.776437999999999</v>
      </c>
      <c r="B199" s="1">
        <f>DATE(2010,5,29) + TIME(18,38,4)</f>
        <v>40327.776435185187</v>
      </c>
      <c r="C199">
        <v>1921.9108887</v>
      </c>
      <c r="D199">
        <v>1794.0527344</v>
      </c>
      <c r="E199">
        <v>541.54412841999999</v>
      </c>
      <c r="F199">
        <v>146.82562256</v>
      </c>
      <c r="G199">
        <v>80</v>
      </c>
      <c r="H199">
        <v>79.891998290999993</v>
      </c>
      <c r="I199">
        <v>50</v>
      </c>
      <c r="J199">
        <v>14.970762253</v>
      </c>
      <c r="K199">
        <v>2400</v>
      </c>
      <c r="L199">
        <v>0</v>
      </c>
      <c r="M199">
        <v>0</v>
      </c>
      <c r="N199">
        <v>2400</v>
      </c>
    </row>
    <row r="200" spans="1:14" x14ac:dyDescent="0.25">
      <c r="A200">
        <v>29.012248</v>
      </c>
      <c r="B200" s="1">
        <f>DATE(2010,5,30) + TIME(0,17,38)</f>
        <v>40328.012245370373</v>
      </c>
      <c r="C200">
        <v>1921.369751</v>
      </c>
      <c r="D200">
        <v>1793.5153809000001</v>
      </c>
      <c r="E200">
        <v>541.57873534999999</v>
      </c>
      <c r="F200">
        <v>146.86120604999999</v>
      </c>
      <c r="G200">
        <v>80</v>
      </c>
      <c r="H200">
        <v>79.892051696999999</v>
      </c>
      <c r="I200">
        <v>50</v>
      </c>
      <c r="J200">
        <v>14.970870017999999</v>
      </c>
      <c r="K200">
        <v>2400</v>
      </c>
      <c r="L200">
        <v>0</v>
      </c>
      <c r="M200">
        <v>0</v>
      </c>
      <c r="N200">
        <v>2400</v>
      </c>
    </row>
    <row r="201" spans="1:14" x14ac:dyDescent="0.25">
      <c r="A201">
        <v>29.248058</v>
      </c>
      <c r="B201" s="1">
        <f>DATE(2010,5,30) + TIME(5,57,12)</f>
        <v>40328.248055555552</v>
      </c>
      <c r="C201">
        <v>1920.8386230000001</v>
      </c>
      <c r="D201">
        <v>1792.9879149999999</v>
      </c>
      <c r="E201">
        <v>541.61138916000004</v>
      </c>
      <c r="F201">
        <v>146.89472961000001</v>
      </c>
      <c r="G201">
        <v>80</v>
      </c>
      <c r="H201">
        <v>79.892105103000006</v>
      </c>
      <c r="I201">
        <v>50</v>
      </c>
      <c r="J201">
        <v>14.970975876000001</v>
      </c>
      <c r="K201">
        <v>2400</v>
      </c>
      <c r="L201">
        <v>0</v>
      </c>
      <c r="M201">
        <v>0</v>
      </c>
      <c r="N201">
        <v>2400</v>
      </c>
    </row>
    <row r="202" spans="1:14" x14ac:dyDescent="0.25">
      <c r="A202">
        <v>29.483867</v>
      </c>
      <c r="B202" s="1">
        <f>DATE(2010,5,30) + TIME(11,36,46)</f>
        <v>40328.483865740738</v>
      </c>
      <c r="C202">
        <v>1920.3137207</v>
      </c>
      <c r="D202">
        <v>1792.4666748</v>
      </c>
      <c r="E202">
        <v>541.64343262</v>
      </c>
      <c r="F202">
        <v>146.92765807999999</v>
      </c>
      <c r="G202">
        <v>80</v>
      </c>
      <c r="H202">
        <v>79.892158507999994</v>
      </c>
      <c r="I202">
        <v>50</v>
      </c>
      <c r="J202">
        <v>14.971077919000001</v>
      </c>
      <c r="K202">
        <v>2400</v>
      </c>
      <c r="L202">
        <v>0</v>
      </c>
      <c r="M202">
        <v>0</v>
      </c>
      <c r="N202">
        <v>2400</v>
      </c>
    </row>
    <row r="203" spans="1:14" x14ac:dyDescent="0.25">
      <c r="A203">
        <v>29.955487000000002</v>
      </c>
      <c r="B203" s="1">
        <f>DATE(2010,5,30) + TIME(22,55,54)</f>
        <v>40328.95548611111</v>
      </c>
      <c r="C203">
        <v>1919.7720947</v>
      </c>
      <c r="D203">
        <v>1791.9293213000001</v>
      </c>
      <c r="E203">
        <v>541.68377685999997</v>
      </c>
      <c r="F203">
        <v>146.96952820000001</v>
      </c>
      <c r="G203">
        <v>80</v>
      </c>
      <c r="H203">
        <v>79.892303467000005</v>
      </c>
      <c r="I203">
        <v>50</v>
      </c>
      <c r="J203">
        <v>14.971241951</v>
      </c>
      <c r="K203">
        <v>2400</v>
      </c>
      <c r="L203">
        <v>0</v>
      </c>
      <c r="M203">
        <v>0</v>
      </c>
      <c r="N203">
        <v>2400</v>
      </c>
    </row>
    <row r="204" spans="1:14" x14ac:dyDescent="0.25">
      <c r="A204">
        <v>30.427377</v>
      </c>
      <c r="B204" s="1">
        <f>DATE(2010,5,31) + TIME(10,15,25)</f>
        <v>40329.427372685182</v>
      </c>
      <c r="C204">
        <v>1918.7741699000001</v>
      </c>
      <c r="D204">
        <v>1790.9387207</v>
      </c>
      <c r="E204">
        <v>541.74243163999995</v>
      </c>
      <c r="F204">
        <v>147.02961730999999</v>
      </c>
      <c r="G204">
        <v>80</v>
      </c>
      <c r="H204">
        <v>79.892395019999995</v>
      </c>
      <c r="I204">
        <v>50</v>
      </c>
      <c r="J204">
        <v>14.971411705</v>
      </c>
      <c r="K204">
        <v>2400</v>
      </c>
      <c r="L204">
        <v>0</v>
      </c>
      <c r="M204">
        <v>0</v>
      </c>
      <c r="N204">
        <v>2400</v>
      </c>
    </row>
    <row r="205" spans="1:14" x14ac:dyDescent="0.25">
      <c r="A205">
        <v>30.901375999999999</v>
      </c>
      <c r="B205" s="1">
        <f>DATE(2010,5,31) + TIME(21,37,58)</f>
        <v>40329.901365740741</v>
      </c>
      <c r="C205">
        <v>1917.7686768000001</v>
      </c>
      <c r="D205">
        <v>1789.9401855000001</v>
      </c>
      <c r="E205">
        <v>541.80639647999999</v>
      </c>
      <c r="F205">
        <v>147.09504699999999</v>
      </c>
      <c r="G205">
        <v>80</v>
      </c>
      <c r="H205">
        <v>79.892478943</v>
      </c>
      <c r="I205">
        <v>50</v>
      </c>
      <c r="J205">
        <v>14.971586227</v>
      </c>
      <c r="K205">
        <v>2400</v>
      </c>
      <c r="L205">
        <v>0</v>
      </c>
      <c r="M205">
        <v>0</v>
      </c>
      <c r="N205">
        <v>2400</v>
      </c>
    </row>
    <row r="206" spans="1:14" x14ac:dyDescent="0.25">
      <c r="A206">
        <v>31</v>
      </c>
      <c r="B206" s="1">
        <f>DATE(2010,6,1) + TIME(0,0,0)</f>
        <v>40330</v>
      </c>
      <c r="C206">
        <v>1916.9134521000001</v>
      </c>
      <c r="D206">
        <v>1789.0915527</v>
      </c>
      <c r="E206">
        <v>541.83728026999995</v>
      </c>
      <c r="F206">
        <v>147.12623596</v>
      </c>
      <c r="G206">
        <v>80</v>
      </c>
      <c r="H206">
        <v>79.892410278</v>
      </c>
      <c r="I206">
        <v>50</v>
      </c>
      <c r="J206">
        <v>14.97163868</v>
      </c>
      <c r="K206">
        <v>2400</v>
      </c>
      <c r="L206">
        <v>0</v>
      </c>
      <c r="M206">
        <v>0</v>
      </c>
      <c r="N206">
        <v>2400</v>
      </c>
    </row>
    <row r="207" spans="1:14" x14ac:dyDescent="0.25">
      <c r="A207">
        <v>31.476818999999999</v>
      </c>
      <c r="B207" s="1">
        <f>DATE(2010,6,1) + TIME(11,26,37)</f>
        <v>40330.476817129631</v>
      </c>
      <c r="C207">
        <v>1916.5360106999999</v>
      </c>
      <c r="D207">
        <v>1788.7163086</v>
      </c>
      <c r="E207">
        <v>541.890625</v>
      </c>
      <c r="F207">
        <v>147.18112183</v>
      </c>
      <c r="G207">
        <v>80</v>
      </c>
      <c r="H207">
        <v>79.892585753999995</v>
      </c>
      <c r="I207">
        <v>50</v>
      </c>
      <c r="J207">
        <v>14.971808434</v>
      </c>
      <c r="K207">
        <v>2400</v>
      </c>
      <c r="L207">
        <v>0</v>
      </c>
      <c r="M207">
        <v>0</v>
      </c>
      <c r="N207">
        <v>2400</v>
      </c>
    </row>
    <row r="208" spans="1:14" x14ac:dyDescent="0.25">
      <c r="A208">
        <v>31.95805</v>
      </c>
      <c r="B208" s="1">
        <f>DATE(2010,6,1) + TIME(22,59,35)</f>
        <v>40330.958043981482</v>
      </c>
      <c r="C208">
        <v>1915.5723877</v>
      </c>
      <c r="D208">
        <v>1787.7596435999999</v>
      </c>
      <c r="E208">
        <v>541.95202637</v>
      </c>
      <c r="F208">
        <v>147.24398804</v>
      </c>
      <c r="G208">
        <v>80</v>
      </c>
      <c r="H208">
        <v>79.892684936999999</v>
      </c>
      <c r="I208">
        <v>50</v>
      </c>
      <c r="J208">
        <v>14.971982002000001</v>
      </c>
      <c r="K208">
        <v>2400</v>
      </c>
      <c r="L208">
        <v>0</v>
      </c>
      <c r="M208">
        <v>0</v>
      </c>
      <c r="N208">
        <v>2400</v>
      </c>
    </row>
    <row r="209" spans="1:14" x14ac:dyDescent="0.25">
      <c r="A209">
        <v>32.443646000000001</v>
      </c>
      <c r="B209" s="1">
        <f>DATE(2010,6,2) + TIME(10,38,51)</f>
        <v>40331.443645833337</v>
      </c>
      <c r="C209">
        <v>1914.5931396000001</v>
      </c>
      <c r="D209">
        <v>1786.7874756000001</v>
      </c>
      <c r="E209">
        <v>542.01770020000004</v>
      </c>
      <c r="F209">
        <v>147.31108093</v>
      </c>
      <c r="G209">
        <v>80</v>
      </c>
      <c r="H209">
        <v>79.892776488999999</v>
      </c>
      <c r="I209">
        <v>50</v>
      </c>
      <c r="J209">
        <v>14.972157478</v>
      </c>
      <c r="K209">
        <v>2400</v>
      </c>
      <c r="L209">
        <v>0</v>
      </c>
      <c r="M209">
        <v>0</v>
      </c>
      <c r="N209">
        <v>2400</v>
      </c>
    </row>
    <row r="210" spans="1:14" x14ac:dyDescent="0.25">
      <c r="A210">
        <v>32.934370000000001</v>
      </c>
      <c r="B210" s="1">
        <f>DATE(2010,6,2) + TIME(22,25,29)</f>
        <v>40331.934363425928</v>
      </c>
      <c r="C210">
        <v>1913.6169434000001</v>
      </c>
      <c r="D210">
        <v>1785.8184814000001</v>
      </c>
      <c r="E210">
        <v>542.08489989999998</v>
      </c>
      <c r="F210">
        <v>147.37974548</v>
      </c>
      <c r="G210">
        <v>80</v>
      </c>
      <c r="H210">
        <v>79.892868042000003</v>
      </c>
      <c r="I210">
        <v>50</v>
      </c>
      <c r="J210">
        <v>14.972333908</v>
      </c>
      <c r="K210">
        <v>2400</v>
      </c>
      <c r="L210">
        <v>0</v>
      </c>
      <c r="M210">
        <v>0</v>
      </c>
      <c r="N210">
        <v>2400</v>
      </c>
    </row>
    <row r="211" spans="1:14" x14ac:dyDescent="0.25">
      <c r="A211">
        <v>33.430990999999999</v>
      </c>
      <c r="B211" s="1">
        <f>DATE(2010,6,3) + TIME(10,20,37)</f>
        <v>40332.430983796294</v>
      </c>
      <c r="C211">
        <v>1912.6442870999999</v>
      </c>
      <c r="D211">
        <v>1784.8529053</v>
      </c>
      <c r="E211">
        <v>542.15307616999996</v>
      </c>
      <c r="F211">
        <v>147.44940185999999</v>
      </c>
      <c r="G211">
        <v>80</v>
      </c>
      <c r="H211">
        <v>79.892967224000003</v>
      </c>
      <c r="I211">
        <v>50</v>
      </c>
      <c r="J211">
        <v>14.972510337999999</v>
      </c>
      <c r="K211">
        <v>2400</v>
      </c>
      <c r="L211">
        <v>0</v>
      </c>
      <c r="M211">
        <v>0</v>
      </c>
      <c r="N211">
        <v>2400</v>
      </c>
    </row>
    <row r="212" spans="1:14" x14ac:dyDescent="0.25">
      <c r="A212">
        <v>33.934429000000002</v>
      </c>
      <c r="B212" s="1">
        <f>DATE(2010,6,3) + TIME(22,25,34)</f>
        <v>40332.934421296297</v>
      </c>
      <c r="C212">
        <v>1911.6739502</v>
      </c>
      <c r="D212">
        <v>1783.8897704999999</v>
      </c>
      <c r="E212">
        <v>542.22229003999996</v>
      </c>
      <c r="F212">
        <v>147.52006531000001</v>
      </c>
      <c r="G212">
        <v>80</v>
      </c>
      <c r="H212">
        <v>79.893058776999993</v>
      </c>
      <c r="I212">
        <v>50</v>
      </c>
      <c r="J212">
        <v>14.972687721</v>
      </c>
      <c r="K212">
        <v>2400</v>
      </c>
      <c r="L212">
        <v>0</v>
      </c>
      <c r="M212">
        <v>0</v>
      </c>
      <c r="N212">
        <v>2400</v>
      </c>
    </row>
    <row r="213" spans="1:14" x14ac:dyDescent="0.25">
      <c r="A213">
        <v>34.445528000000003</v>
      </c>
      <c r="B213" s="1">
        <f>DATE(2010,6,4) + TIME(10,41,33)</f>
        <v>40333.445520833331</v>
      </c>
      <c r="C213">
        <v>1910.7044678</v>
      </c>
      <c r="D213">
        <v>1782.9274902</v>
      </c>
      <c r="E213">
        <v>542.29266356999995</v>
      </c>
      <c r="F213">
        <v>147.59185790999999</v>
      </c>
      <c r="G213">
        <v>80</v>
      </c>
      <c r="H213">
        <v>79.893157959000007</v>
      </c>
      <c r="I213">
        <v>50</v>
      </c>
      <c r="J213">
        <v>14.972865105</v>
      </c>
      <c r="K213">
        <v>2400</v>
      </c>
      <c r="L213">
        <v>0</v>
      </c>
      <c r="M213">
        <v>0</v>
      </c>
      <c r="N213">
        <v>2400</v>
      </c>
    </row>
    <row r="214" spans="1:14" x14ac:dyDescent="0.25">
      <c r="A214">
        <v>34.965082000000002</v>
      </c>
      <c r="B214" s="1">
        <f>DATE(2010,6,4) + TIME(23,9,43)</f>
        <v>40333.965081018519</v>
      </c>
      <c r="C214">
        <v>1909.7344971</v>
      </c>
      <c r="D214">
        <v>1781.9647216999999</v>
      </c>
      <c r="E214">
        <v>542.36425781000003</v>
      </c>
      <c r="F214">
        <v>147.66493224999999</v>
      </c>
      <c r="G214">
        <v>80</v>
      </c>
      <c r="H214">
        <v>79.893257141000007</v>
      </c>
      <c r="I214">
        <v>50</v>
      </c>
      <c r="J214">
        <v>14.973043442</v>
      </c>
      <c r="K214">
        <v>2400</v>
      </c>
      <c r="L214">
        <v>0</v>
      </c>
      <c r="M214">
        <v>0</v>
      </c>
      <c r="N214">
        <v>2400</v>
      </c>
    </row>
    <row r="215" spans="1:14" x14ac:dyDescent="0.25">
      <c r="A215">
        <v>35.494053999999998</v>
      </c>
      <c r="B215" s="1">
        <f>DATE(2010,6,5) + TIME(11,51,26)</f>
        <v>40334.494050925925</v>
      </c>
      <c r="C215">
        <v>1908.7625731999999</v>
      </c>
      <c r="D215">
        <v>1781.0001221</v>
      </c>
      <c r="E215">
        <v>542.43725586000005</v>
      </c>
      <c r="F215">
        <v>147.7394104</v>
      </c>
      <c r="G215">
        <v>80</v>
      </c>
      <c r="H215">
        <v>79.893363953000005</v>
      </c>
      <c r="I215">
        <v>50</v>
      </c>
      <c r="J215">
        <v>14.973221778999999</v>
      </c>
      <c r="K215">
        <v>2400</v>
      </c>
      <c r="L215">
        <v>0</v>
      </c>
      <c r="M215">
        <v>0</v>
      </c>
      <c r="N215">
        <v>2400</v>
      </c>
    </row>
    <row r="216" spans="1:14" x14ac:dyDescent="0.25">
      <c r="A216">
        <v>36.032446</v>
      </c>
      <c r="B216" s="1">
        <f>DATE(2010,6,6) + TIME(0,46,43)</f>
        <v>40335.032442129632</v>
      </c>
      <c r="C216">
        <v>1907.7874756000001</v>
      </c>
      <c r="D216">
        <v>1780.0323486</v>
      </c>
      <c r="E216">
        <v>542.51184081999997</v>
      </c>
      <c r="F216">
        <v>147.81539917000001</v>
      </c>
      <c r="G216">
        <v>80</v>
      </c>
      <c r="H216">
        <v>79.893470764</v>
      </c>
      <c r="I216">
        <v>50</v>
      </c>
      <c r="J216">
        <v>14.973402023</v>
      </c>
      <c r="K216">
        <v>2400</v>
      </c>
      <c r="L216">
        <v>0</v>
      </c>
      <c r="M216">
        <v>0</v>
      </c>
      <c r="N216">
        <v>2400</v>
      </c>
    </row>
    <row r="217" spans="1:14" x14ac:dyDescent="0.25">
      <c r="A217">
        <v>36.581198999999998</v>
      </c>
      <c r="B217" s="1">
        <f>DATE(2010,6,6) + TIME(13,56,55)</f>
        <v>40335.581192129626</v>
      </c>
      <c r="C217">
        <v>1906.8093262</v>
      </c>
      <c r="D217">
        <v>1779.0615233999999</v>
      </c>
      <c r="E217">
        <v>542.58795166000004</v>
      </c>
      <c r="F217">
        <v>147.89299011</v>
      </c>
      <c r="G217">
        <v>80</v>
      </c>
      <c r="H217">
        <v>79.893569946</v>
      </c>
      <c r="I217">
        <v>50</v>
      </c>
      <c r="J217">
        <v>14.973582267999999</v>
      </c>
      <c r="K217">
        <v>2400</v>
      </c>
      <c r="L217">
        <v>0</v>
      </c>
      <c r="M217">
        <v>0</v>
      </c>
      <c r="N217">
        <v>2400</v>
      </c>
    </row>
    <row r="218" spans="1:14" x14ac:dyDescent="0.25">
      <c r="A218">
        <v>37.141432000000002</v>
      </c>
      <c r="B218" s="1">
        <f>DATE(2010,6,7) + TIME(3,23,39)</f>
        <v>40336.141423611109</v>
      </c>
      <c r="C218">
        <v>1905.8267822</v>
      </c>
      <c r="D218">
        <v>1778.0865478999999</v>
      </c>
      <c r="E218">
        <v>542.66577147999999</v>
      </c>
      <c r="F218">
        <v>147.97229003999999</v>
      </c>
      <c r="G218">
        <v>80</v>
      </c>
      <c r="H218">
        <v>79.893684386999993</v>
      </c>
      <c r="I218">
        <v>50</v>
      </c>
      <c r="J218">
        <v>14.973763465999999</v>
      </c>
      <c r="K218">
        <v>2400</v>
      </c>
      <c r="L218">
        <v>0</v>
      </c>
      <c r="M218">
        <v>0</v>
      </c>
      <c r="N218">
        <v>2400</v>
      </c>
    </row>
    <row r="219" spans="1:14" x14ac:dyDescent="0.25">
      <c r="A219">
        <v>37.423833000000002</v>
      </c>
      <c r="B219" s="1">
        <f>DATE(2010,6,7) + TIME(10,10,19)</f>
        <v>40336.423831018517</v>
      </c>
      <c r="C219">
        <v>1904.8823242000001</v>
      </c>
      <c r="D219">
        <v>1777.1488036999999</v>
      </c>
      <c r="E219">
        <v>542.73071288999995</v>
      </c>
      <c r="F219">
        <v>148.03799437999999</v>
      </c>
      <c r="G219">
        <v>80</v>
      </c>
      <c r="H219">
        <v>79.893684386999993</v>
      </c>
      <c r="I219">
        <v>50</v>
      </c>
      <c r="J219">
        <v>14.973878859999999</v>
      </c>
      <c r="K219">
        <v>2400</v>
      </c>
      <c r="L219">
        <v>0</v>
      </c>
      <c r="M219">
        <v>0</v>
      </c>
      <c r="N219">
        <v>2400</v>
      </c>
    </row>
    <row r="220" spans="1:14" x14ac:dyDescent="0.25">
      <c r="A220">
        <v>37.706234000000002</v>
      </c>
      <c r="B220" s="1">
        <f>DATE(2010,6,7) + TIME(16,56,58)</f>
        <v>40336.706226851849</v>
      </c>
      <c r="C220">
        <v>1904.3491211</v>
      </c>
      <c r="D220">
        <v>1776.6195068</v>
      </c>
      <c r="E220">
        <v>542.78039550999995</v>
      </c>
      <c r="F220">
        <v>148.08851623999999</v>
      </c>
      <c r="G220">
        <v>80</v>
      </c>
      <c r="H220">
        <v>79.893745421999995</v>
      </c>
      <c r="I220">
        <v>50</v>
      </c>
      <c r="J220">
        <v>14.973986626</v>
      </c>
      <c r="K220">
        <v>2400</v>
      </c>
      <c r="L220">
        <v>0</v>
      </c>
      <c r="M220">
        <v>0</v>
      </c>
      <c r="N220">
        <v>2400</v>
      </c>
    </row>
    <row r="221" spans="1:14" x14ac:dyDescent="0.25">
      <c r="A221">
        <v>37.988635000000002</v>
      </c>
      <c r="B221" s="1">
        <f>DATE(2010,6,7) + TIME(23,43,38)</f>
        <v>40336.988634259258</v>
      </c>
      <c r="C221">
        <v>1903.8497314000001</v>
      </c>
      <c r="D221">
        <v>1776.1239014</v>
      </c>
      <c r="E221">
        <v>542.82305908000001</v>
      </c>
      <c r="F221">
        <v>148.13204956000001</v>
      </c>
      <c r="G221">
        <v>80</v>
      </c>
      <c r="H221">
        <v>79.893814086999996</v>
      </c>
      <c r="I221">
        <v>50</v>
      </c>
      <c r="J221">
        <v>14.974088669</v>
      </c>
      <c r="K221">
        <v>2400</v>
      </c>
      <c r="L221">
        <v>0</v>
      </c>
      <c r="M221">
        <v>0</v>
      </c>
      <c r="N221">
        <v>2400</v>
      </c>
    </row>
    <row r="222" spans="1:14" x14ac:dyDescent="0.25">
      <c r="A222">
        <v>38.271036000000002</v>
      </c>
      <c r="B222" s="1">
        <f>DATE(2010,6,8) + TIME(6,30,17)</f>
        <v>40337.27103009259</v>
      </c>
      <c r="C222">
        <v>1903.3598632999999</v>
      </c>
      <c r="D222">
        <v>1775.6376952999999</v>
      </c>
      <c r="E222">
        <v>542.86370850000003</v>
      </c>
      <c r="F222">
        <v>148.17347717000001</v>
      </c>
      <c r="G222">
        <v>80</v>
      </c>
      <c r="H222">
        <v>79.893875121999997</v>
      </c>
      <c r="I222">
        <v>50</v>
      </c>
      <c r="J222">
        <v>14.974187851</v>
      </c>
      <c r="K222">
        <v>2400</v>
      </c>
      <c r="L222">
        <v>0</v>
      </c>
      <c r="M222">
        <v>0</v>
      </c>
      <c r="N222">
        <v>2400</v>
      </c>
    </row>
    <row r="223" spans="1:14" x14ac:dyDescent="0.25">
      <c r="A223">
        <v>38.835838000000003</v>
      </c>
      <c r="B223" s="1">
        <f>DATE(2010,6,8) + TIME(20,3,36)</f>
        <v>40337.835833333331</v>
      </c>
      <c r="C223">
        <v>1902.854126</v>
      </c>
      <c r="D223">
        <v>1775.1363524999999</v>
      </c>
      <c r="E223">
        <v>542.91290283000001</v>
      </c>
      <c r="F223">
        <v>148.22402954</v>
      </c>
      <c r="G223">
        <v>80</v>
      </c>
      <c r="H223">
        <v>79.894027710000003</v>
      </c>
      <c r="I223">
        <v>50</v>
      </c>
      <c r="J223">
        <v>14.974341393</v>
      </c>
      <c r="K223">
        <v>2400</v>
      </c>
      <c r="L223">
        <v>0</v>
      </c>
      <c r="M223">
        <v>0</v>
      </c>
      <c r="N223">
        <v>2400</v>
      </c>
    </row>
    <row r="224" spans="1:14" x14ac:dyDescent="0.25">
      <c r="A224">
        <v>39.400807</v>
      </c>
      <c r="B224" s="1">
        <f>DATE(2010,6,9) + TIME(9,37,9)</f>
        <v>40338.40079861111</v>
      </c>
      <c r="C224">
        <v>1901.9257812000001</v>
      </c>
      <c r="D224">
        <v>1774.2152100000001</v>
      </c>
      <c r="E224">
        <v>542.98742675999995</v>
      </c>
      <c r="F224">
        <v>148.29985045999999</v>
      </c>
      <c r="G224">
        <v>80</v>
      </c>
      <c r="H224">
        <v>79.894126892000003</v>
      </c>
      <c r="I224">
        <v>50</v>
      </c>
      <c r="J224">
        <v>14.974502563</v>
      </c>
      <c r="K224">
        <v>2400</v>
      </c>
      <c r="L224">
        <v>0</v>
      </c>
      <c r="M224">
        <v>0</v>
      </c>
      <c r="N224">
        <v>2400</v>
      </c>
    </row>
    <row r="225" spans="1:14" x14ac:dyDescent="0.25">
      <c r="A225">
        <v>39.968097</v>
      </c>
      <c r="B225" s="1">
        <f>DATE(2010,6,9) + TIME(23,14,3)</f>
        <v>40338.968090277776</v>
      </c>
      <c r="C225">
        <v>1900.9886475000001</v>
      </c>
      <c r="D225">
        <v>1773.2854004000001</v>
      </c>
      <c r="E225">
        <v>543.06817626999998</v>
      </c>
      <c r="F225">
        <v>148.38183594</v>
      </c>
      <c r="G225">
        <v>80</v>
      </c>
      <c r="H225">
        <v>79.894226074000002</v>
      </c>
      <c r="I225">
        <v>50</v>
      </c>
      <c r="J225">
        <v>14.974667548999999</v>
      </c>
      <c r="K225">
        <v>2400</v>
      </c>
      <c r="L225">
        <v>0</v>
      </c>
      <c r="M225">
        <v>0</v>
      </c>
      <c r="N225">
        <v>2400</v>
      </c>
    </row>
    <row r="226" spans="1:14" x14ac:dyDescent="0.25">
      <c r="A226">
        <v>40.538544000000002</v>
      </c>
      <c r="B226" s="1">
        <f>DATE(2010,6,10) + TIME(12,55,30)</f>
        <v>40339.538541666669</v>
      </c>
      <c r="C226">
        <v>1900.0574951000001</v>
      </c>
      <c r="D226">
        <v>1772.3614502</v>
      </c>
      <c r="E226">
        <v>543.15026854999996</v>
      </c>
      <c r="F226">
        <v>148.46522522000001</v>
      </c>
      <c r="G226">
        <v>80</v>
      </c>
      <c r="H226">
        <v>79.894332886000001</v>
      </c>
      <c r="I226">
        <v>50</v>
      </c>
      <c r="J226">
        <v>14.974835396</v>
      </c>
      <c r="K226">
        <v>2400</v>
      </c>
      <c r="L226">
        <v>0</v>
      </c>
      <c r="M226">
        <v>0</v>
      </c>
      <c r="N226">
        <v>2400</v>
      </c>
    </row>
    <row r="227" spans="1:14" x14ac:dyDescent="0.25">
      <c r="A227">
        <v>41.113002000000002</v>
      </c>
      <c r="B227" s="1">
        <f>DATE(2010,6,11) + TIME(2,42,43)</f>
        <v>40340.112997685188</v>
      </c>
      <c r="C227">
        <v>1899.1330565999999</v>
      </c>
      <c r="D227">
        <v>1771.4443358999999</v>
      </c>
      <c r="E227">
        <v>543.23303223000005</v>
      </c>
      <c r="F227">
        <v>148.54933166999999</v>
      </c>
      <c r="G227">
        <v>80</v>
      </c>
      <c r="H227">
        <v>79.894439696999996</v>
      </c>
      <c r="I227">
        <v>50</v>
      </c>
      <c r="J227">
        <v>14.975004196</v>
      </c>
      <c r="K227">
        <v>2400</v>
      </c>
      <c r="L227">
        <v>0</v>
      </c>
      <c r="M227">
        <v>0</v>
      </c>
      <c r="N227">
        <v>2400</v>
      </c>
    </row>
    <row r="228" spans="1:14" x14ac:dyDescent="0.25">
      <c r="A228">
        <v>41.692335</v>
      </c>
      <c r="B228" s="1">
        <f>DATE(2010,6,11) + TIME(16,36,57)</f>
        <v>40340.692326388889</v>
      </c>
      <c r="C228">
        <v>1898.2145995999999</v>
      </c>
      <c r="D228">
        <v>1770.5330810999999</v>
      </c>
      <c r="E228">
        <v>543.31665038999995</v>
      </c>
      <c r="F228">
        <v>148.63423157</v>
      </c>
      <c r="G228">
        <v>80</v>
      </c>
      <c r="H228">
        <v>79.894546508999994</v>
      </c>
      <c r="I228">
        <v>50</v>
      </c>
      <c r="J228">
        <v>14.97517395</v>
      </c>
      <c r="K228">
        <v>2400</v>
      </c>
      <c r="L228">
        <v>0</v>
      </c>
      <c r="M228">
        <v>0</v>
      </c>
      <c r="N228">
        <v>2400</v>
      </c>
    </row>
    <row r="229" spans="1:14" x14ac:dyDescent="0.25">
      <c r="A229">
        <v>42.277428</v>
      </c>
      <c r="B229" s="1">
        <f>DATE(2010,6,12) + TIME(6,39,29)</f>
        <v>40341.277418981481</v>
      </c>
      <c r="C229">
        <v>1897.3006591999999</v>
      </c>
      <c r="D229">
        <v>1769.6263428</v>
      </c>
      <c r="E229">
        <v>543.40118408000001</v>
      </c>
      <c r="F229">
        <v>148.72009277000001</v>
      </c>
      <c r="G229">
        <v>80</v>
      </c>
      <c r="H229">
        <v>79.894653320000003</v>
      </c>
      <c r="I229">
        <v>50</v>
      </c>
      <c r="J229">
        <v>14.975342750999999</v>
      </c>
      <c r="K229">
        <v>2400</v>
      </c>
      <c r="L229">
        <v>0</v>
      </c>
      <c r="M229">
        <v>0</v>
      </c>
      <c r="N229">
        <v>2400</v>
      </c>
    </row>
    <row r="230" spans="1:14" x14ac:dyDescent="0.25">
      <c r="A230">
        <v>42.869200999999997</v>
      </c>
      <c r="B230" s="1">
        <f>DATE(2010,6,12) + TIME(20,51,38)</f>
        <v>40341.869189814817</v>
      </c>
      <c r="C230">
        <v>1896.3898925999999</v>
      </c>
      <c r="D230">
        <v>1768.7229004000001</v>
      </c>
      <c r="E230">
        <v>543.48687743999994</v>
      </c>
      <c r="F230">
        <v>148.80706787</v>
      </c>
      <c r="G230">
        <v>80</v>
      </c>
      <c r="H230">
        <v>79.894767760999997</v>
      </c>
      <c r="I230">
        <v>50</v>
      </c>
      <c r="J230">
        <v>14.975512504999999</v>
      </c>
      <c r="K230">
        <v>2400</v>
      </c>
      <c r="L230">
        <v>0</v>
      </c>
      <c r="M230">
        <v>0</v>
      </c>
      <c r="N230">
        <v>2400</v>
      </c>
    </row>
    <row r="231" spans="1:14" x14ac:dyDescent="0.25">
      <c r="A231">
        <v>43.468819000000003</v>
      </c>
      <c r="B231" s="1">
        <f>DATE(2010,6,13) + TIME(11,15,5)</f>
        <v>40342.468807870369</v>
      </c>
      <c r="C231">
        <v>1895.4812012</v>
      </c>
      <c r="D231">
        <v>1767.8214111</v>
      </c>
      <c r="E231">
        <v>543.57391356999995</v>
      </c>
      <c r="F231">
        <v>148.89537048</v>
      </c>
      <c r="G231">
        <v>80</v>
      </c>
      <c r="H231">
        <v>79.894882202000005</v>
      </c>
      <c r="I231">
        <v>50</v>
      </c>
      <c r="J231">
        <v>14.975681305</v>
      </c>
      <c r="K231">
        <v>2400</v>
      </c>
      <c r="L231">
        <v>0</v>
      </c>
      <c r="M231">
        <v>0</v>
      </c>
      <c r="N231">
        <v>2400</v>
      </c>
    </row>
    <row r="232" spans="1:14" x14ac:dyDescent="0.25">
      <c r="A232">
        <v>44.077168</v>
      </c>
      <c r="B232" s="1">
        <f>DATE(2010,6,14) + TIME(1,51,7)</f>
        <v>40343.077164351853</v>
      </c>
      <c r="C232">
        <v>1894.572876</v>
      </c>
      <c r="D232">
        <v>1766.9202881000001</v>
      </c>
      <c r="E232">
        <v>543.66241454999999</v>
      </c>
      <c r="F232">
        <v>148.98513793999999</v>
      </c>
      <c r="G232">
        <v>80</v>
      </c>
      <c r="H232">
        <v>79.894996642999999</v>
      </c>
      <c r="I232">
        <v>50</v>
      </c>
      <c r="J232">
        <v>14.975851059</v>
      </c>
      <c r="K232">
        <v>2400</v>
      </c>
      <c r="L232">
        <v>0</v>
      </c>
      <c r="M232">
        <v>0</v>
      </c>
      <c r="N232">
        <v>2400</v>
      </c>
    </row>
    <row r="233" spans="1:14" x14ac:dyDescent="0.25">
      <c r="A233">
        <v>44.695017</v>
      </c>
      <c r="B233" s="1">
        <f>DATE(2010,6,14) + TIME(16,40,49)</f>
        <v>40343.695011574076</v>
      </c>
      <c r="C233">
        <v>1893.6635742000001</v>
      </c>
      <c r="D233">
        <v>1766.0181885</v>
      </c>
      <c r="E233">
        <v>543.75250243999994</v>
      </c>
      <c r="F233">
        <v>149.07655334</v>
      </c>
      <c r="G233">
        <v>80</v>
      </c>
      <c r="H233">
        <v>79.895111084000007</v>
      </c>
      <c r="I233">
        <v>50</v>
      </c>
      <c r="J233">
        <v>14.976021767000001</v>
      </c>
      <c r="K233">
        <v>2400</v>
      </c>
      <c r="L233">
        <v>0</v>
      </c>
      <c r="M233">
        <v>0</v>
      </c>
      <c r="N233">
        <v>2400</v>
      </c>
    </row>
    <row r="234" spans="1:14" x14ac:dyDescent="0.25">
      <c r="A234">
        <v>45.322997000000001</v>
      </c>
      <c r="B234" s="1">
        <f>DATE(2010,6,15) + TIME(7,45,6)</f>
        <v>40344.32298611111</v>
      </c>
      <c r="C234">
        <v>1892.7525635</v>
      </c>
      <c r="D234">
        <v>1765.1145019999999</v>
      </c>
      <c r="E234">
        <v>543.84442138999998</v>
      </c>
      <c r="F234">
        <v>149.16973877000001</v>
      </c>
      <c r="G234">
        <v>80</v>
      </c>
      <c r="H234">
        <v>79.895225525000001</v>
      </c>
      <c r="I234">
        <v>50</v>
      </c>
      <c r="J234">
        <v>14.976192473999999</v>
      </c>
      <c r="K234">
        <v>2400</v>
      </c>
      <c r="L234">
        <v>0</v>
      </c>
      <c r="M234">
        <v>0</v>
      </c>
      <c r="N234">
        <v>2400</v>
      </c>
    </row>
    <row r="235" spans="1:14" x14ac:dyDescent="0.25">
      <c r="A235">
        <v>45.961475</v>
      </c>
      <c r="B235" s="1">
        <f>DATE(2010,6,15) + TIME(23,4,31)</f>
        <v>40344.961469907408</v>
      </c>
      <c r="C235">
        <v>1891.8389893000001</v>
      </c>
      <c r="D235">
        <v>1764.2082519999999</v>
      </c>
      <c r="E235">
        <v>543.93823241999996</v>
      </c>
      <c r="F235">
        <v>149.26478577</v>
      </c>
      <c r="G235">
        <v>80</v>
      </c>
      <c r="H235">
        <v>79.895347595000004</v>
      </c>
      <c r="I235">
        <v>50</v>
      </c>
      <c r="J235">
        <v>14.976363182</v>
      </c>
      <c r="K235">
        <v>2400</v>
      </c>
      <c r="L235">
        <v>0</v>
      </c>
      <c r="M235">
        <v>0</v>
      </c>
      <c r="N235">
        <v>2400</v>
      </c>
    </row>
    <row r="236" spans="1:14" x14ac:dyDescent="0.25">
      <c r="A236">
        <v>46.611674000000001</v>
      </c>
      <c r="B236" s="1">
        <f>DATE(2010,6,16) + TIME(14,40,48)</f>
        <v>40345.611666666664</v>
      </c>
      <c r="C236">
        <v>1890.9223632999999</v>
      </c>
      <c r="D236">
        <v>1763.2990723</v>
      </c>
      <c r="E236">
        <v>544.03393555000002</v>
      </c>
      <c r="F236">
        <v>149.36175537</v>
      </c>
      <c r="G236">
        <v>80</v>
      </c>
      <c r="H236">
        <v>79.895469665999997</v>
      </c>
      <c r="I236">
        <v>50</v>
      </c>
      <c r="J236">
        <v>14.976535797</v>
      </c>
      <c r="K236">
        <v>2400</v>
      </c>
      <c r="L236">
        <v>0</v>
      </c>
      <c r="M236">
        <v>0</v>
      </c>
      <c r="N236">
        <v>2400</v>
      </c>
    </row>
    <row r="237" spans="1:14" x14ac:dyDescent="0.25">
      <c r="A237">
        <v>46.942379000000003</v>
      </c>
      <c r="B237" s="1">
        <f>DATE(2010,6,16) + TIME(22,37,1)</f>
        <v>40345.942372685182</v>
      </c>
      <c r="C237">
        <v>1890.0432129000001</v>
      </c>
      <c r="D237">
        <v>1762.4267577999999</v>
      </c>
      <c r="E237">
        <v>544.11614989999998</v>
      </c>
      <c r="F237">
        <v>149.44468689000001</v>
      </c>
      <c r="G237">
        <v>80</v>
      </c>
      <c r="H237">
        <v>79.895484924000002</v>
      </c>
      <c r="I237">
        <v>50</v>
      </c>
      <c r="J237">
        <v>14.976648331</v>
      </c>
      <c r="K237">
        <v>2400</v>
      </c>
      <c r="L237">
        <v>0</v>
      </c>
      <c r="M237">
        <v>0</v>
      </c>
      <c r="N237">
        <v>2400</v>
      </c>
    </row>
    <row r="238" spans="1:14" x14ac:dyDescent="0.25">
      <c r="A238">
        <v>47.273083999999997</v>
      </c>
      <c r="B238" s="1">
        <f>DATE(2010,6,17) + TIME(6,33,14)</f>
        <v>40346.273078703707</v>
      </c>
      <c r="C238">
        <v>1889.5411377</v>
      </c>
      <c r="D238">
        <v>1761.9285889</v>
      </c>
      <c r="E238">
        <v>544.17669678000004</v>
      </c>
      <c r="F238">
        <v>149.5059967</v>
      </c>
      <c r="G238">
        <v>80</v>
      </c>
      <c r="H238">
        <v>79.895553589000002</v>
      </c>
      <c r="I238">
        <v>50</v>
      </c>
      <c r="J238">
        <v>14.976752281</v>
      </c>
      <c r="K238">
        <v>2400</v>
      </c>
      <c r="L238">
        <v>0</v>
      </c>
      <c r="M238">
        <v>0</v>
      </c>
      <c r="N238">
        <v>2400</v>
      </c>
    </row>
    <row r="239" spans="1:14" x14ac:dyDescent="0.25">
      <c r="A239">
        <v>47.603788999999999</v>
      </c>
      <c r="B239" s="1">
        <f>DATE(2010,6,17) + TIME(14,29,27)</f>
        <v>40346.603784722225</v>
      </c>
      <c r="C239">
        <v>1889.0710449000001</v>
      </c>
      <c r="D239">
        <v>1761.4621582</v>
      </c>
      <c r="E239">
        <v>544.22906493999994</v>
      </c>
      <c r="F239">
        <v>149.55908203000001</v>
      </c>
      <c r="G239">
        <v>80</v>
      </c>
      <c r="H239">
        <v>79.895622252999999</v>
      </c>
      <c r="I239">
        <v>50</v>
      </c>
      <c r="J239">
        <v>14.976851462999999</v>
      </c>
      <c r="K239">
        <v>2400</v>
      </c>
      <c r="L239">
        <v>0</v>
      </c>
      <c r="M239">
        <v>0</v>
      </c>
      <c r="N239">
        <v>2400</v>
      </c>
    </row>
    <row r="240" spans="1:14" x14ac:dyDescent="0.25">
      <c r="A240">
        <v>47.934494000000001</v>
      </c>
      <c r="B240" s="1">
        <f>DATE(2010,6,17) + TIME(22,25,40)</f>
        <v>40346.934490740743</v>
      </c>
      <c r="C240">
        <v>1888.6097411999999</v>
      </c>
      <c r="D240">
        <v>1761.0046387</v>
      </c>
      <c r="E240">
        <v>544.27935791000004</v>
      </c>
      <c r="F240">
        <v>149.61009215999999</v>
      </c>
      <c r="G240">
        <v>80</v>
      </c>
      <c r="H240">
        <v>79.895690918</v>
      </c>
      <c r="I240">
        <v>50</v>
      </c>
      <c r="J240">
        <v>14.976945877</v>
      </c>
      <c r="K240">
        <v>2400</v>
      </c>
      <c r="L240">
        <v>0</v>
      </c>
      <c r="M240">
        <v>0</v>
      </c>
      <c r="N240">
        <v>2400</v>
      </c>
    </row>
    <row r="241" spans="1:14" x14ac:dyDescent="0.25">
      <c r="A241">
        <v>48.265197999999998</v>
      </c>
      <c r="B241" s="1">
        <f>DATE(2010,6,18) + TIME(6,21,53)</f>
        <v>40347.265196759261</v>
      </c>
      <c r="C241">
        <v>1888.1534423999999</v>
      </c>
      <c r="D241">
        <v>1760.5520019999999</v>
      </c>
      <c r="E241">
        <v>544.32940673999997</v>
      </c>
      <c r="F241">
        <v>149.66079712000001</v>
      </c>
      <c r="G241">
        <v>80</v>
      </c>
      <c r="H241">
        <v>79.895759583</v>
      </c>
      <c r="I241">
        <v>50</v>
      </c>
      <c r="J241">
        <v>14.977037429999999</v>
      </c>
      <c r="K241">
        <v>2400</v>
      </c>
      <c r="L241">
        <v>0</v>
      </c>
      <c r="M241">
        <v>0</v>
      </c>
      <c r="N241">
        <v>2400</v>
      </c>
    </row>
    <row r="242" spans="1:14" x14ac:dyDescent="0.25">
      <c r="A242">
        <v>48.595903</v>
      </c>
      <c r="B242" s="1">
        <f>DATE(2010,6,18) + TIME(14,18,6)</f>
        <v>40347.595902777779</v>
      </c>
      <c r="C242">
        <v>1887.7009277</v>
      </c>
      <c r="D242">
        <v>1760.1030272999999</v>
      </c>
      <c r="E242">
        <v>544.37957763999998</v>
      </c>
      <c r="F242">
        <v>149.7116394</v>
      </c>
      <c r="G242">
        <v>80</v>
      </c>
      <c r="H242">
        <v>79.895820618000002</v>
      </c>
      <c r="I242">
        <v>50</v>
      </c>
      <c r="J242">
        <v>14.977127075</v>
      </c>
      <c r="K242">
        <v>2400</v>
      </c>
      <c r="L242">
        <v>0</v>
      </c>
      <c r="M242">
        <v>0</v>
      </c>
      <c r="N242">
        <v>2400</v>
      </c>
    </row>
    <row r="243" spans="1:14" x14ac:dyDescent="0.25">
      <c r="A243">
        <v>49.257313000000003</v>
      </c>
      <c r="B243" s="1">
        <f>DATE(2010,6,19) + TIME(6,10,31)</f>
        <v>40348.257303240738</v>
      </c>
      <c r="C243">
        <v>1887.2318115</v>
      </c>
      <c r="D243">
        <v>1759.6380615</v>
      </c>
      <c r="E243">
        <v>544.43975829999999</v>
      </c>
      <c r="F243">
        <v>149.77293395999999</v>
      </c>
      <c r="G243">
        <v>80</v>
      </c>
      <c r="H243">
        <v>79.895980835000003</v>
      </c>
      <c r="I243">
        <v>50</v>
      </c>
      <c r="J243">
        <v>14.977262497</v>
      </c>
      <c r="K243">
        <v>2400</v>
      </c>
      <c r="L243">
        <v>0</v>
      </c>
      <c r="M243">
        <v>0</v>
      </c>
      <c r="N243">
        <v>2400</v>
      </c>
    </row>
    <row r="244" spans="1:14" x14ac:dyDescent="0.25">
      <c r="A244">
        <v>49.919038</v>
      </c>
      <c r="B244" s="1">
        <f>DATE(2010,6,19) + TIME(22,3,24)</f>
        <v>40348.919027777774</v>
      </c>
      <c r="C244">
        <v>1886.3693848</v>
      </c>
      <c r="D244">
        <v>1758.7828368999999</v>
      </c>
      <c r="E244">
        <v>544.53417968999997</v>
      </c>
      <c r="F244">
        <v>149.86842346</v>
      </c>
      <c r="G244">
        <v>80</v>
      </c>
      <c r="H244">
        <v>79.896095275999997</v>
      </c>
      <c r="I244">
        <v>50</v>
      </c>
      <c r="J244">
        <v>14.977411269999999</v>
      </c>
      <c r="K244">
        <v>2400</v>
      </c>
      <c r="L244">
        <v>0</v>
      </c>
      <c r="M244">
        <v>0</v>
      </c>
      <c r="N244">
        <v>2400</v>
      </c>
    </row>
    <row r="245" spans="1:14" x14ac:dyDescent="0.25">
      <c r="A245">
        <v>50.584240999999999</v>
      </c>
      <c r="B245" s="1">
        <f>DATE(2010,6,20) + TIME(14,1,18)</f>
        <v>40349.584236111114</v>
      </c>
      <c r="C245">
        <v>1885.4964600000001</v>
      </c>
      <c r="D245">
        <v>1757.9169922000001</v>
      </c>
      <c r="E245">
        <v>544.63562012</v>
      </c>
      <c r="F245">
        <v>149.97088622999999</v>
      </c>
      <c r="G245">
        <v>80</v>
      </c>
      <c r="H245">
        <v>79.896209717000005</v>
      </c>
      <c r="I245">
        <v>50</v>
      </c>
      <c r="J245">
        <v>14.977566719</v>
      </c>
      <c r="K245">
        <v>2400</v>
      </c>
      <c r="L245">
        <v>0</v>
      </c>
      <c r="M245">
        <v>0</v>
      </c>
      <c r="N245">
        <v>2400</v>
      </c>
    </row>
    <row r="246" spans="1:14" x14ac:dyDescent="0.25">
      <c r="A246">
        <v>51.253917000000001</v>
      </c>
      <c r="B246" s="1">
        <f>DATE(2010,6,21) + TIME(6,5,38)</f>
        <v>40350.253912037035</v>
      </c>
      <c r="C246">
        <v>1884.6269531</v>
      </c>
      <c r="D246">
        <v>1757.0546875</v>
      </c>
      <c r="E246">
        <v>544.73858643000005</v>
      </c>
      <c r="F246">
        <v>150.07495116999999</v>
      </c>
      <c r="G246">
        <v>80</v>
      </c>
      <c r="H246">
        <v>79.896324157999999</v>
      </c>
      <c r="I246">
        <v>50</v>
      </c>
      <c r="J246">
        <v>14.977725029</v>
      </c>
      <c r="K246">
        <v>2400</v>
      </c>
      <c r="L246">
        <v>0</v>
      </c>
      <c r="M246">
        <v>0</v>
      </c>
      <c r="N246">
        <v>2400</v>
      </c>
    </row>
    <row r="247" spans="1:14" x14ac:dyDescent="0.25">
      <c r="A247">
        <v>51.929074999999997</v>
      </c>
      <c r="B247" s="1">
        <f>DATE(2010,6,21) + TIME(22,17,52)</f>
        <v>40350.929074074076</v>
      </c>
      <c r="C247">
        <v>1883.7619629000001</v>
      </c>
      <c r="D247">
        <v>1756.1967772999999</v>
      </c>
      <c r="E247">
        <v>544.84259033000001</v>
      </c>
      <c r="F247">
        <v>150.18008423000001</v>
      </c>
      <c r="G247">
        <v>80</v>
      </c>
      <c r="H247">
        <v>79.896446228000002</v>
      </c>
      <c r="I247">
        <v>50</v>
      </c>
      <c r="J247">
        <v>14.977885246</v>
      </c>
      <c r="K247">
        <v>2400</v>
      </c>
      <c r="L247">
        <v>0</v>
      </c>
      <c r="M247">
        <v>0</v>
      </c>
      <c r="N247">
        <v>2400</v>
      </c>
    </row>
    <row r="248" spans="1:14" x14ac:dyDescent="0.25">
      <c r="A248">
        <v>52.610751999999998</v>
      </c>
      <c r="B248" s="1">
        <f>DATE(2010,6,22) + TIME(14,39,28)</f>
        <v>40351.61074074074</v>
      </c>
      <c r="C248">
        <v>1882.9005127</v>
      </c>
      <c r="D248">
        <v>1755.3424072</v>
      </c>
      <c r="E248">
        <v>544.94787598000005</v>
      </c>
      <c r="F248">
        <v>150.28646850999999</v>
      </c>
      <c r="G248">
        <v>80</v>
      </c>
      <c r="H248">
        <v>79.896568298000005</v>
      </c>
      <c r="I248">
        <v>50</v>
      </c>
      <c r="J248">
        <v>14.978047371000001</v>
      </c>
      <c r="K248">
        <v>2400</v>
      </c>
      <c r="L248">
        <v>0</v>
      </c>
      <c r="M248">
        <v>0</v>
      </c>
      <c r="N248">
        <v>2400</v>
      </c>
    </row>
    <row r="249" spans="1:14" x14ac:dyDescent="0.25">
      <c r="A249">
        <v>53.300016999999997</v>
      </c>
      <c r="B249" s="1">
        <f>DATE(2010,6,23) + TIME(7,12,1)</f>
        <v>40352.300011574072</v>
      </c>
      <c r="C249">
        <v>1882.041626</v>
      </c>
      <c r="D249">
        <v>1754.4906006000001</v>
      </c>
      <c r="E249">
        <v>545.05462646000001</v>
      </c>
      <c r="F249">
        <v>150.39431762999999</v>
      </c>
      <c r="G249">
        <v>80</v>
      </c>
      <c r="H249">
        <v>79.896690368999998</v>
      </c>
      <c r="I249">
        <v>50</v>
      </c>
      <c r="J249">
        <v>14.978209496</v>
      </c>
      <c r="K249">
        <v>2400</v>
      </c>
      <c r="L249">
        <v>0</v>
      </c>
      <c r="M249">
        <v>0</v>
      </c>
      <c r="N249">
        <v>2400</v>
      </c>
    </row>
    <row r="250" spans="1:14" x14ac:dyDescent="0.25">
      <c r="A250">
        <v>53.998235999999999</v>
      </c>
      <c r="B250" s="1">
        <f>DATE(2010,6,23) + TIME(23,57,27)</f>
        <v>40352.998229166667</v>
      </c>
      <c r="C250">
        <v>1881.1839600000001</v>
      </c>
      <c r="D250">
        <v>1753.6400146000001</v>
      </c>
      <c r="E250">
        <v>545.16308593999997</v>
      </c>
      <c r="F250">
        <v>150.50386047000001</v>
      </c>
      <c r="G250">
        <v>80</v>
      </c>
      <c r="H250">
        <v>79.896820067999997</v>
      </c>
      <c r="I250">
        <v>50</v>
      </c>
      <c r="J250">
        <v>14.978371620000001</v>
      </c>
      <c r="K250">
        <v>2400</v>
      </c>
      <c r="L250">
        <v>0</v>
      </c>
      <c r="M250">
        <v>0</v>
      </c>
      <c r="N250">
        <v>2400</v>
      </c>
    </row>
    <row r="251" spans="1:14" x14ac:dyDescent="0.25">
      <c r="A251">
        <v>54.706434999999999</v>
      </c>
      <c r="B251" s="1">
        <f>DATE(2010,6,24) + TIME(16,57,15)</f>
        <v>40353.706423611111</v>
      </c>
      <c r="C251">
        <v>1880.3260498</v>
      </c>
      <c r="D251">
        <v>1752.7891846</v>
      </c>
      <c r="E251">
        <v>545.2734375</v>
      </c>
      <c r="F251">
        <v>150.61532593000001</v>
      </c>
      <c r="G251">
        <v>80</v>
      </c>
      <c r="H251">
        <v>79.896949767999999</v>
      </c>
      <c r="I251">
        <v>50</v>
      </c>
      <c r="J251">
        <v>14.978534698000001</v>
      </c>
      <c r="K251">
        <v>2400</v>
      </c>
      <c r="L251">
        <v>0</v>
      </c>
      <c r="M251">
        <v>0</v>
      </c>
      <c r="N251">
        <v>2400</v>
      </c>
    </row>
    <row r="252" spans="1:14" x14ac:dyDescent="0.25">
      <c r="A252">
        <v>55.425013</v>
      </c>
      <c r="B252" s="1">
        <f>DATE(2010,6,25) + TIME(10,12,1)</f>
        <v>40354.425011574072</v>
      </c>
      <c r="C252">
        <v>1879.4665527</v>
      </c>
      <c r="D252">
        <v>1751.9368896000001</v>
      </c>
      <c r="E252">
        <v>545.38586425999995</v>
      </c>
      <c r="F252">
        <v>150.72885131999999</v>
      </c>
      <c r="G252">
        <v>80</v>
      </c>
      <c r="H252">
        <v>79.897079468000001</v>
      </c>
      <c r="I252">
        <v>50</v>
      </c>
      <c r="J252">
        <v>14.978697777000001</v>
      </c>
      <c r="K252">
        <v>2400</v>
      </c>
      <c r="L252">
        <v>0</v>
      </c>
      <c r="M252">
        <v>0</v>
      </c>
      <c r="N252">
        <v>2400</v>
      </c>
    </row>
    <row r="253" spans="1:14" x14ac:dyDescent="0.25">
      <c r="A253">
        <v>56.154899999999998</v>
      </c>
      <c r="B253" s="1">
        <f>DATE(2010,6,26) + TIME(3,43,3)</f>
        <v>40355.154895833337</v>
      </c>
      <c r="C253">
        <v>1878.6054687999999</v>
      </c>
      <c r="D253">
        <v>1751.0828856999999</v>
      </c>
      <c r="E253">
        <v>545.50054932</v>
      </c>
      <c r="F253">
        <v>150.84458923</v>
      </c>
      <c r="G253">
        <v>80</v>
      </c>
      <c r="H253">
        <v>79.897209167</v>
      </c>
      <c r="I253">
        <v>50</v>
      </c>
      <c r="J253">
        <v>14.978861809</v>
      </c>
      <c r="K253">
        <v>2400</v>
      </c>
      <c r="L253">
        <v>0</v>
      </c>
      <c r="M253">
        <v>0</v>
      </c>
      <c r="N253">
        <v>2400</v>
      </c>
    </row>
    <row r="254" spans="1:14" x14ac:dyDescent="0.25">
      <c r="A254">
        <v>56.896523999999999</v>
      </c>
      <c r="B254" s="1">
        <f>DATE(2010,6,26) + TIME(21,30,59)</f>
        <v>40355.896516203706</v>
      </c>
      <c r="C254">
        <v>1877.7416992000001</v>
      </c>
      <c r="D254">
        <v>1750.2263184000001</v>
      </c>
      <c r="E254">
        <v>545.61755371000004</v>
      </c>
      <c r="F254">
        <v>150.96269226000001</v>
      </c>
      <c r="G254">
        <v>80</v>
      </c>
      <c r="H254">
        <v>79.897338867000002</v>
      </c>
      <c r="I254">
        <v>50</v>
      </c>
      <c r="J254">
        <v>14.979026793999999</v>
      </c>
      <c r="K254">
        <v>2400</v>
      </c>
      <c r="L254">
        <v>0</v>
      </c>
      <c r="M254">
        <v>0</v>
      </c>
      <c r="N254">
        <v>2400</v>
      </c>
    </row>
    <row r="255" spans="1:14" x14ac:dyDescent="0.25">
      <c r="A255">
        <v>57.651290000000003</v>
      </c>
      <c r="B255" s="1">
        <f>DATE(2010,6,27) + TIME(15,37,51)</f>
        <v>40356.651284722226</v>
      </c>
      <c r="C255">
        <v>1876.875</v>
      </c>
      <c r="D255">
        <v>1749.3666992000001</v>
      </c>
      <c r="E255">
        <v>545.73712158000001</v>
      </c>
      <c r="F255">
        <v>151.08332824999999</v>
      </c>
      <c r="G255">
        <v>80</v>
      </c>
      <c r="H255">
        <v>79.897476196</v>
      </c>
      <c r="I255">
        <v>50</v>
      </c>
      <c r="J255">
        <v>14.979191780000001</v>
      </c>
      <c r="K255">
        <v>2400</v>
      </c>
      <c r="L255">
        <v>0</v>
      </c>
      <c r="M255">
        <v>0</v>
      </c>
      <c r="N255">
        <v>2400</v>
      </c>
    </row>
    <row r="256" spans="1:14" x14ac:dyDescent="0.25">
      <c r="A256">
        <v>58.032223000000002</v>
      </c>
      <c r="B256" s="1">
        <f>DATE(2010,6,28) + TIME(0,46,24)</f>
        <v>40357.032222222224</v>
      </c>
      <c r="C256">
        <v>1876.0447998</v>
      </c>
      <c r="D256">
        <v>1748.543457</v>
      </c>
      <c r="E256">
        <v>545.84234618999994</v>
      </c>
      <c r="F256">
        <v>151.1890564</v>
      </c>
      <c r="G256">
        <v>80</v>
      </c>
      <c r="H256">
        <v>79.897506714000002</v>
      </c>
      <c r="I256">
        <v>50</v>
      </c>
      <c r="J256">
        <v>14.979303359999999</v>
      </c>
      <c r="K256">
        <v>2400</v>
      </c>
      <c r="L256">
        <v>0</v>
      </c>
      <c r="M256">
        <v>0</v>
      </c>
      <c r="N256">
        <v>2400</v>
      </c>
    </row>
    <row r="257" spans="1:14" x14ac:dyDescent="0.25">
      <c r="A257">
        <v>58.413156999999998</v>
      </c>
      <c r="B257" s="1">
        <f>DATE(2010,6,28) + TIME(9,54,56)</f>
        <v>40357.413148148145</v>
      </c>
      <c r="C257">
        <v>1875.5714111</v>
      </c>
      <c r="D257">
        <v>1748.0737305</v>
      </c>
      <c r="E257">
        <v>545.91656493999994</v>
      </c>
      <c r="F257">
        <v>151.26396179</v>
      </c>
      <c r="G257">
        <v>80</v>
      </c>
      <c r="H257">
        <v>79.897583007999998</v>
      </c>
      <c r="I257">
        <v>50</v>
      </c>
      <c r="J257">
        <v>14.979404449</v>
      </c>
      <c r="K257">
        <v>2400</v>
      </c>
      <c r="L257">
        <v>0</v>
      </c>
      <c r="M257">
        <v>0</v>
      </c>
      <c r="N257">
        <v>2400</v>
      </c>
    </row>
    <row r="258" spans="1:14" x14ac:dyDescent="0.25">
      <c r="A258">
        <v>58.794089999999997</v>
      </c>
      <c r="B258" s="1">
        <f>DATE(2010,6,28) + TIME(19,3,29)</f>
        <v>40357.794085648151</v>
      </c>
      <c r="C258">
        <v>1875.1292725000001</v>
      </c>
      <c r="D258">
        <v>1747.6352539</v>
      </c>
      <c r="E258">
        <v>545.98101807</v>
      </c>
      <c r="F258">
        <v>151.32904052999999</v>
      </c>
      <c r="G258">
        <v>80</v>
      </c>
      <c r="H258">
        <v>79.897659301999994</v>
      </c>
      <c r="I258">
        <v>50</v>
      </c>
      <c r="J258">
        <v>14.979499817000001</v>
      </c>
      <c r="K258">
        <v>2400</v>
      </c>
      <c r="L258">
        <v>0</v>
      </c>
      <c r="M258">
        <v>0</v>
      </c>
      <c r="N258">
        <v>2400</v>
      </c>
    </row>
    <row r="259" spans="1:14" x14ac:dyDescent="0.25">
      <c r="A259">
        <v>59.175023000000003</v>
      </c>
      <c r="B259" s="1">
        <f>DATE(2010,6,29) + TIME(4,12,2)</f>
        <v>40358.175023148149</v>
      </c>
      <c r="C259">
        <v>1874.6955565999999</v>
      </c>
      <c r="D259">
        <v>1747.2050781</v>
      </c>
      <c r="E259">
        <v>546.04345703000001</v>
      </c>
      <c r="F259">
        <v>151.39208984000001</v>
      </c>
      <c r="G259">
        <v>80</v>
      </c>
      <c r="H259">
        <v>79.897727966000005</v>
      </c>
      <c r="I259">
        <v>50</v>
      </c>
      <c r="J259">
        <v>14.979590416000001</v>
      </c>
      <c r="K259">
        <v>2400</v>
      </c>
      <c r="L259">
        <v>0</v>
      </c>
      <c r="M259">
        <v>0</v>
      </c>
      <c r="N259">
        <v>2400</v>
      </c>
    </row>
    <row r="260" spans="1:14" x14ac:dyDescent="0.25">
      <c r="A260">
        <v>59.936889999999998</v>
      </c>
      <c r="B260" s="1">
        <f>DATE(2010,6,29) + TIME(22,29,7)</f>
        <v>40358.936886574076</v>
      </c>
      <c r="C260">
        <v>1874.2469481999999</v>
      </c>
      <c r="D260">
        <v>1746.7602539</v>
      </c>
      <c r="E260">
        <v>546.11608887</v>
      </c>
      <c r="F260">
        <v>151.46574401999999</v>
      </c>
      <c r="G260">
        <v>80</v>
      </c>
      <c r="H260">
        <v>79.897903442</v>
      </c>
      <c r="I260">
        <v>50</v>
      </c>
      <c r="J260">
        <v>14.979722023000001</v>
      </c>
      <c r="K260">
        <v>2400</v>
      </c>
      <c r="L260">
        <v>0</v>
      </c>
      <c r="M260">
        <v>0</v>
      </c>
      <c r="N260">
        <v>2400</v>
      </c>
    </row>
    <row r="261" spans="1:14" x14ac:dyDescent="0.25">
      <c r="A261">
        <v>60.698827999999999</v>
      </c>
      <c r="B261" s="1">
        <f>DATE(2010,6,30) + TIME(16,46,18)</f>
        <v>40359.698819444442</v>
      </c>
      <c r="C261">
        <v>1873.4243164</v>
      </c>
      <c r="D261">
        <v>1745.9447021000001</v>
      </c>
      <c r="E261">
        <v>546.23400878999996</v>
      </c>
      <c r="F261">
        <v>151.58454895</v>
      </c>
      <c r="G261">
        <v>80</v>
      </c>
      <c r="H261">
        <v>79.898025512999993</v>
      </c>
      <c r="I261">
        <v>50</v>
      </c>
      <c r="J261">
        <v>14.979866982000001</v>
      </c>
      <c r="K261">
        <v>2400</v>
      </c>
      <c r="L261">
        <v>0</v>
      </c>
      <c r="M261">
        <v>0</v>
      </c>
      <c r="N261">
        <v>2400</v>
      </c>
    </row>
    <row r="262" spans="1:14" x14ac:dyDescent="0.25">
      <c r="A262">
        <v>61</v>
      </c>
      <c r="B262" s="1">
        <f>DATE(2010,7,1) + TIME(0,0,0)</f>
        <v>40360</v>
      </c>
      <c r="C262">
        <v>1872.6516113</v>
      </c>
      <c r="D262">
        <v>1745.1787108999999</v>
      </c>
      <c r="E262">
        <v>546.33471680000002</v>
      </c>
      <c r="F262">
        <v>151.68556212999999</v>
      </c>
      <c r="G262">
        <v>80</v>
      </c>
      <c r="H262">
        <v>79.898033142000003</v>
      </c>
      <c r="I262">
        <v>50</v>
      </c>
      <c r="J262">
        <v>14.97995472</v>
      </c>
      <c r="K262">
        <v>2400</v>
      </c>
      <c r="L262">
        <v>0</v>
      </c>
      <c r="M262">
        <v>0</v>
      </c>
      <c r="N262">
        <v>2400</v>
      </c>
    </row>
    <row r="263" spans="1:14" x14ac:dyDescent="0.25">
      <c r="A263">
        <v>61.765357000000002</v>
      </c>
      <c r="B263" s="1">
        <f>DATE(2010,7,1) + TIME(18,22,6)</f>
        <v>40360.765347222223</v>
      </c>
      <c r="C263">
        <v>1872.2391356999999</v>
      </c>
      <c r="D263">
        <v>1744.7692870999999</v>
      </c>
      <c r="E263">
        <v>546.41815185999997</v>
      </c>
      <c r="F263">
        <v>151.77003479000001</v>
      </c>
      <c r="G263">
        <v>80</v>
      </c>
      <c r="H263">
        <v>79.898216247999997</v>
      </c>
      <c r="I263">
        <v>50</v>
      </c>
      <c r="J263">
        <v>14.98009491</v>
      </c>
      <c r="K263">
        <v>2400</v>
      </c>
      <c r="L263">
        <v>0</v>
      </c>
      <c r="M263">
        <v>0</v>
      </c>
      <c r="N263">
        <v>2400</v>
      </c>
    </row>
    <row r="264" spans="1:14" x14ac:dyDescent="0.25">
      <c r="A264">
        <v>62.537613</v>
      </c>
      <c r="B264" s="1">
        <f>DATE(2010,7,2) + TIME(12,54,9)</f>
        <v>40361.537604166668</v>
      </c>
      <c r="C264">
        <v>1871.4331055</v>
      </c>
      <c r="D264">
        <v>1743.9700928</v>
      </c>
      <c r="E264">
        <v>546.53875731999995</v>
      </c>
      <c r="F264">
        <v>151.89155579000001</v>
      </c>
      <c r="G264">
        <v>80</v>
      </c>
      <c r="H264">
        <v>79.898345946999996</v>
      </c>
      <c r="I264">
        <v>50</v>
      </c>
      <c r="J264">
        <v>14.980243682999999</v>
      </c>
      <c r="K264">
        <v>2400</v>
      </c>
      <c r="L264">
        <v>0</v>
      </c>
      <c r="M264">
        <v>0</v>
      </c>
      <c r="N264">
        <v>2400</v>
      </c>
    </row>
    <row r="265" spans="1:14" x14ac:dyDescent="0.25">
      <c r="A265">
        <v>63.316052999999997</v>
      </c>
      <c r="B265" s="1">
        <f>DATE(2010,7,3) + TIME(7,35,6)</f>
        <v>40362.316041666665</v>
      </c>
      <c r="C265">
        <v>1870.6116943</v>
      </c>
      <c r="D265">
        <v>1743.1555175999999</v>
      </c>
      <c r="E265">
        <v>546.66772461000005</v>
      </c>
      <c r="F265">
        <v>152.02139281999999</v>
      </c>
      <c r="G265">
        <v>80</v>
      </c>
      <c r="H265">
        <v>79.898483275999993</v>
      </c>
      <c r="I265">
        <v>50</v>
      </c>
      <c r="J265">
        <v>14.980397224000001</v>
      </c>
      <c r="K265">
        <v>2400</v>
      </c>
      <c r="L265">
        <v>0</v>
      </c>
      <c r="M265">
        <v>0</v>
      </c>
      <c r="N265">
        <v>2400</v>
      </c>
    </row>
    <row r="266" spans="1:14" x14ac:dyDescent="0.25">
      <c r="A266">
        <v>64.101775000000004</v>
      </c>
      <c r="B266" s="1">
        <f>DATE(2010,7,4) + TIME(2,26,33)</f>
        <v>40363.101770833331</v>
      </c>
      <c r="C266">
        <v>1869.7910156</v>
      </c>
      <c r="D266">
        <v>1742.3417969</v>
      </c>
      <c r="E266">
        <v>546.79919433999999</v>
      </c>
      <c r="F266">
        <v>152.15374756</v>
      </c>
      <c r="G266">
        <v>80</v>
      </c>
      <c r="H266">
        <v>79.898620605000005</v>
      </c>
      <c r="I266">
        <v>50</v>
      </c>
      <c r="J266">
        <v>14.980552673</v>
      </c>
      <c r="K266">
        <v>2400</v>
      </c>
      <c r="L266">
        <v>0</v>
      </c>
      <c r="M266">
        <v>0</v>
      </c>
      <c r="N266">
        <v>2400</v>
      </c>
    </row>
    <row r="267" spans="1:14" x14ac:dyDescent="0.25">
      <c r="A267">
        <v>64.895274000000001</v>
      </c>
      <c r="B267" s="1">
        <f>DATE(2010,7,4) + TIME(21,29,11)</f>
        <v>40363.895266203705</v>
      </c>
      <c r="C267">
        <v>1868.9720459</v>
      </c>
      <c r="D267">
        <v>1741.5295410000001</v>
      </c>
      <c r="E267">
        <v>546.93261718999997</v>
      </c>
      <c r="F267">
        <v>152.2881012</v>
      </c>
      <c r="G267">
        <v>80</v>
      </c>
      <c r="H267">
        <v>79.898757935000006</v>
      </c>
      <c r="I267">
        <v>50</v>
      </c>
      <c r="J267">
        <v>14.980709076</v>
      </c>
      <c r="K267">
        <v>2400</v>
      </c>
      <c r="L267">
        <v>0</v>
      </c>
      <c r="M267">
        <v>0</v>
      </c>
      <c r="N267">
        <v>2400</v>
      </c>
    </row>
    <row r="268" spans="1:14" x14ac:dyDescent="0.25">
      <c r="A268">
        <v>65.698030000000003</v>
      </c>
      <c r="B268" s="1">
        <f>DATE(2010,7,5) + TIME(16,45,9)</f>
        <v>40364.698020833333</v>
      </c>
      <c r="C268">
        <v>1868.1542969</v>
      </c>
      <c r="D268">
        <v>1740.71875</v>
      </c>
      <c r="E268">
        <v>547.06817626999998</v>
      </c>
      <c r="F268">
        <v>152.42453003</v>
      </c>
      <c r="G268">
        <v>80</v>
      </c>
      <c r="H268">
        <v>79.898895264000004</v>
      </c>
      <c r="I268">
        <v>50</v>
      </c>
      <c r="J268">
        <v>14.980866431999999</v>
      </c>
      <c r="K268">
        <v>2400</v>
      </c>
      <c r="L268">
        <v>0</v>
      </c>
      <c r="M268">
        <v>0</v>
      </c>
      <c r="N268">
        <v>2400</v>
      </c>
    </row>
    <row r="269" spans="1:14" x14ac:dyDescent="0.25">
      <c r="A269">
        <v>66.511332999999993</v>
      </c>
      <c r="B269" s="1">
        <f>DATE(2010,7,6) + TIME(12,16,19)</f>
        <v>40365.511331018519</v>
      </c>
      <c r="C269">
        <v>1867.3367920000001</v>
      </c>
      <c r="D269">
        <v>1739.9079589999999</v>
      </c>
      <c r="E269">
        <v>547.20611571999996</v>
      </c>
      <c r="F269">
        <v>152.56335448999999</v>
      </c>
      <c r="G269">
        <v>80</v>
      </c>
      <c r="H269">
        <v>79.899032593000001</v>
      </c>
      <c r="I269">
        <v>50</v>
      </c>
      <c r="J269">
        <v>14.981024742000001</v>
      </c>
      <c r="K269">
        <v>2400</v>
      </c>
      <c r="L269">
        <v>0</v>
      </c>
      <c r="M269">
        <v>0</v>
      </c>
      <c r="N269">
        <v>2400</v>
      </c>
    </row>
    <row r="270" spans="1:14" x14ac:dyDescent="0.25">
      <c r="A270">
        <v>67.336439999999996</v>
      </c>
      <c r="B270" s="1">
        <f>DATE(2010,7,7) + TIME(8,4,28)</f>
        <v>40366.336435185185</v>
      </c>
      <c r="C270">
        <v>1866.5180664</v>
      </c>
      <c r="D270">
        <v>1739.0961914</v>
      </c>
      <c r="E270">
        <v>547.34667968999997</v>
      </c>
      <c r="F270">
        <v>152.70481873</v>
      </c>
      <c r="G270">
        <v>80</v>
      </c>
      <c r="H270">
        <v>79.899177550999994</v>
      </c>
      <c r="I270">
        <v>50</v>
      </c>
      <c r="J270">
        <v>14.981183052</v>
      </c>
      <c r="K270">
        <v>2400</v>
      </c>
      <c r="L270">
        <v>0</v>
      </c>
      <c r="M270">
        <v>0</v>
      </c>
      <c r="N270">
        <v>2400</v>
      </c>
    </row>
    <row r="271" spans="1:14" x14ac:dyDescent="0.25">
      <c r="A271">
        <v>68.174197000000007</v>
      </c>
      <c r="B271" s="1">
        <f>DATE(2010,7,8) + TIME(4,10,50)</f>
        <v>40367.174189814818</v>
      </c>
      <c r="C271">
        <v>1865.6972656</v>
      </c>
      <c r="D271">
        <v>1738.2822266000001</v>
      </c>
      <c r="E271">
        <v>547.49023437999995</v>
      </c>
      <c r="F271">
        <v>152.84921265</v>
      </c>
      <c r="G271">
        <v>80</v>
      </c>
      <c r="H271">
        <v>79.899322510000005</v>
      </c>
      <c r="I271">
        <v>50</v>
      </c>
      <c r="J271">
        <v>14.981342315999999</v>
      </c>
      <c r="K271">
        <v>2400</v>
      </c>
      <c r="L271">
        <v>0</v>
      </c>
      <c r="M271">
        <v>0</v>
      </c>
      <c r="N271">
        <v>2400</v>
      </c>
    </row>
    <row r="272" spans="1:14" x14ac:dyDescent="0.25">
      <c r="A272">
        <v>69.024800999999997</v>
      </c>
      <c r="B272" s="1">
        <f>DATE(2010,7,9) + TIME(0,35,42)</f>
        <v>40368.024791666663</v>
      </c>
      <c r="C272">
        <v>1864.8735352000001</v>
      </c>
      <c r="D272">
        <v>1737.4654541</v>
      </c>
      <c r="E272">
        <v>547.63684081999997</v>
      </c>
      <c r="F272">
        <v>152.99668883999999</v>
      </c>
      <c r="G272">
        <v>80</v>
      </c>
      <c r="H272">
        <v>79.899467467999997</v>
      </c>
      <c r="I272">
        <v>50</v>
      </c>
      <c r="J272">
        <v>14.981502533</v>
      </c>
      <c r="K272">
        <v>2400</v>
      </c>
      <c r="L272">
        <v>0</v>
      </c>
      <c r="M272">
        <v>0</v>
      </c>
      <c r="N272">
        <v>2400</v>
      </c>
    </row>
    <row r="273" spans="1:14" x14ac:dyDescent="0.25">
      <c r="A273">
        <v>69.883467999999993</v>
      </c>
      <c r="B273" s="1">
        <f>DATE(2010,7,9) + TIME(21,12,11)</f>
        <v>40368.883460648147</v>
      </c>
      <c r="C273">
        <v>1864.0472411999999</v>
      </c>
      <c r="D273">
        <v>1736.6459961</v>
      </c>
      <c r="E273">
        <v>547.78656006000006</v>
      </c>
      <c r="F273">
        <v>153.14723205999999</v>
      </c>
      <c r="G273">
        <v>80</v>
      </c>
      <c r="H273">
        <v>79.899620056000003</v>
      </c>
      <c r="I273">
        <v>50</v>
      </c>
      <c r="J273">
        <v>14.98166275</v>
      </c>
      <c r="K273">
        <v>2400</v>
      </c>
      <c r="L273">
        <v>0</v>
      </c>
      <c r="M273">
        <v>0</v>
      </c>
      <c r="N273">
        <v>2400</v>
      </c>
    </row>
    <row r="274" spans="1:14" x14ac:dyDescent="0.25">
      <c r="A274">
        <v>70.747294999999994</v>
      </c>
      <c r="B274" s="1">
        <f>DATE(2010,7,10) + TIME(17,56,6)</f>
        <v>40369.747291666667</v>
      </c>
      <c r="C274">
        <v>1863.2226562000001</v>
      </c>
      <c r="D274">
        <v>1735.8283690999999</v>
      </c>
      <c r="E274">
        <v>547.93865966999999</v>
      </c>
      <c r="F274">
        <v>153.30018616000001</v>
      </c>
      <c r="G274">
        <v>80</v>
      </c>
      <c r="H274">
        <v>79.899765015</v>
      </c>
      <c r="I274">
        <v>50</v>
      </c>
      <c r="J274">
        <v>14.981822967999999</v>
      </c>
      <c r="K274">
        <v>2400</v>
      </c>
      <c r="L274">
        <v>0</v>
      </c>
      <c r="M274">
        <v>0</v>
      </c>
      <c r="N274">
        <v>2400</v>
      </c>
    </row>
    <row r="275" spans="1:14" x14ac:dyDescent="0.25">
      <c r="A275">
        <v>71.611642000000003</v>
      </c>
      <c r="B275" s="1">
        <f>DATE(2010,7,11) + TIME(14,40,45)</f>
        <v>40370.611631944441</v>
      </c>
      <c r="C275">
        <v>1862.402832</v>
      </c>
      <c r="D275">
        <v>1735.0152588000001</v>
      </c>
      <c r="E275">
        <v>548.09271239999998</v>
      </c>
      <c r="F275">
        <v>153.45501709000001</v>
      </c>
      <c r="G275">
        <v>80</v>
      </c>
      <c r="H275">
        <v>79.899909973000007</v>
      </c>
      <c r="I275">
        <v>50</v>
      </c>
      <c r="J275">
        <v>14.981982231</v>
      </c>
      <c r="K275">
        <v>2400</v>
      </c>
      <c r="L275">
        <v>0</v>
      </c>
      <c r="M275">
        <v>0</v>
      </c>
      <c r="N275">
        <v>2400</v>
      </c>
    </row>
    <row r="276" spans="1:14" x14ac:dyDescent="0.25">
      <c r="A276">
        <v>72.477226999999999</v>
      </c>
      <c r="B276" s="1">
        <f>DATE(2010,7,12) + TIME(11,27,12)</f>
        <v>40371.477222222224</v>
      </c>
      <c r="C276">
        <v>1861.5914307</v>
      </c>
      <c r="D276">
        <v>1734.2106934000001</v>
      </c>
      <c r="E276">
        <v>548.24798583999996</v>
      </c>
      <c r="F276">
        <v>153.61106873</v>
      </c>
      <c r="G276">
        <v>80</v>
      </c>
      <c r="H276">
        <v>79.900062560999999</v>
      </c>
      <c r="I276">
        <v>50</v>
      </c>
      <c r="J276">
        <v>14.982140541</v>
      </c>
      <c r="K276">
        <v>2400</v>
      </c>
      <c r="L276">
        <v>0</v>
      </c>
      <c r="M276">
        <v>0</v>
      </c>
      <c r="N276">
        <v>2400</v>
      </c>
    </row>
    <row r="277" spans="1:14" x14ac:dyDescent="0.25">
      <c r="A277">
        <v>73.345382999999998</v>
      </c>
      <c r="B277" s="1">
        <f>DATE(2010,7,13) + TIME(8,17,21)</f>
        <v>40372.345381944448</v>
      </c>
      <c r="C277">
        <v>1860.7879639</v>
      </c>
      <c r="D277">
        <v>1733.4139404</v>
      </c>
      <c r="E277">
        <v>548.40447998000002</v>
      </c>
      <c r="F277">
        <v>153.76837158000001</v>
      </c>
      <c r="G277">
        <v>80</v>
      </c>
      <c r="H277">
        <v>79.900207519999995</v>
      </c>
      <c r="I277">
        <v>50</v>
      </c>
      <c r="J277">
        <v>14.982297897</v>
      </c>
      <c r="K277">
        <v>2400</v>
      </c>
      <c r="L277">
        <v>0</v>
      </c>
      <c r="M277">
        <v>0</v>
      </c>
      <c r="N277">
        <v>2400</v>
      </c>
    </row>
    <row r="278" spans="1:14" x14ac:dyDescent="0.25">
      <c r="A278">
        <v>74.217426000000003</v>
      </c>
      <c r="B278" s="1">
        <f>DATE(2010,7,14) + TIME(5,13,5)</f>
        <v>40373.217418981483</v>
      </c>
      <c r="C278">
        <v>1859.9912108999999</v>
      </c>
      <c r="D278">
        <v>1732.6237793</v>
      </c>
      <c r="E278">
        <v>548.56256103999999</v>
      </c>
      <c r="F278">
        <v>153.92718506</v>
      </c>
      <c r="G278">
        <v>80</v>
      </c>
      <c r="H278">
        <v>79.900352478000002</v>
      </c>
      <c r="I278">
        <v>50</v>
      </c>
      <c r="J278">
        <v>14.982454300000001</v>
      </c>
      <c r="K278">
        <v>2400</v>
      </c>
      <c r="L278">
        <v>0</v>
      </c>
      <c r="M278">
        <v>0</v>
      </c>
      <c r="N278">
        <v>2400</v>
      </c>
    </row>
    <row r="279" spans="1:14" x14ac:dyDescent="0.25">
      <c r="A279">
        <v>75.094666000000004</v>
      </c>
      <c r="B279" s="1">
        <f>DATE(2010,7,15) + TIME(2,16,19)</f>
        <v>40374.094664351855</v>
      </c>
      <c r="C279">
        <v>1859.199707</v>
      </c>
      <c r="D279">
        <v>1731.8388672000001</v>
      </c>
      <c r="E279">
        <v>548.72247314000003</v>
      </c>
      <c r="F279">
        <v>154.08781432999999</v>
      </c>
      <c r="G279">
        <v>80</v>
      </c>
      <c r="H279">
        <v>79.900505065999994</v>
      </c>
      <c r="I279">
        <v>50</v>
      </c>
      <c r="J279">
        <v>14.982609749</v>
      </c>
      <c r="K279">
        <v>2400</v>
      </c>
      <c r="L279">
        <v>0</v>
      </c>
      <c r="M279">
        <v>0</v>
      </c>
      <c r="N279">
        <v>2400</v>
      </c>
    </row>
    <row r="280" spans="1:14" x14ac:dyDescent="0.25">
      <c r="A280">
        <v>75.978404999999995</v>
      </c>
      <c r="B280" s="1">
        <f>DATE(2010,7,15) + TIME(23,28,54)</f>
        <v>40374.978402777779</v>
      </c>
      <c r="C280">
        <v>1858.4123535000001</v>
      </c>
      <c r="D280">
        <v>1731.0579834</v>
      </c>
      <c r="E280">
        <v>548.88452147999999</v>
      </c>
      <c r="F280">
        <v>154.25053406000001</v>
      </c>
      <c r="G280">
        <v>80</v>
      </c>
      <c r="H280">
        <v>79.900650024000001</v>
      </c>
      <c r="I280">
        <v>50</v>
      </c>
      <c r="J280">
        <v>14.982765197999999</v>
      </c>
      <c r="K280">
        <v>2400</v>
      </c>
      <c r="L280">
        <v>0</v>
      </c>
      <c r="M280">
        <v>0</v>
      </c>
      <c r="N280">
        <v>2400</v>
      </c>
    </row>
    <row r="281" spans="1:14" x14ac:dyDescent="0.25">
      <c r="A281">
        <v>76.869996</v>
      </c>
      <c r="B281" s="1">
        <f>DATE(2010,7,16) + TIME(20,52,47)</f>
        <v>40375.869988425926</v>
      </c>
      <c r="C281">
        <v>1857.6279297000001</v>
      </c>
      <c r="D281">
        <v>1730.2800293</v>
      </c>
      <c r="E281">
        <v>549.04888916000004</v>
      </c>
      <c r="F281">
        <v>154.41563416</v>
      </c>
      <c r="G281">
        <v>80</v>
      </c>
      <c r="H281">
        <v>79.900802612000007</v>
      </c>
      <c r="I281">
        <v>50</v>
      </c>
      <c r="J281">
        <v>14.982919692999999</v>
      </c>
      <c r="K281">
        <v>2400</v>
      </c>
      <c r="L281">
        <v>0</v>
      </c>
      <c r="M281">
        <v>0</v>
      </c>
      <c r="N281">
        <v>2400</v>
      </c>
    </row>
    <row r="282" spans="1:14" x14ac:dyDescent="0.25">
      <c r="A282">
        <v>77.770858000000004</v>
      </c>
      <c r="B282" s="1">
        <f>DATE(2010,7,17) + TIME(18,30,2)</f>
        <v>40376.770856481482</v>
      </c>
      <c r="C282">
        <v>1856.8450928</v>
      </c>
      <c r="D282">
        <v>1729.5037841999999</v>
      </c>
      <c r="E282">
        <v>549.21600341999999</v>
      </c>
      <c r="F282">
        <v>154.58338928000001</v>
      </c>
      <c r="G282">
        <v>80</v>
      </c>
      <c r="H282">
        <v>79.900955199999999</v>
      </c>
      <c r="I282">
        <v>50</v>
      </c>
      <c r="J282">
        <v>14.983074188</v>
      </c>
      <c r="K282">
        <v>2400</v>
      </c>
      <c r="L282">
        <v>0</v>
      </c>
      <c r="M282">
        <v>0</v>
      </c>
      <c r="N282">
        <v>2400</v>
      </c>
    </row>
    <row r="283" spans="1:14" x14ac:dyDescent="0.25">
      <c r="A283">
        <v>78.682817999999997</v>
      </c>
      <c r="B283" s="1">
        <f>DATE(2010,7,18) + TIME(16,23,15)</f>
        <v>40377.682812500003</v>
      </c>
      <c r="C283">
        <v>1856.0627440999999</v>
      </c>
      <c r="D283">
        <v>1728.7279053</v>
      </c>
      <c r="E283">
        <v>549.38604736000002</v>
      </c>
      <c r="F283">
        <v>154.75413513000001</v>
      </c>
      <c r="G283">
        <v>80</v>
      </c>
      <c r="H283">
        <v>79.901107788000004</v>
      </c>
      <c r="I283">
        <v>50</v>
      </c>
      <c r="J283">
        <v>14.983229637000001</v>
      </c>
      <c r="K283">
        <v>2400</v>
      </c>
      <c r="L283">
        <v>0</v>
      </c>
      <c r="M283">
        <v>0</v>
      </c>
      <c r="N283">
        <v>2400</v>
      </c>
    </row>
    <row r="284" spans="1:14" x14ac:dyDescent="0.25">
      <c r="A284">
        <v>79.605373999999998</v>
      </c>
      <c r="B284" s="1">
        <f>DATE(2010,7,19) + TIME(14,31,44)</f>
        <v>40378.605370370373</v>
      </c>
      <c r="C284">
        <v>1855.2795410000001</v>
      </c>
      <c r="D284">
        <v>1727.9511719</v>
      </c>
      <c r="E284">
        <v>549.55950928000004</v>
      </c>
      <c r="F284">
        <v>154.92819213999999</v>
      </c>
      <c r="G284">
        <v>80</v>
      </c>
      <c r="H284">
        <v>79.901260375999996</v>
      </c>
      <c r="I284">
        <v>50</v>
      </c>
      <c r="J284">
        <v>14.983384131999999</v>
      </c>
      <c r="K284">
        <v>2400</v>
      </c>
      <c r="L284">
        <v>0</v>
      </c>
      <c r="M284">
        <v>0</v>
      </c>
      <c r="N284">
        <v>2400</v>
      </c>
    </row>
    <row r="285" spans="1:14" x14ac:dyDescent="0.25">
      <c r="A285">
        <v>80.531796999999997</v>
      </c>
      <c r="B285" s="1">
        <f>DATE(2010,7,20) + TIME(12,45,47)</f>
        <v>40379.531793981485</v>
      </c>
      <c r="C285">
        <v>1854.4959716999999</v>
      </c>
      <c r="D285">
        <v>1727.1740723</v>
      </c>
      <c r="E285">
        <v>549.73608397999999</v>
      </c>
      <c r="F285">
        <v>155.10540771000001</v>
      </c>
      <c r="G285">
        <v>80</v>
      </c>
      <c r="H285">
        <v>79.901412964000002</v>
      </c>
      <c r="I285">
        <v>50</v>
      </c>
      <c r="J285">
        <v>14.983539581</v>
      </c>
      <c r="K285">
        <v>2400</v>
      </c>
      <c r="L285">
        <v>0</v>
      </c>
      <c r="M285">
        <v>0</v>
      </c>
      <c r="N285">
        <v>2400</v>
      </c>
    </row>
    <row r="286" spans="1:14" x14ac:dyDescent="0.25">
      <c r="A286">
        <v>81.463565000000003</v>
      </c>
      <c r="B286" s="1">
        <f>DATE(2010,7,21) + TIME(11,7,32)</f>
        <v>40380.463564814818</v>
      </c>
      <c r="C286">
        <v>1853.7171631000001</v>
      </c>
      <c r="D286">
        <v>1726.4017334</v>
      </c>
      <c r="E286">
        <v>549.91491699000005</v>
      </c>
      <c r="F286">
        <v>155.28486633</v>
      </c>
      <c r="G286">
        <v>80</v>
      </c>
      <c r="H286">
        <v>79.901565551999994</v>
      </c>
      <c r="I286">
        <v>50</v>
      </c>
      <c r="J286">
        <v>14.983694076999999</v>
      </c>
      <c r="K286">
        <v>2400</v>
      </c>
      <c r="L286">
        <v>0</v>
      </c>
      <c r="M286">
        <v>0</v>
      </c>
      <c r="N286">
        <v>2400</v>
      </c>
    </row>
    <row r="287" spans="1:14" x14ac:dyDescent="0.25">
      <c r="A287">
        <v>82.402130999999997</v>
      </c>
      <c r="B287" s="1">
        <f>DATE(2010,7,22) + TIME(9,39,4)</f>
        <v>40381.402129629627</v>
      </c>
      <c r="C287">
        <v>1852.9422606999999</v>
      </c>
      <c r="D287">
        <v>1725.6331786999999</v>
      </c>
      <c r="E287">
        <v>550.09625243999994</v>
      </c>
      <c r="F287">
        <v>155.46673584000001</v>
      </c>
      <c r="G287">
        <v>80</v>
      </c>
      <c r="H287">
        <v>79.90171814</v>
      </c>
      <c r="I287">
        <v>50</v>
      </c>
      <c r="J287">
        <v>14.983848571999999</v>
      </c>
      <c r="K287">
        <v>2400</v>
      </c>
      <c r="L287">
        <v>0</v>
      </c>
      <c r="M287">
        <v>0</v>
      </c>
      <c r="N287">
        <v>2400</v>
      </c>
    </row>
    <row r="288" spans="1:14" x14ac:dyDescent="0.25">
      <c r="A288">
        <v>83.348952999999995</v>
      </c>
      <c r="B288" s="1">
        <f>DATE(2010,7,23) + TIME(8,22,29)</f>
        <v>40382.348946759259</v>
      </c>
      <c r="C288">
        <v>1852.1699219</v>
      </c>
      <c r="D288">
        <v>1724.8671875</v>
      </c>
      <c r="E288">
        <v>550.28033446999996</v>
      </c>
      <c r="F288">
        <v>155.65138245</v>
      </c>
      <c r="G288">
        <v>80</v>
      </c>
      <c r="H288">
        <v>79.901878357000001</v>
      </c>
      <c r="I288">
        <v>50</v>
      </c>
      <c r="J288">
        <v>14.984003067</v>
      </c>
      <c r="K288">
        <v>2400</v>
      </c>
      <c r="L288">
        <v>0</v>
      </c>
      <c r="M288">
        <v>0</v>
      </c>
      <c r="N288">
        <v>2400</v>
      </c>
    </row>
    <row r="289" spans="1:14" x14ac:dyDescent="0.25">
      <c r="A289">
        <v>84.305522999999994</v>
      </c>
      <c r="B289" s="1">
        <f>DATE(2010,7,24) + TIME(7,19,57)</f>
        <v>40383.305520833332</v>
      </c>
      <c r="C289">
        <v>1851.3990478999999</v>
      </c>
      <c r="D289">
        <v>1724.1025391000001</v>
      </c>
      <c r="E289">
        <v>550.46752930000002</v>
      </c>
      <c r="F289">
        <v>155.83912659000001</v>
      </c>
      <c r="G289">
        <v>80</v>
      </c>
      <c r="H289">
        <v>79.902030945000007</v>
      </c>
      <c r="I289">
        <v>50</v>
      </c>
      <c r="J289">
        <v>14.984156608999999</v>
      </c>
      <c r="K289">
        <v>2400</v>
      </c>
      <c r="L289">
        <v>0</v>
      </c>
      <c r="M289">
        <v>0</v>
      </c>
      <c r="N289">
        <v>2400</v>
      </c>
    </row>
    <row r="290" spans="1:14" x14ac:dyDescent="0.25">
      <c r="A290">
        <v>85.271258000000003</v>
      </c>
      <c r="B290" s="1">
        <f>DATE(2010,7,25) + TIME(6,30,36)</f>
        <v>40384.271249999998</v>
      </c>
      <c r="C290">
        <v>1850.6285399999999</v>
      </c>
      <c r="D290">
        <v>1723.3383789</v>
      </c>
      <c r="E290">
        <v>550.65814208999996</v>
      </c>
      <c r="F290">
        <v>156.03030396</v>
      </c>
      <c r="G290">
        <v>80</v>
      </c>
      <c r="H290">
        <v>79.902191161999994</v>
      </c>
      <c r="I290">
        <v>50</v>
      </c>
      <c r="J290">
        <v>14.984311104</v>
      </c>
      <c r="K290">
        <v>2400</v>
      </c>
      <c r="L290">
        <v>0</v>
      </c>
      <c r="M290">
        <v>0</v>
      </c>
      <c r="N290">
        <v>2400</v>
      </c>
    </row>
    <row r="291" spans="1:14" x14ac:dyDescent="0.25">
      <c r="A291">
        <v>86.239776000000006</v>
      </c>
      <c r="B291" s="1">
        <f>DATE(2010,7,26) + TIME(5,45,16)</f>
        <v>40385.239768518521</v>
      </c>
      <c r="C291">
        <v>1849.8591309000001</v>
      </c>
      <c r="D291">
        <v>1722.5751952999999</v>
      </c>
      <c r="E291">
        <v>550.85211182</v>
      </c>
      <c r="F291">
        <v>156.2247467</v>
      </c>
      <c r="G291">
        <v>80</v>
      </c>
      <c r="H291">
        <v>79.90234375</v>
      </c>
      <c r="I291">
        <v>50</v>
      </c>
      <c r="J291">
        <v>14.984465599</v>
      </c>
      <c r="K291">
        <v>2400</v>
      </c>
      <c r="L291">
        <v>0</v>
      </c>
      <c r="M291">
        <v>0</v>
      </c>
      <c r="N291">
        <v>2400</v>
      </c>
    </row>
    <row r="292" spans="1:14" x14ac:dyDescent="0.25">
      <c r="A292">
        <v>87.212562000000005</v>
      </c>
      <c r="B292" s="1">
        <f>DATE(2010,7,27) + TIME(5,6,5)</f>
        <v>40386.212557870371</v>
      </c>
      <c r="C292">
        <v>1849.0950928</v>
      </c>
      <c r="D292">
        <v>1721.8173827999999</v>
      </c>
      <c r="E292">
        <v>551.04840088000003</v>
      </c>
      <c r="F292">
        <v>156.42155457000001</v>
      </c>
      <c r="G292">
        <v>80</v>
      </c>
      <c r="H292">
        <v>79.902503967000001</v>
      </c>
      <c r="I292">
        <v>50</v>
      </c>
      <c r="J292">
        <v>14.984619141</v>
      </c>
      <c r="K292">
        <v>2400</v>
      </c>
      <c r="L292">
        <v>0</v>
      </c>
      <c r="M292">
        <v>0</v>
      </c>
      <c r="N292">
        <v>2400</v>
      </c>
    </row>
    <row r="293" spans="1:14" x14ac:dyDescent="0.25">
      <c r="A293">
        <v>88.191086999999996</v>
      </c>
      <c r="B293" s="1">
        <f>DATE(2010,7,28) + TIME(4,35,9)</f>
        <v>40387.191076388888</v>
      </c>
      <c r="C293">
        <v>1848.3355713000001</v>
      </c>
      <c r="D293">
        <v>1721.0640868999999</v>
      </c>
      <c r="E293">
        <v>551.24731444999998</v>
      </c>
      <c r="F293">
        <v>156.6209259</v>
      </c>
      <c r="G293">
        <v>80</v>
      </c>
      <c r="H293">
        <v>79.902664185000006</v>
      </c>
      <c r="I293">
        <v>50</v>
      </c>
      <c r="J293">
        <v>14.984772681999999</v>
      </c>
      <c r="K293">
        <v>2400</v>
      </c>
      <c r="L293">
        <v>0</v>
      </c>
      <c r="M293">
        <v>0</v>
      </c>
      <c r="N293">
        <v>2400</v>
      </c>
    </row>
    <row r="294" spans="1:14" x14ac:dyDescent="0.25">
      <c r="A294">
        <v>88.683908000000002</v>
      </c>
      <c r="B294" s="1">
        <f>DATE(2010,7,28) + TIME(16,24,49)</f>
        <v>40387.683900462966</v>
      </c>
      <c r="C294">
        <v>1847.6174315999999</v>
      </c>
      <c r="D294">
        <v>1720.3518065999999</v>
      </c>
      <c r="E294">
        <v>551.42919921999999</v>
      </c>
      <c r="F294">
        <v>156.80276488999999</v>
      </c>
      <c r="G294">
        <v>80</v>
      </c>
      <c r="H294">
        <v>79.902709960999999</v>
      </c>
      <c r="I294">
        <v>50</v>
      </c>
      <c r="J294">
        <v>14.984881401000001</v>
      </c>
      <c r="K294">
        <v>2400</v>
      </c>
      <c r="L294">
        <v>0</v>
      </c>
      <c r="M294">
        <v>0</v>
      </c>
      <c r="N294">
        <v>2400</v>
      </c>
    </row>
    <row r="295" spans="1:14" x14ac:dyDescent="0.25">
      <c r="A295">
        <v>89.176727999999997</v>
      </c>
      <c r="B295" s="1">
        <f>DATE(2010,7,29) + TIME(4,14,29)</f>
        <v>40388.176724537036</v>
      </c>
      <c r="C295">
        <v>1847.2037353999999</v>
      </c>
      <c r="D295">
        <v>1719.9412841999999</v>
      </c>
      <c r="E295">
        <v>551.54772949000005</v>
      </c>
      <c r="F295">
        <v>156.9216156</v>
      </c>
      <c r="G295">
        <v>80</v>
      </c>
      <c r="H295">
        <v>79.902801514000004</v>
      </c>
      <c r="I295">
        <v>50</v>
      </c>
      <c r="J295">
        <v>14.984977722</v>
      </c>
      <c r="K295">
        <v>2400</v>
      </c>
      <c r="L295">
        <v>0</v>
      </c>
      <c r="M295">
        <v>0</v>
      </c>
      <c r="N295">
        <v>2400</v>
      </c>
    </row>
    <row r="296" spans="1:14" x14ac:dyDescent="0.25">
      <c r="A296">
        <v>89.669549000000004</v>
      </c>
      <c r="B296" s="1">
        <f>DATE(2010,7,29) + TIME(16,4,9)</f>
        <v>40388.669548611113</v>
      </c>
      <c r="C296">
        <v>1846.8193358999999</v>
      </c>
      <c r="D296">
        <v>1719.5598144999999</v>
      </c>
      <c r="E296">
        <v>551.65289307</v>
      </c>
      <c r="F296">
        <v>157.02713012999999</v>
      </c>
      <c r="G296">
        <v>80</v>
      </c>
      <c r="H296">
        <v>79.902885436999995</v>
      </c>
      <c r="I296">
        <v>50</v>
      </c>
      <c r="J296">
        <v>14.985066414</v>
      </c>
      <c r="K296">
        <v>2400</v>
      </c>
      <c r="L296">
        <v>0</v>
      </c>
      <c r="M296">
        <v>0</v>
      </c>
      <c r="N296">
        <v>2400</v>
      </c>
    </row>
    <row r="297" spans="1:14" x14ac:dyDescent="0.25">
      <c r="A297">
        <v>90.162368999999998</v>
      </c>
      <c r="B297" s="1">
        <f>DATE(2010,7,30) + TIME(3,53,48)</f>
        <v>40389.162361111114</v>
      </c>
      <c r="C297">
        <v>1846.4421387</v>
      </c>
      <c r="D297">
        <v>1719.1857910000001</v>
      </c>
      <c r="E297">
        <v>551.75640868999994</v>
      </c>
      <c r="F297">
        <v>157.13090514999999</v>
      </c>
      <c r="G297">
        <v>80</v>
      </c>
      <c r="H297">
        <v>79.90296936</v>
      </c>
      <c r="I297">
        <v>50</v>
      </c>
      <c r="J297">
        <v>14.985150337</v>
      </c>
      <c r="K297">
        <v>2400</v>
      </c>
      <c r="L297">
        <v>0</v>
      </c>
      <c r="M297">
        <v>0</v>
      </c>
      <c r="N297">
        <v>2400</v>
      </c>
    </row>
    <row r="298" spans="1:14" x14ac:dyDescent="0.25">
      <c r="A298">
        <v>90.655190000000005</v>
      </c>
      <c r="B298" s="1">
        <f>DATE(2010,7,30) + TIME(15,43,28)</f>
        <v>40389.655185185184</v>
      </c>
      <c r="C298">
        <v>1846.0686035000001</v>
      </c>
      <c r="D298">
        <v>1718.8151855000001</v>
      </c>
      <c r="E298">
        <v>551.86029053000004</v>
      </c>
      <c r="F298">
        <v>157.23501587000001</v>
      </c>
      <c r="G298">
        <v>80</v>
      </c>
      <c r="H298">
        <v>79.903053283999995</v>
      </c>
      <c r="I298">
        <v>50</v>
      </c>
      <c r="J298">
        <v>14.9852314</v>
      </c>
      <c r="K298">
        <v>2400</v>
      </c>
      <c r="L298">
        <v>0</v>
      </c>
      <c r="M298">
        <v>0</v>
      </c>
      <c r="N298">
        <v>2400</v>
      </c>
    </row>
    <row r="299" spans="1:14" x14ac:dyDescent="0.25">
      <c r="A299">
        <v>91.148009999999999</v>
      </c>
      <c r="B299" s="1">
        <f>DATE(2010,7,31) + TIME(3,33,8)</f>
        <v>40390.148009259261</v>
      </c>
      <c r="C299">
        <v>1845.6973877</v>
      </c>
      <c r="D299">
        <v>1718.4468993999999</v>
      </c>
      <c r="E299">
        <v>551.96472168000003</v>
      </c>
      <c r="F299">
        <v>157.33969116</v>
      </c>
      <c r="G299">
        <v>80</v>
      </c>
      <c r="H299">
        <v>79.903129578000005</v>
      </c>
      <c r="I299">
        <v>50</v>
      </c>
      <c r="J299">
        <v>14.985309601000001</v>
      </c>
      <c r="K299">
        <v>2400</v>
      </c>
      <c r="L299">
        <v>0</v>
      </c>
      <c r="M299">
        <v>0</v>
      </c>
      <c r="N299">
        <v>2400</v>
      </c>
    </row>
    <row r="300" spans="1:14" x14ac:dyDescent="0.25">
      <c r="A300">
        <v>92</v>
      </c>
      <c r="B300" s="1">
        <f>DATE(2010,8,1) + TIME(0,0,0)</f>
        <v>40391</v>
      </c>
      <c r="C300">
        <v>1845.3127440999999</v>
      </c>
      <c r="D300">
        <v>1718.0653076000001</v>
      </c>
      <c r="E300">
        <v>552.07928466999999</v>
      </c>
      <c r="F300">
        <v>157.45478821</v>
      </c>
      <c r="G300">
        <v>80</v>
      </c>
      <c r="H300">
        <v>79.903289795000006</v>
      </c>
      <c r="I300">
        <v>50</v>
      </c>
      <c r="J300">
        <v>14.985412598</v>
      </c>
      <c r="K300">
        <v>2400</v>
      </c>
      <c r="L300">
        <v>0</v>
      </c>
      <c r="M300">
        <v>0</v>
      </c>
      <c r="N300">
        <v>2400</v>
      </c>
    </row>
    <row r="301" spans="1:14" x14ac:dyDescent="0.25">
      <c r="A301">
        <v>92.985641000000001</v>
      </c>
      <c r="B301" s="1">
        <f>DATE(2010,8,1) + TIME(23,39,19)</f>
        <v>40391.985636574071</v>
      </c>
      <c r="C301">
        <v>1844.6934814000001</v>
      </c>
      <c r="D301">
        <v>1717.4511719</v>
      </c>
      <c r="E301">
        <v>552.25738524999997</v>
      </c>
      <c r="F301">
        <v>157.63310242</v>
      </c>
      <c r="G301">
        <v>80</v>
      </c>
      <c r="H301">
        <v>79.903442382999998</v>
      </c>
      <c r="I301">
        <v>50</v>
      </c>
      <c r="J301">
        <v>14.985535622</v>
      </c>
      <c r="K301">
        <v>2400</v>
      </c>
      <c r="L301">
        <v>0</v>
      </c>
      <c r="M301">
        <v>0</v>
      </c>
      <c r="N301">
        <v>2400</v>
      </c>
    </row>
    <row r="302" spans="1:14" x14ac:dyDescent="0.25">
      <c r="A302">
        <v>93.976809000000003</v>
      </c>
      <c r="B302" s="1">
        <f>DATE(2010,8,2) + TIME(23,26,36)</f>
        <v>40392.976805555554</v>
      </c>
      <c r="C302">
        <v>1843.9768065999999</v>
      </c>
      <c r="D302">
        <v>1716.7402344</v>
      </c>
      <c r="E302">
        <v>552.46722411999997</v>
      </c>
      <c r="F302">
        <v>157.84320068</v>
      </c>
      <c r="G302">
        <v>80</v>
      </c>
      <c r="H302">
        <v>79.903594971000004</v>
      </c>
      <c r="I302">
        <v>50</v>
      </c>
      <c r="J302">
        <v>14.985671043</v>
      </c>
      <c r="K302">
        <v>2400</v>
      </c>
      <c r="L302">
        <v>0</v>
      </c>
      <c r="M302">
        <v>0</v>
      </c>
      <c r="N302">
        <v>2400</v>
      </c>
    </row>
    <row r="303" spans="1:14" x14ac:dyDescent="0.25">
      <c r="A303">
        <v>94.975700000000003</v>
      </c>
      <c r="B303" s="1">
        <f>DATE(2010,8,3) + TIME(23,25,0)</f>
        <v>40393.975694444445</v>
      </c>
      <c r="C303">
        <v>1843.2557373</v>
      </c>
      <c r="D303">
        <v>1716.0250243999999</v>
      </c>
      <c r="E303">
        <v>552.68304443</v>
      </c>
      <c r="F303">
        <v>158.05924988000001</v>
      </c>
      <c r="G303">
        <v>80</v>
      </c>
      <c r="H303">
        <v>79.903747558999996</v>
      </c>
      <c r="I303">
        <v>50</v>
      </c>
      <c r="J303">
        <v>14.985814095</v>
      </c>
      <c r="K303">
        <v>2400</v>
      </c>
      <c r="L303">
        <v>0</v>
      </c>
      <c r="M303">
        <v>0</v>
      </c>
      <c r="N303">
        <v>2400</v>
      </c>
    </row>
    <row r="304" spans="1:14" x14ac:dyDescent="0.25">
      <c r="A304">
        <v>95.983846</v>
      </c>
      <c r="B304" s="1">
        <f>DATE(2010,8,4) + TIME(23,36,44)</f>
        <v>40394.983842592592</v>
      </c>
      <c r="C304">
        <v>1842.5347899999999</v>
      </c>
      <c r="D304">
        <v>1715.3098144999999</v>
      </c>
      <c r="E304">
        <v>552.90258788999995</v>
      </c>
      <c r="F304">
        <v>158.27903748</v>
      </c>
      <c r="G304">
        <v>80</v>
      </c>
      <c r="H304">
        <v>79.903907775999997</v>
      </c>
      <c r="I304">
        <v>50</v>
      </c>
      <c r="J304">
        <v>14.98596096</v>
      </c>
      <c r="K304">
        <v>2400</v>
      </c>
      <c r="L304">
        <v>0</v>
      </c>
      <c r="M304">
        <v>0</v>
      </c>
      <c r="N304">
        <v>2400</v>
      </c>
    </row>
    <row r="305" spans="1:14" x14ac:dyDescent="0.25">
      <c r="A305">
        <v>97.002792999999997</v>
      </c>
      <c r="B305" s="1">
        <f>DATE(2010,8,6) + TIME(0,4,1)</f>
        <v>40396.002789351849</v>
      </c>
      <c r="C305">
        <v>1841.8139647999999</v>
      </c>
      <c r="D305">
        <v>1714.5946045000001</v>
      </c>
      <c r="E305">
        <v>553.12615966999999</v>
      </c>
      <c r="F305">
        <v>158.50289917000001</v>
      </c>
      <c r="G305">
        <v>80</v>
      </c>
      <c r="H305">
        <v>79.904067992999998</v>
      </c>
      <c r="I305">
        <v>50</v>
      </c>
      <c r="J305">
        <v>14.986109733999999</v>
      </c>
      <c r="K305">
        <v>2400</v>
      </c>
      <c r="L305">
        <v>0</v>
      </c>
      <c r="M305">
        <v>0</v>
      </c>
      <c r="N305">
        <v>2400</v>
      </c>
    </row>
    <row r="306" spans="1:14" x14ac:dyDescent="0.25">
      <c r="A306">
        <v>98.034141000000005</v>
      </c>
      <c r="B306" s="1">
        <f>DATE(2010,8,7) + TIME(0,49,9)</f>
        <v>40397.034131944441</v>
      </c>
      <c r="C306">
        <v>1841.0921631000001</v>
      </c>
      <c r="D306">
        <v>1713.8785399999999</v>
      </c>
      <c r="E306">
        <v>553.35430908000001</v>
      </c>
      <c r="F306">
        <v>158.73132323999999</v>
      </c>
      <c r="G306">
        <v>80</v>
      </c>
      <c r="H306">
        <v>79.904228209999999</v>
      </c>
      <c r="I306">
        <v>50</v>
      </c>
      <c r="J306">
        <v>14.986259459999999</v>
      </c>
      <c r="K306">
        <v>2400</v>
      </c>
      <c r="L306">
        <v>0</v>
      </c>
      <c r="M306">
        <v>0</v>
      </c>
      <c r="N306">
        <v>2400</v>
      </c>
    </row>
    <row r="307" spans="1:14" x14ac:dyDescent="0.25">
      <c r="A307">
        <v>99.079741999999996</v>
      </c>
      <c r="B307" s="1">
        <f>DATE(2010,8,8) + TIME(1,54,49)</f>
        <v>40398.079733796294</v>
      </c>
      <c r="C307">
        <v>1840.3684082</v>
      </c>
      <c r="D307">
        <v>1713.1605225000001</v>
      </c>
      <c r="E307">
        <v>553.58758545000001</v>
      </c>
      <c r="F307">
        <v>158.96479797000001</v>
      </c>
      <c r="G307">
        <v>80</v>
      </c>
      <c r="H307">
        <v>79.904396057</v>
      </c>
      <c r="I307">
        <v>50</v>
      </c>
      <c r="J307">
        <v>14.986411094999999</v>
      </c>
      <c r="K307">
        <v>2400</v>
      </c>
      <c r="L307">
        <v>0</v>
      </c>
      <c r="M307">
        <v>0</v>
      </c>
      <c r="N307">
        <v>2400</v>
      </c>
    </row>
    <row r="308" spans="1:14" x14ac:dyDescent="0.25">
      <c r="A308">
        <v>99.605220000000003</v>
      </c>
      <c r="B308" s="1">
        <f>DATE(2010,8,8) + TIME(14,31,31)</f>
        <v>40398.605219907404</v>
      </c>
      <c r="C308">
        <v>1839.6796875</v>
      </c>
      <c r="D308">
        <v>1712.4772949000001</v>
      </c>
      <c r="E308">
        <v>553.80499268000005</v>
      </c>
      <c r="F308">
        <v>159.18197631999999</v>
      </c>
      <c r="G308">
        <v>80</v>
      </c>
      <c r="H308">
        <v>79.904449463000006</v>
      </c>
      <c r="I308">
        <v>50</v>
      </c>
      <c r="J308">
        <v>14.986522675</v>
      </c>
      <c r="K308">
        <v>2400</v>
      </c>
      <c r="L308">
        <v>0</v>
      </c>
      <c r="M308">
        <v>0</v>
      </c>
      <c r="N308">
        <v>2400</v>
      </c>
    </row>
    <row r="309" spans="1:14" x14ac:dyDescent="0.25">
      <c r="A309">
        <v>100.12990600000001</v>
      </c>
      <c r="B309" s="1">
        <f>DATE(2010,8,9) + TIME(3,7,3)</f>
        <v>40399.129895833335</v>
      </c>
      <c r="C309">
        <v>1839.2817382999999</v>
      </c>
      <c r="D309">
        <v>1712.0821533000001</v>
      </c>
      <c r="E309">
        <v>553.94360352000001</v>
      </c>
      <c r="F309">
        <v>159.32083130000001</v>
      </c>
      <c r="G309">
        <v>80</v>
      </c>
      <c r="H309">
        <v>79.904533385999997</v>
      </c>
      <c r="I309">
        <v>50</v>
      </c>
      <c r="J309">
        <v>14.986618996000001</v>
      </c>
      <c r="K309">
        <v>2400</v>
      </c>
      <c r="L309">
        <v>0</v>
      </c>
      <c r="M309">
        <v>0</v>
      </c>
      <c r="N309">
        <v>2400</v>
      </c>
    </row>
    <row r="310" spans="1:14" x14ac:dyDescent="0.25">
      <c r="A310">
        <v>100.65459199999999</v>
      </c>
      <c r="B310" s="1">
        <f>DATE(2010,8,9) + TIME(15,42,36)</f>
        <v>40399.654583333337</v>
      </c>
      <c r="C310">
        <v>1838.9130858999999</v>
      </c>
      <c r="D310">
        <v>1711.7163086</v>
      </c>
      <c r="E310">
        <v>554.06756591999999</v>
      </c>
      <c r="F310">
        <v>159.44500732</v>
      </c>
      <c r="G310">
        <v>80</v>
      </c>
      <c r="H310">
        <v>79.904624939000001</v>
      </c>
      <c r="I310">
        <v>50</v>
      </c>
      <c r="J310">
        <v>14.986708641</v>
      </c>
      <c r="K310">
        <v>2400</v>
      </c>
      <c r="L310">
        <v>0</v>
      </c>
      <c r="M310">
        <v>0</v>
      </c>
      <c r="N310">
        <v>2400</v>
      </c>
    </row>
    <row r="311" spans="1:14" x14ac:dyDescent="0.25">
      <c r="A311">
        <v>101.179277</v>
      </c>
      <c r="B311" s="1">
        <f>DATE(2010,8,10) + TIME(4,18,9)</f>
        <v>40400.179270833331</v>
      </c>
      <c r="C311">
        <v>1838.5513916</v>
      </c>
      <c r="D311">
        <v>1711.3575439000001</v>
      </c>
      <c r="E311">
        <v>554.19000243999994</v>
      </c>
      <c r="F311">
        <v>159.56761169000001</v>
      </c>
      <c r="G311">
        <v>80</v>
      </c>
      <c r="H311">
        <v>79.904708862000007</v>
      </c>
      <c r="I311">
        <v>50</v>
      </c>
      <c r="J311">
        <v>14.986792564</v>
      </c>
      <c r="K311">
        <v>2400</v>
      </c>
      <c r="L311">
        <v>0</v>
      </c>
      <c r="M311">
        <v>0</v>
      </c>
      <c r="N311">
        <v>2400</v>
      </c>
    </row>
    <row r="312" spans="1:14" x14ac:dyDescent="0.25">
      <c r="A312">
        <v>101.703963</v>
      </c>
      <c r="B312" s="1">
        <f>DATE(2010,8,10) + TIME(16,53,42)</f>
        <v>40400.703958333332</v>
      </c>
      <c r="C312">
        <v>1838.1929932</v>
      </c>
      <c r="D312">
        <v>1711.0018310999999</v>
      </c>
      <c r="E312">
        <v>554.31298828000001</v>
      </c>
      <c r="F312">
        <v>159.69075011999999</v>
      </c>
      <c r="G312">
        <v>80</v>
      </c>
      <c r="H312">
        <v>79.904792786000002</v>
      </c>
      <c r="I312">
        <v>50</v>
      </c>
      <c r="J312">
        <v>14.986873627</v>
      </c>
      <c r="K312">
        <v>2400</v>
      </c>
      <c r="L312">
        <v>0</v>
      </c>
      <c r="M312">
        <v>0</v>
      </c>
      <c r="N312">
        <v>2400</v>
      </c>
    </row>
    <row r="313" spans="1:14" x14ac:dyDescent="0.25">
      <c r="A313">
        <v>102.22864800000001</v>
      </c>
      <c r="B313" s="1">
        <f>DATE(2010,8,11) + TIME(5,29,15)</f>
        <v>40401.228645833333</v>
      </c>
      <c r="C313">
        <v>1837.8366699000001</v>
      </c>
      <c r="D313">
        <v>1710.6483154</v>
      </c>
      <c r="E313">
        <v>554.43682861000002</v>
      </c>
      <c r="F313">
        <v>159.81466674999999</v>
      </c>
      <c r="G313">
        <v>80</v>
      </c>
      <c r="H313">
        <v>79.904876709000007</v>
      </c>
      <c r="I313">
        <v>50</v>
      </c>
      <c r="J313">
        <v>14.986953735</v>
      </c>
      <c r="K313">
        <v>2400</v>
      </c>
      <c r="L313">
        <v>0</v>
      </c>
      <c r="M313">
        <v>0</v>
      </c>
      <c r="N313">
        <v>2400</v>
      </c>
    </row>
    <row r="314" spans="1:14" x14ac:dyDescent="0.25">
      <c r="A314">
        <v>102.753334</v>
      </c>
      <c r="B314" s="1">
        <f>DATE(2010,8,11) + TIME(18,4,48)</f>
        <v>40401.753333333334</v>
      </c>
      <c r="C314">
        <v>1837.4822998</v>
      </c>
      <c r="D314">
        <v>1710.2966309000001</v>
      </c>
      <c r="E314">
        <v>554.56140137</v>
      </c>
      <c r="F314">
        <v>159.93934630999999</v>
      </c>
      <c r="G314">
        <v>80</v>
      </c>
      <c r="H314">
        <v>79.904960631999998</v>
      </c>
      <c r="I314">
        <v>50</v>
      </c>
      <c r="J314">
        <v>14.987031936999999</v>
      </c>
      <c r="K314">
        <v>2400</v>
      </c>
      <c r="L314">
        <v>0</v>
      </c>
      <c r="M314">
        <v>0</v>
      </c>
      <c r="N314">
        <v>2400</v>
      </c>
    </row>
    <row r="315" spans="1:14" x14ac:dyDescent="0.25">
      <c r="A315">
        <v>103.27802</v>
      </c>
      <c r="B315" s="1">
        <f>DATE(2010,8,12) + TIME(6,40,20)</f>
        <v>40402.278009259258</v>
      </c>
      <c r="C315">
        <v>1837.1295166</v>
      </c>
      <c r="D315">
        <v>1709.9465332</v>
      </c>
      <c r="E315">
        <v>554.68664550999995</v>
      </c>
      <c r="F315">
        <v>160.06474304</v>
      </c>
      <c r="G315">
        <v>80</v>
      </c>
      <c r="H315">
        <v>79.905036925999994</v>
      </c>
      <c r="I315">
        <v>50</v>
      </c>
      <c r="J315">
        <v>14.987110138</v>
      </c>
      <c r="K315">
        <v>2400</v>
      </c>
      <c r="L315">
        <v>0</v>
      </c>
      <c r="M315">
        <v>0</v>
      </c>
      <c r="N315">
        <v>2400</v>
      </c>
    </row>
    <row r="316" spans="1:14" x14ac:dyDescent="0.25">
      <c r="A316">
        <v>103.802705</v>
      </c>
      <c r="B316" s="1">
        <f>DATE(2010,8,12) + TIME(19,15,53)</f>
        <v>40402.80269675926</v>
      </c>
      <c r="C316">
        <v>1836.7783202999999</v>
      </c>
      <c r="D316">
        <v>1709.5981445</v>
      </c>
      <c r="E316">
        <v>554.81268310999997</v>
      </c>
      <c r="F316">
        <v>160.19084167</v>
      </c>
      <c r="G316">
        <v>80</v>
      </c>
      <c r="H316">
        <v>79.905120850000003</v>
      </c>
      <c r="I316">
        <v>50</v>
      </c>
      <c r="J316">
        <v>14.987187386</v>
      </c>
      <c r="K316">
        <v>2400</v>
      </c>
      <c r="L316">
        <v>0</v>
      </c>
      <c r="M316">
        <v>0</v>
      </c>
      <c r="N316">
        <v>2400</v>
      </c>
    </row>
    <row r="317" spans="1:14" x14ac:dyDescent="0.25">
      <c r="A317">
        <v>104.32739100000001</v>
      </c>
      <c r="B317" s="1">
        <f>DATE(2010,8,13) + TIME(7,51,26)</f>
        <v>40403.327384259261</v>
      </c>
      <c r="C317">
        <v>1836.4287108999999</v>
      </c>
      <c r="D317">
        <v>1709.2512207</v>
      </c>
      <c r="E317">
        <v>554.93939208999996</v>
      </c>
      <c r="F317">
        <v>160.31764221</v>
      </c>
      <c r="G317">
        <v>80</v>
      </c>
      <c r="H317">
        <v>79.905204772999994</v>
      </c>
      <c r="I317">
        <v>50</v>
      </c>
      <c r="J317">
        <v>14.987264633000001</v>
      </c>
      <c r="K317">
        <v>2400</v>
      </c>
      <c r="L317">
        <v>0</v>
      </c>
      <c r="M317">
        <v>0</v>
      </c>
      <c r="N317">
        <v>2400</v>
      </c>
    </row>
    <row r="318" spans="1:14" x14ac:dyDescent="0.25">
      <c r="A318">
        <v>104.852076</v>
      </c>
      <c r="B318" s="1">
        <f>DATE(2010,8,13) + TIME(20,26,59)</f>
        <v>40403.852071759262</v>
      </c>
      <c r="C318">
        <v>1836.0808105000001</v>
      </c>
      <c r="D318">
        <v>1708.9058838000001</v>
      </c>
      <c r="E318">
        <v>555.06683350000003</v>
      </c>
      <c r="F318">
        <v>160.44514465</v>
      </c>
      <c r="G318">
        <v>80</v>
      </c>
      <c r="H318">
        <v>79.905281067000004</v>
      </c>
      <c r="I318">
        <v>50</v>
      </c>
      <c r="J318">
        <v>14.987341881000001</v>
      </c>
      <c r="K318">
        <v>2400</v>
      </c>
      <c r="L318">
        <v>0</v>
      </c>
      <c r="M318">
        <v>0</v>
      </c>
      <c r="N318">
        <v>2400</v>
      </c>
    </row>
    <row r="319" spans="1:14" x14ac:dyDescent="0.25">
      <c r="A319">
        <v>105.376762</v>
      </c>
      <c r="B319" s="1">
        <f>DATE(2010,8,14) + TIME(9,2,32)</f>
        <v>40404.376759259256</v>
      </c>
      <c r="C319">
        <v>1835.7342529</v>
      </c>
      <c r="D319">
        <v>1708.5620117000001</v>
      </c>
      <c r="E319">
        <v>555.19494628999996</v>
      </c>
      <c r="F319">
        <v>160.57336426000001</v>
      </c>
      <c r="G319">
        <v>80</v>
      </c>
      <c r="H319">
        <v>79.905364989999995</v>
      </c>
      <c r="I319">
        <v>50</v>
      </c>
      <c r="J319">
        <v>14.987419128000001</v>
      </c>
      <c r="K319">
        <v>2400</v>
      </c>
      <c r="L319">
        <v>0</v>
      </c>
      <c r="M319">
        <v>0</v>
      </c>
      <c r="N319">
        <v>2400</v>
      </c>
    </row>
    <row r="320" spans="1:14" x14ac:dyDescent="0.25">
      <c r="A320">
        <v>105.901448</v>
      </c>
      <c r="B320" s="1">
        <f>DATE(2010,8,14) + TIME(21,38,5)</f>
        <v>40404.901446759257</v>
      </c>
      <c r="C320">
        <v>1835.3892822</v>
      </c>
      <c r="D320">
        <v>1708.2197266000001</v>
      </c>
      <c r="E320">
        <v>555.32385253999996</v>
      </c>
      <c r="F320">
        <v>160.70230103</v>
      </c>
      <c r="G320">
        <v>80</v>
      </c>
      <c r="H320">
        <v>79.905441284000005</v>
      </c>
      <c r="I320">
        <v>50</v>
      </c>
      <c r="J320">
        <v>14.987496375999999</v>
      </c>
      <c r="K320">
        <v>2400</v>
      </c>
      <c r="L320">
        <v>0</v>
      </c>
      <c r="M320">
        <v>0</v>
      </c>
      <c r="N320">
        <v>2400</v>
      </c>
    </row>
    <row r="321" spans="1:14" x14ac:dyDescent="0.25">
      <c r="A321">
        <v>106.42613299999999</v>
      </c>
      <c r="B321" s="1">
        <f>DATE(2010,8,15) + TIME(10,13,37)</f>
        <v>40405.426122685189</v>
      </c>
      <c r="C321">
        <v>1835.0458983999999</v>
      </c>
      <c r="D321">
        <v>1707.8789062000001</v>
      </c>
      <c r="E321">
        <v>555.45343018000005</v>
      </c>
      <c r="F321">
        <v>160.83197021000001</v>
      </c>
      <c r="G321">
        <v>80</v>
      </c>
      <c r="H321">
        <v>79.905525208</v>
      </c>
      <c r="I321">
        <v>50</v>
      </c>
      <c r="J321">
        <v>14.987574577</v>
      </c>
      <c r="K321">
        <v>2400</v>
      </c>
      <c r="L321">
        <v>0</v>
      </c>
      <c r="M321">
        <v>0</v>
      </c>
      <c r="N321">
        <v>2400</v>
      </c>
    </row>
    <row r="322" spans="1:14" x14ac:dyDescent="0.25">
      <c r="A322">
        <v>107.475504</v>
      </c>
      <c r="B322" s="1">
        <f>DATE(2010,8,16) + TIME(11,24,43)</f>
        <v>40406.475497685184</v>
      </c>
      <c r="C322">
        <v>1834.6859131000001</v>
      </c>
      <c r="D322">
        <v>1707.5216064000001</v>
      </c>
      <c r="E322">
        <v>555.59649658000001</v>
      </c>
      <c r="F322">
        <v>160.97550964000001</v>
      </c>
      <c r="G322">
        <v>80</v>
      </c>
      <c r="H322">
        <v>79.905700683999996</v>
      </c>
      <c r="I322">
        <v>50</v>
      </c>
      <c r="J322">
        <v>14.987681389</v>
      </c>
      <c r="K322">
        <v>2400</v>
      </c>
      <c r="L322">
        <v>0</v>
      </c>
      <c r="M322">
        <v>0</v>
      </c>
      <c r="N322">
        <v>2400</v>
      </c>
    </row>
    <row r="323" spans="1:14" x14ac:dyDescent="0.25">
      <c r="A323">
        <v>108.52689100000001</v>
      </c>
      <c r="B323" s="1">
        <f>DATE(2010,8,17) + TIME(12,38,43)</f>
        <v>40407.526886574073</v>
      </c>
      <c r="C323">
        <v>1834.0294189000001</v>
      </c>
      <c r="D323">
        <v>1706.8702393000001</v>
      </c>
      <c r="E323">
        <v>555.84814453000001</v>
      </c>
      <c r="F323">
        <v>161.22708130000001</v>
      </c>
      <c r="G323">
        <v>80</v>
      </c>
      <c r="H323">
        <v>79.905853270999998</v>
      </c>
      <c r="I323">
        <v>50</v>
      </c>
      <c r="J323">
        <v>14.987814903</v>
      </c>
      <c r="K323">
        <v>2400</v>
      </c>
      <c r="L323">
        <v>0</v>
      </c>
      <c r="M323">
        <v>0</v>
      </c>
      <c r="N323">
        <v>2400</v>
      </c>
    </row>
    <row r="324" spans="1:14" x14ac:dyDescent="0.25">
      <c r="A324">
        <v>109.590062</v>
      </c>
      <c r="B324" s="1">
        <f>DATE(2010,8,18) + TIME(14,9,41)</f>
        <v>40408.590057870373</v>
      </c>
      <c r="C324">
        <v>1833.3580322</v>
      </c>
      <c r="D324">
        <v>1706.2041016000001</v>
      </c>
      <c r="E324">
        <v>556.11322021000001</v>
      </c>
      <c r="F324">
        <v>161.49221802</v>
      </c>
      <c r="G324">
        <v>80</v>
      </c>
      <c r="H324">
        <v>79.906005859000004</v>
      </c>
      <c r="I324">
        <v>50</v>
      </c>
      <c r="J324">
        <v>14.987961769</v>
      </c>
      <c r="K324">
        <v>2400</v>
      </c>
      <c r="L324">
        <v>0</v>
      </c>
      <c r="M324">
        <v>0</v>
      </c>
      <c r="N324">
        <v>2400</v>
      </c>
    </row>
    <row r="325" spans="1:14" x14ac:dyDescent="0.25">
      <c r="A325">
        <v>110.666641</v>
      </c>
      <c r="B325" s="1">
        <f>DATE(2010,8,19) + TIME(15,59,57)</f>
        <v>40409.666631944441</v>
      </c>
      <c r="C325">
        <v>1832.6827393000001</v>
      </c>
      <c r="D325">
        <v>1705.5338135</v>
      </c>
      <c r="E325">
        <v>556.38470458999996</v>
      </c>
      <c r="F325">
        <v>161.76379395000001</v>
      </c>
      <c r="G325">
        <v>80</v>
      </c>
      <c r="H325">
        <v>79.906166076999995</v>
      </c>
      <c r="I325">
        <v>50</v>
      </c>
      <c r="J325">
        <v>14.988117217999999</v>
      </c>
      <c r="K325">
        <v>2400</v>
      </c>
      <c r="L325">
        <v>0</v>
      </c>
      <c r="M325">
        <v>0</v>
      </c>
      <c r="N325">
        <v>2400</v>
      </c>
    </row>
    <row r="326" spans="1:14" x14ac:dyDescent="0.25">
      <c r="A326">
        <v>111.758566</v>
      </c>
      <c r="B326" s="1">
        <f>DATE(2010,8,20) + TIME(18,12,20)</f>
        <v>40410.758564814816</v>
      </c>
      <c r="C326">
        <v>1832.0040283000001</v>
      </c>
      <c r="D326">
        <v>1704.8602295000001</v>
      </c>
      <c r="E326">
        <v>556.66271973000005</v>
      </c>
      <c r="F326">
        <v>162.04199219</v>
      </c>
      <c r="G326">
        <v>80</v>
      </c>
      <c r="H326">
        <v>79.906333923000005</v>
      </c>
      <c r="I326">
        <v>50</v>
      </c>
      <c r="J326">
        <v>14.988279343</v>
      </c>
      <c r="K326">
        <v>2400</v>
      </c>
      <c r="L326">
        <v>0</v>
      </c>
      <c r="M326">
        <v>0</v>
      </c>
      <c r="N326">
        <v>2400</v>
      </c>
    </row>
    <row r="327" spans="1:14" x14ac:dyDescent="0.25">
      <c r="A327">
        <v>112.30732</v>
      </c>
      <c r="B327" s="1">
        <f>DATE(2010,8,21) + TIME(7,22,32)</f>
        <v>40411.307314814818</v>
      </c>
      <c r="C327">
        <v>1831.3590088000001</v>
      </c>
      <c r="D327">
        <v>1704.2202147999999</v>
      </c>
      <c r="E327">
        <v>556.92517090000001</v>
      </c>
      <c r="F327">
        <v>162.30413818</v>
      </c>
      <c r="G327">
        <v>80</v>
      </c>
      <c r="H327">
        <v>79.906387328999998</v>
      </c>
      <c r="I327">
        <v>50</v>
      </c>
      <c r="J327">
        <v>14.988402367000001</v>
      </c>
      <c r="K327">
        <v>2400</v>
      </c>
      <c r="L327">
        <v>0</v>
      </c>
      <c r="M327">
        <v>0</v>
      </c>
      <c r="N327">
        <v>2400</v>
      </c>
    </row>
    <row r="328" spans="1:14" x14ac:dyDescent="0.25">
      <c r="A328">
        <v>112.85607400000001</v>
      </c>
      <c r="B328" s="1">
        <f>DATE(2010,8,21) + TIME(20,32,44)</f>
        <v>40411.856064814812</v>
      </c>
      <c r="C328">
        <v>1830.9833983999999</v>
      </c>
      <c r="D328">
        <v>1703.847168</v>
      </c>
      <c r="E328">
        <v>557.08929443</v>
      </c>
      <c r="F328">
        <v>162.46855163999999</v>
      </c>
      <c r="G328">
        <v>80</v>
      </c>
      <c r="H328">
        <v>79.906478882000002</v>
      </c>
      <c r="I328">
        <v>50</v>
      </c>
      <c r="J328">
        <v>14.988511086000001</v>
      </c>
      <c r="K328">
        <v>2400</v>
      </c>
      <c r="L328">
        <v>0</v>
      </c>
      <c r="M328">
        <v>0</v>
      </c>
      <c r="N328">
        <v>2400</v>
      </c>
    </row>
    <row r="329" spans="1:14" x14ac:dyDescent="0.25">
      <c r="A329">
        <v>113.40482799999999</v>
      </c>
      <c r="B329" s="1">
        <f>DATE(2010,8,22) + TIME(9,42,57)</f>
        <v>40412.404826388891</v>
      </c>
      <c r="C329">
        <v>1830.6357422000001</v>
      </c>
      <c r="D329">
        <v>1703.5020752</v>
      </c>
      <c r="E329">
        <v>557.23767090000001</v>
      </c>
      <c r="F329">
        <v>162.6171875</v>
      </c>
      <c r="G329">
        <v>80</v>
      </c>
      <c r="H329">
        <v>79.906562804999993</v>
      </c>
      <c r="I329">
        <v>50</v>
      </c>
      <c r="J329">
        <v>14.988611220999999</v>
      </c>
      <c r="K329">
        <v>2400</v>
      </c>
      <c r="L329">
        <v>0</v>
      </c>
      <c r="M329">
        <v>0</v>
      </c>
      <c r="N329">
        <v>2400</v>
      </c>
    </row>
    <row r="330" spans="1:14" x14ac:dyDescent="0.25">
      <c r="A330">
        <v>113.953582</v>
      </c>
      <c r="B330" s="1">
        <f>DATE(2010,8,22) + TIME(22,53,9)</f>
        <v>40412.953576388885</v>
      </c>
      <c r="C330">
        <v>1830.2947998</v>
      </c>
      <c r="D330">
        <v>1703.1636963000001</v>
      </c>
      <c r="E330">
        <v>557.38482666000004</v>
      </c>
      <c r="F330">
        <v>162.76452637</v>
      </c>
      <c r="G330">
        <v>80</v>
      </c>
      <c r="H330">
        <v>79.906646729000002</v>
      </c>
      <c r="I330">
        <v>50</v>
      </c>
      <c r="J330">
        <v>14.988707542</v>
      </c>
      <c r="K330">
        <v>2400</v>
      </c>
      <c r="L330">
        <v>0</v>
      </c>
      <c r="M330">
        <v>0</v>
      </c>
      <c r="N330">
        <v>2400</v>
      </c>
    </row>
    <row r="331" spans="1:14" x14ac:dyDescent="0.25">
      <c r="A331">
        <v>114.502337</v>
      </c>
      <c r="B331" s="1">
        <f>DATE(2010,8,23) + TIME(12,3,21)</f>
        <v>40413.502326388887</v>
      </c>
      <c r="C331">
        <v>1829.9566649999999</v>
      </c>
      <c r="D331">
        <v>1702.8280029</v>
      </c>
      <c r="E331">
        <v>557.53283691000001</v>
      </c>
      <c r="F331">
        <v>162.91275024000001</v>
      </c>
      <c r="G331">
        <v>80</v>
      </c>
      <c r="H331">
        <v>79.906730651999993</v>
      </c>
      <c r="I331">
        <v>50</v>
      </c>
      <c r="J331">
        <v>14.988801956</v>
      </c>
      <c r="K331">
        <v>2400</v>
      </c>
      <c r="L331">
        <v>0</v>
      </c>
      <c r="M331">
        <v>0</v>
      </c>
      <c r="N331">
        <v>2400</v>
      </c>
    </row>
    <row r="332" spans="1:14" x14ac:dyDescent="0.25">
      <c r="A332">
        <v>115.051091</v>
      </c>
      <c r="B332" s="1">
        <f>DATE(2010,8,24) + TIME(1,13,34)</f>
        <v>40414.051087962966</v>
      </c>
      <c r="C332">
        <v>1829.6204834</v>
      </c>
      <c r="D332">
        <v>1702.4942627</v>
      </c>
      <c r="E332">
        <v>557.68200683999999</v>
      </c>
      <c r="F332">
        <v>163.06208801</v>
      </c>
      <c r="G332">
        <v>80</v>
      </c>
      <c r="H332">
        <v>79.906814574999999</v>
      </c>
      <c r="I332">
        <v>50</v>
      </c>
      <c r="J332">
        <v>14.988896370000001</v>
      </c>
      <c r="K332">
        <v>2400</v>
      </c>
      <c r="L332">
        <v>0</v>
      </c>
      <c r="M332">
        <v>0</v>
      </c>
      <c r="N332">
        <v>2400</v>
      </c>
    </row>
    <row r="333" spans="1:14" x14ac:dyDescent="0.25">
      <c r="A333">
        <v>115.599845</v>
      </c>
      <c r="B333" s="1">
        <f>DATE(2010,8,24) + TIME(14,23,46)</f>
        <v>40414.59983796296</v>
      </c>
      <c r="C333">
        <v>1829.2857666</v>
      </c>
      <c r="D333">
        <v>1702.1619873</v>
      </c>
      <c r="E333">
        <v>557.83221435999997</v>
      </c>
      <c r="F333">
        <v>163.21252440999999</v>
      </c>
      <c r="G333">
        <v>80</v>
      </c>
      <c r="H333">
        <v>79.906898498999993</v>
      </c>
      <c r="I333">
        <v>50</v>
      </c>
      <c r="J333">
        <v>14.988990784</v>
      </c>
      <c r="K333">
        <v>2400</v>
      </c>
      <c r="L333">
        <v>0</v>
      </c>
      <c r="M333">
        <v>0</v>
      </c>
      <c r="N333">
        <v>2400</v>
      </c>
    </row>
    <row r="334" spans="1:14" x14ac:dyDescent="0.25">
      <c r="A334">
        <v>116.148599</v>
      </c>
      <c r="B334" s="1">
        <f>DATE(2010,8,25) + TIME(3,33,58)</f>
        <v>40415.148587962962</v>
      </c>
      <c r="C334">
        <v>1828.9523925999999</v>
      </c>
      <c r="D334">
        <v>1701.8311768000001</v>
      </c>
      <c r="E334">
        <v>557.98352050999995</v>
      </c>
      <c r="F334">
        <v>163.36401366999999</v>
      </c>
      <c r="G334">
        <v>80</v>
      </c>
      <c r="H334">
        <v>79.906982421999999</v>
      </c>
      <c r="I334">
        <v>50</v>
      </c>
      <c r="J334">
        <v>14.989085197</v>
      </c>
      <c r="K334">
        <v>2400</v>
      </c>
      <c r="L334">
        <v>0</v>
      </c>
      <c r="M334">
        <v>0</v>
      </c>
      <c r="N334">
        <v>2400</v>
      </c>
    </row>
    <row r="335" spans="1:14" x14ac:dyDescent="0.25">
      <c r="A335">
        <v>116.69735300000001</v>
      </c>
      <c r="B335" s="1">
        <f>DATE(2010,8,25) + TIME(16,44,11)</f>
        <v>40415.69734953704</v>
      </c>
      <c r="C335">
        <v>1828.6204834</v>
      </c>
      <c r="D335">
        <v>1701.5017089999999</v>
      </c>
      <c r="E335">
        <v>558.13580321999996</v>
      </c>
      <c r="F335">
        <v>163.51655579000001</v>
      </c>
      <c r="G335">
        <v>80</v>
      </c>
      <c r="H335">
        <v>79.907058715999995</v>
      </c>
      <c r="I335">
        <v>50</v>
      </c>
      <c r="J335">
        <v>14.989181519000001</v>
      </c>
      <c r="K335">
        <v>2400</v>
      </c>
      <c r="L335">
        <v>0</v>
      </c>
      <c r="M335">
        <v>0</v>
      </c>
      <c r="N335">
        <v>2400</v>
      </c>
    </row>
    <row r="336" spans="1:14" x14ac:dyDescent="0.25">
      <c r="A336">
        <v>117.24610800000001</v>
      </c>
      <c r="B336" s="1">
        <f>DATE(2010,8,26) + TIME(5,54,23)</f>
        <v>40416.246099537035</v>
      </c>
      <c r="C336">
        <v>1828.2897949000001</v>
      </c>
      <c r="D336">
        <v>1701.1734618999999</v>
      </c>
      <c r="E336">
        <v>558.28918456999997</v>
      </c>
      <c r="F336">
        <v>163.67016602000001</v>
      </c>
      <c r="G336">
        <v>80</v>
      </c>
      <c r="H336">
        <v>79.907142639</v>
      </c>
      <c r="I336">
        <v>50</v>
      </c>
      <c r="J336">
        <v>14.989278793</v>
      </c>
      <c r="K336">
        <v>2400</v>
      </c>
      <c r="L336">
        <v>0</v>
      </c>
      <c r="M336">
        <v>0</v>
      </c>
      <c r="N336">
        <v>2400</v>
      </c>
    </row>
    <row r="337" spans="1:14" x14ac:dyDescent="0.25">
      <c r="A337">
        <v>117.79486199999999</v>
      </c>
      <c r="B337" s="1">
        <f>DATE(2010,8,26) + TIME(19,4,36)</f>
        <v>40416.794861111113</v>
      </c>
      <c r="C337">
        <v>1827.9604492000001</v>
      </c>
      <c r="D337">
        <v>1700.8464355000001</v>
      </c>
      <c r="E337">
        <v>558.44360352000001</v>
      </c>
      <c r="F337">
        <v>163.82484435999999</v>
      </c>
      <c r="G337">
        <v>80</v>
      </c>
      <c r="H337">
        <v>79.907218932999996</v>
      </c>
      <c r="I337">
        <v>50</v>
      </c>
      <c r="J337">
        <v>14.989377975</v>
      </c>
      <c r="K337">
        <v>2400</v>
      </c>
      <c r="L337">
        <v>0</v>
      </c>
      <c r="M337">
        <v>0</v>
      </c>
      <c r="N337">
        <v>2400</v>
      </c>
    </row>
    <row r="338" spans="1:14" x14ac:dyDescent="0.25">
      <c r="A338">
        <v>118.343616</v>
      </c>
      <c r="B338" s="1">
        <f>DATE(2010,8,27) + TIME(8,14,48)</f>
        <v>40417.343611111108</v>
      </c>
      <c r="C338">
        <v>1827.6324463000001</v>
      </c>
      <c r="D338">
        <v>1700.5207519999999</v>
      </c>
      <c r="E338">
        <v>558.59912109000004</v>
      </c>
      <c r="F338">
        <v>163.98060608</v>
      </c>
      <c r="G338">
        <v>80</v>
      </c>
      <c r="H338">
        <v>79.907302856000001</v>
      </c>
      <c r="I338">
        <v>50</v>
      </c>
      <c r="J338">
        <v>14.989479064999999</v>
      </c>
      <c r="K338">
        <v>2400</v>
      </c>
      <c r="L338">
        <v>0</v>
      </c>
      <c r="M338">
        <v>0</v>
      </c>
      <c r="N338">
        <v>2400</v>
      </c>
    </row>
    <row r="339" spans="1:14" x14ac:dyDescent="0.25">
      <c r="A339">
        <v>118.89237</v>
      </c>
      <c r="B339" s="1">
        <f>DATE(2010,8,27) + TIME(21,25,0)</f>
        <v>40417.892361111109</v>
      </c>
      <c r="C339">
        <v>1827.3055420000001</v>
      </c>
      <c r="D339">
        <v>1700.1962891000001</v>
      </c>
      <c r="E339">
        <v>558.75567626999998</v>
      </c>
      <c r="F339">
        <v>164.13748168999999</v>
      </c>
      <c r="G339">
        <v>80</v>
      </c>
      <c r="H339">
        <v>79.907386779999996</v>
      </c>
      <c r="I339">
        <v>50</v>
      </c>
      <c r="J339">
        <v>14.989582062</v>
      </c>
      <c r="K339">
        <v>2400</v>
      </c>
      <c r="L339">
        <v>0</v>
      </c>
      <c r="M339">
        <v>0</v>
      </c>
      <c r="N339">
        <v>2400</v>
      </c>
    </row>
    <row r="340" spans="1:14" x14ac:dyDescent="0.25">
      <c r="A340">
        <v>119.441124</v>
      </c>
      <c r="B340" s="1">
        <f>DATE(2010,8,28) + TIME(10,35,13)</f>
        <v>40418.441122685188</v>
      </c>
      <c r="C340">
        <v>1826.9799805</v>
      </c>
      <c r="D340">
        <v>1699.8730469</v>
      </c>
      <c r="E340">
        <v>558.91333008000004</v>
      </c>
      <c r="F340">
        <v>164.29547119</v>
      </c>
      <c r="G340">
        <v>80</v>
      </c>
      <c r="H340">
        <v>79.907463074000006</v>
      </c>
      <c r="I340">
        <v>50</v>
      </c>
      <c r="J340">
        <v>14.98968792</v>
      </c>
      <c r="K340">
        <v>2400</v>
      </c>
      <c r="L340">
        <v>0</v>
      </c>
      <c r="M340">
        <v>0</v>
      </c>
      <c r="N340">
        <v>2400</v>
      </c>
    </row>
    <row r="341" spans="1:14" x14ac:dyDescent="0.25">
      <c r="A341">
        <v>120.538633</v>
      </c>
      <c r="B341" s="1">
        <f>DATE(2010,8,29) + TIME(12,55,37)</f>
        <v>40419.538622685184</v>
      </c>
      <c r="C341">
        <v>1826.6373291</v>
      </c>
      <c r="D341">
        <v>1699.5329589999999</v>
      </c>
      <c r="E341">
        <v>559.08569336000005</v>
      </c>
      <c r="F341">
        <v>164.46868896000001</v>
      </c>
      <c r="G341">
        <v>80</v>
      </c>
      <c r="H341">
        <v>79.907646178999997</v>
      </c>
      <c r="I341">
        <v>50</v>
      </c>
      <c r="J341">
        <v>14.989836693000001</v>
      </c>
      <c r="K341">
        <v>2400</v>
      </c>
      <c r="L341">
        <v>0</v>
      </c>
      <c r="M341">
        <v>0</v>
      </c>
      <c r="N341">
        <v>2400</v>
      </c>
    </row>
    <row r="342" spans="1:14" x14ac:dyDescent="0.25">
      <c r="A342">
        <v>121.63949599999999</v>
      </c>
      <c r="B342" s="1">
        <f>DATE(2010,8,30) + TIME(15,20,52)</f>
        <v>40420.639490740738</v>
      </c>
      <c r="C342">
        <v>1826.0150146000001</v>
      </c>
      <c r="D342">
        <v>1698.9152832</v>
      </c>
      <c r="E342">
        <v>559.39416503999996</v>
      </c>
      <c r="F342">
        <v>164.77763367</v>
      </c>
      <c r="G342">
        <v>80</v>
      </c>
      <c r="H342">
        <v>79.907791137999993</v>
      </c>
      <c r="I342">
        <v>50</v>
      </c>
      <c r="J342">
        <v>14.990029334999999</v>
      </c>
      <c r="K342">
        <v>2400</v>
      </c>
      <c r="L342">
        <v>0</v>
      </c>
      <c r="M342">
        <v>0</v>
      </c>
      <c r="N342">
        <v>2400</v>
      </c>
    </row>
    <row r="343" spans="1:14" x14ac:dyDescent="0.25">
      <c r="A343">
        <v>122.753416</v>
      </c>
      <c r="B343" s="1">
        <f>DATE(2010,8,31) + TIME(18,4,55)</f>
        <v>40421.75341435185</v>
      </c>
      <c r="C343">
        <v>1825.3765868999999</v>
      </c>
      <c r="D343">
        <v>1698.2813721</v>
      </c>
      <c r="E343">
        <v>559.71899413999995</v>
      </c>
      <c r="F343">
        <v>165.10328673999999</v>
      </c>
      <c r="G343">
        <v>80</v>
      </c>
      <c r="H343">
        <v>79.907951354999994</v>
      </c>
      <c r="I343">
        <v>50</v>
      </c>
      <c r="J343">
        <v>14.990249634</v>
      </c>
      <c r="K343">
        <v>2400</v>
      </c>
      <c r="L343">
        <v>0</v>
      </c>
      <c r="M343">
        <v>0</v>
      </c>
      <c r="N343">
        <v>2400</v>
      </c>
    </row>
    <row r="344" spans="1:14" x14ac:dyDescent="0.25">
      <c r="A344">
        <v>123</v>
      </c>
      <c r="B344" s="1">
        <f>DATE(2010,9,1) + TIME(0,0,0)</f>
        <v>40422</v>
      </c>
      <c r="C344">
        <v>1824.8455810999999</v>
      </c>
      <c r="D344">
        <v>1697.7546387</v>
      </c>
      <c r="E344">
        <v>559.97918701000003</v>
      </c>
      <c r="F344">
        <v>165.36335754000001</v>
      </c>
      <c r="G344">
        <v>80</v>
      </c>
      <c r="H344">
        <v>79.907943725999999</v>
      </c>
      <c r="I344">
        <v>50</v>
      </c>
      <c r="J344">
        <v>14.990360259999999</v>
      </c>
      <c r="K344">
        <v>2400</v>
      </c>
      <c r="L344">
        <v>0</v>
      </c>
      <c r="M344">
        <v>0</v>
      </c>
      <c r="N344">
        <v>2400</v>
      </c>
    </row>
    <row r="345" spans="1:14" x14ac:dyDescent="0.25">
      <c r="A345">
        <v>123.563689</v>
      </c>
      <c r="B345" s="1">
        <f>DATE(2010,9,1) + TIME(13,31,42)</f>
        <v>40422.563680555555</v>
      </c>
      <c r="C345">
        <v>1824.5861815999999</v>
      </c>
      <c r="D345">
        <v>1697.4964600000001</v>
      </c>
      <c r="E345">
        <v>560.13140868999994</v>
      </c>
      <c r="F345">
        <v>165.51647948999999</v>
      </c>
      <c r="G345">
        <v>80</v>
      </c>
      <c r="H345">
        <v>79.908042907999999</v>
      </c>
      <c r="I345">
        <v>50</v>
      </c>
      <c r="J345">
        <v>14.990517616</v>
      </c>
      <c r="K345">
        <v>2400</v>
      </c>
      <c r="L345">
        <v>0</v>
      </c>
      <c r="M345">
        <v>0</v>
      </c>
      <c r="N345">
        <v>2400</v>
      </c>
    </row>
    <row r="346" spans="1:14" x14ac:dyDescent="0.25">
      <c r="A346">
        <v>124.12737799999999</v>
      </c>
      <c r="B346" s="1">
        <f>DATE(2010,9,2) + TIME(3,3,25)</f>
        <v>40423.127372685187</v>
      </c>
      <c r="C346">
        <v>1824.2619629000001</v>
      </c>
      <c r="D346">
        <v>1697.1745605000001</v>
      </c>
      <c r="E346">
        <v>560.29937743999994</v>
      </c>
      <c r="F346">
        <v>165.68537903000001</v>
      </c>
      <c r="G346">
        <v>80</v>
      </c>
      <c r="H346">
        <v>79.908134459999999</v>
      </c>
      <c r="I346">
        <v>50</v>
      </c>
      <c r="J346">
        <v>14.99066925</v>
      </c>
      <c r="K346">
        <v>2400</v>
      </c>
      <c r="L346">
        <v>0</v>
      </c>
      <c r="M346">
        <v>0</v>
      </c>
      <c r="N346">
        <v>2400</v>
      </c>
    </row>
    <row r="347" spans="1:14" x14ac:dyDescent="0.25">
      <c r="A347">
        <v>124.691067</v>
      </c>
      <c r="B347" s="1">
        <f>DATE(2010,9,2) + TIME(16,35,8)</f>
        <v>40423.691064814811</v>
      </c>
      <c r="C347">
        <v>1823.9376221</v>
      </c>
      <c r="D347">
        <v>1696.8525391000001</v>
      </c>
      <c r="E347">
        <v>560.47180175999995</v>
      </c>
      <c r="F347">
        <v>165.85864258000001</v>
      </c>
      <c r="G347">
        <v>80</v>
      </c>
      <c r="H347">
        <v>79.908218383999994</v>
      </c>
      <c r="I347">
        <v>50</v>
      </c>
      <c r="J347">
        <v>14.990819931000001</v>
      </c>
      <c r="K347">
        <v>2400</v>
      </c>
      <c r="L347">
        <v>0</v>
      </c>
      <c r="M347">
        <v>0</v>
      </c>
      <c r="N347">
        <v>2400</v>
      </c>
    </row>
    <row r="348" spans="1:14" x14ac:dyDescent="0.25">
      <c r="A348">
        <v>125.254757</v>
      </c>
      <c r="B348" s="1">
        <f>DATE(2010,9,3) + TIME(6,6,50)</f>
        <v>40424.254745370374</v>
      </c>
      <c r="C348">
        <v>1823.6151123</v>
      </c>
      <c r="D348">
        <v>1696.5323486</v>
      </c>
      <c r="E348">
        <v>560.64630126999998</v>
      </c>
      <c r="F348">
        <v>166.03404236</v>
      </c>
      <c r="G348">
        <v>80</v>
      </c>
      <c r="H348">
        <v>79.908302307</v>
      </c>
      <c r="I348">
        <v>50</v>
      </c>
      <c r="J348">
        <v>14.990971565000001</v>
      </c>
      <c r="K348">
        <v>2400</v>
      </c>
      <c r="L348">
        <v>0</v>
      </c>
      <c r="M348">
        <v>0</v>
      </c>
      <c r="N348">
        <v>2400</v>
      </c>
    </row>
    <row r="349" spans="1:14" x14ac:dyDescent="0.25">
      <c r="A349">
        <v>125.81844599999999</v>
      </c>
      <c r="B349" s="1">
        <f>DATE(2010,9,3) + TIME(19,38,33)</f>
        <v>40424.818437499998</v>
      </c>
      <c r="C349">
        <v>1823.2941894999999</v>
      </c>
      <c r="D349">
        <v>1696.2136230000001</v>
      </c>
      <c r="E349">
        <v>560.82244873000002</v>
      </c>
      <c r="F349">
        <v>166.21115112000001</v>
      </c>
      <c r="G349">
        <v>80</v>
      </c>
      <c r="H349">
        <v>79.908386230000005</v>
      </c>
      <c r="I349">
        <v>50</v>
      </c>
      <c r="J349">
        <v>14.991127014</v>
      </c>
      <c r="K349">
        <v>2400</v>
      </c>
      <c r="L349">
        <v>0</v>
      </c>
      <c r="M349">
        <v>0</v>
      </c>
      <c r="N349">
        <v>2400</v>
      </c>
    </row>
    <row r="350" spans="1:14" x14ac:dyDescent="0.25">
      <c r="A350">
        <v>126.38213500000001</v>
      </c>
      <c r="B350" s="1">
        <f>DATE(2010,9,4) + TIME(9,10,16)</f>
        <v>40425.38212962963</v>
      </c>
      <c r="C350">
        <v>1822.9744873</v>
      </c>
      <c r="D350">
        <v>1695.8961182</v>
      </c>
      <c r="E350">
        <v>561.00018310999997</v>
      </c>
      <c r="F350">
        <v>166.38987732000001</v>
      </c>
      <c r="G350">
        <v>80</v>
      </c>
      <c r="H350">
        <v>79.908462524000001</v>
      </c>
      <c r="I350">
        <v>50</v>
      </c>
      <c r="J350">
        <v>14.991286278</v>
      </c>
      <c r="K350">
        <v>2400</v>
      </c>
      <c r="L350">
        <v>0</v>
      </c>
      <c r="M350">
        <v>0</v>
      </c>
      <c r="N350">
        <v>2400</v>
      </c>
    </row>
    <row r="351" spans="1:14" x14ac:dyDescent="0.25">
      <c r="A351">
        <v>126.945824</v>
      </c>
      <c r="B351" s="1">
        <f>DATE(2010,9,4) + TIME(22,41,59)</f>
        <v>40425.945821759262</v>
      </c>
      <c r="C351">
        <v>1822.6560059000001</v>
      </c>
      <c r="D351">
        <v>1695.5798339999999</v>
      </c>
      <c r="E351">
        <v>561.17938231999995</v>
      </c>
      <c r="F351">
        <v>166.57017517</v>
      </c>
      <c r="G351">
        <v>80</v>
      </c>
      <c r="H351">
        <v>79.908546447999996</v>
      </c>
      <c r="I351">
        <v>50</v>
      </c>
      <c r="J351">
        <v>14.991451263</v>
      </c>
      <c r="K351">
        <v>2400</v>
      </c>
      <c r="L351">
        <v>0</v>
      </c>
      <c r="M351">
        <v>0</v>
      </c>
      <c r="N351">
        <v>2400</v>
      </c>
    </row>
    <row r="352" spans="1:14" x14ac:dyDescent="0.25">
      <c r="A352">
        <v>127.509513</v>
      </c>
      <c r="B352" s="1">
        <f>DATE(2010,9,5) + TIME(12,13,41)</f>
        <v>40426.509502314817</v>
      </c>
      <c r="C352">
        <v>1822.3386230000001</v>
      </c>
      <c r="D352">
        <v>1695.2646483999999</v>
      </c>
      <c r="E352">
        <v>561.36010741999996</v>
      </c>
      <c r="F352">
        <v>166.75207520000001</v>
      </c>
      <c r="G352">
        <v>80</v>
      </c>
      <c r="H352">
        <v>79.908622742000006</v>
      </c>
      <c r="I352">
        <v>50</v>
      </c>
      <c r="J352">
        <v>14.991622925</v>
      </c>
      <c r="K352">
        <v>2400</v>
      </c>
      <c r="L352">
        <v>0</v>
      </c>
      <c r="M352">
        <v>0</v>
      </c>
      <c r="N352">
        <v>2400</v>
      </c>
    </row>
    <row r="353" spans="1:14" x14ac:dyDescent="0.25">
      <c r="A353">
        <v>128.07320200000001</v>
      </c>
      <c r="B353" s="1">
        <f>DATE(2010,9,6) + TIME(1,45,24)</f>
        <v>40427.073194444441</v>
      </c>
      <c r="C353">
        <v>1822.0223389</v>
      </c>
      <c r="D353">
        <v>1694.9505615</v>
      </c>
      <c r="E353">
        <v>561.54229736000002</v>
      </c>
      <c r="F353">
        <v>166.93557738999999</v>
      </c>
      <c r="G353">
        <v>80</v>
      </c>
      <c r="H353">
        <v>79.908706664999997</v>
      </c>
      <c r="I353">
        <v>50</v>
      </c>
      <c r="J353">
        <v>14.991800308</v>
      </c>
      <c r="K353">
        <v>2400</v>
      </c>
      <c r="L353">
        <v>0</v>
      </c>
      <c r="M353">
        <v>0</v>
      </c>
      <c r="N353">
        <v>2400</v>
      </c>
    </row>
    <row r="354" spans="1:14" x14ac:dyDescent="0.25">
      <c r="A354">
        <v>128.63689099999999</v>
      </c>
      <c r="B354" s="1">
        <f>DATE(2010,9,6) + TIME(15,17,7)</f>
        <v>40427.636886574073</v>
      </c>
      <c r="C354">
        <v>1821.7070312000001</v>
      </c>
      <c r="D354">
        <v>1694.6375731999999</v>
      </c>
      <c r="E354">
        <v>561.72607421999999</v>
      </c>
      <c r="F354">
        <v>167.12072753999999</v>
      </c>
      <c r="G354">
        <v>80</v>
      </c>
      <c r="H354">
        <v>79.908782959000007</v>
      </c>
      <c r="I354">
        <v>50</v>
      </c>
      <c r="J354">
        <v>14.991985321</v>
      </c>
      <c r="K354">
        <v>2400</v>
      </c>
      <c r="L354">
        <v>0</v>
      </c>
      <c r="M354">
        <v>0</v>
      </c>
      <c r="N354">
        <v>2400</v>
      </c>
    </row>
    <row r="355" spans="1:14" x14ac:dyDescent="0.25">
      <c r="A355">
        <v>129.200581</v>
      </c>
      <c r="B355" s="1">
        <f>DATE(2010,9,7) + TIME(4,48,50)</f>
        <v>40428.200578703705</v>
      </c>
      <c r="C355">
        <v>1821.3929443</v>
      </c>
      <c r="D355">
        <v>1694.3255615</v>
      </c>
      <c r="E355">
        <v>561.91143798999997</v>
      </c>
      <c r="F355">
        <v>167.30754089000001</v>
      </c>
      <c r="G355">
        <v>80</v>
      </c>
      <c r="H355">
        <v>79.908866881999998</v>
      </c>
      <c r="I355">
        <v>50</v>
      </c>
      <c r="J355">
        <v>14.992178917</v>
      </c>
      <c r="K355">
        <v>2400</v>
      </c>
      <c r="L355">
        <v>0</v>
      </c>
      <c r="M355">
        <v>0</v>
      </c>
      <c r="N355">
        <v>2400</v>
      </c>
    </row>
    <row r="356" spans="1:14" x14ac:dyDescent="0.25">
      <c r="A356">
        <v>129.76427000000001</v>
      </c>
      <c r="B356" s="1">
        <f>DATE(2010,9,7) + TIME(18,20,32)</f>
        <v>40428.76425925926</v>
      </c>
      <c r="C356">
        <v>1821.0798339999999</v>
      </c>
      <c r="D356">
        <v>1694.0146483999999</v>
      </c>
      <c r="E356">
        <v>562.09832763999998</v>
      </c>
      <c r="F356">
        <v>167.49609375</v>
      </c>
      <c r="G356">
        <v>80</v>
      </c>
      <c r="H356">
        <v>79.908943175999994</v>
      </c>
      <c r="I356">
        <v>50</v>
      </c>
      <c r="J356">
        <v>14.992380142</v>
      </c>
      <c r="K356">
        <v>2400</v>
      </c>
      <c r="L356">
        <v>0</v>
      </c>
      <c r="M356">
        <v>0</v>
      </c>
      <c r="N356">
        <v>2400</v>
      </c>
    </row>
    <row r="357" spans="1:14" x14ac:dyDescent="0.25">
      <c r="A357">
        <v>130.32795899999999</v>
      </c>
      <c r="B357" s="1">
        <f>DATE(2010,9,8) + TIME(7,52,15)</f>
        <v>40429.327951388892</v>
      </c>
      <c r="C357">
        <v>1820.7677002</v>
      </c>
      <c r="D357">
        <v>1693.7047118999999</v>
      </c>
      <c r="E357">
        <v>562.28686522999999</v>
      </c>
      <c r="F357">
        <v>167.68638611</v>
      </c>
      <c r="G357">
        <v>80</v>
      </c>
      <c r="H357">
        <v>79.909027100000003</v>
      </c>
      <c r="I357">
        <v>50</v>
      </c>
      <c r="J357">
        <v>14.992590904</v>
      </c>
      <c r="K357">
        <v>2400</v>
      </c>
      <c r="L357">
        <v>0</v>
      </c>
      <c r="M357">
        <v>0</v>
      </c>
      <c r="N357">
        <v>2400</v>
      </c>
    </row>
    <row r="358" spans="1:14" x14ac:dyDescent="0.25">
      <c r="A358">
        <v>130.891648</v>
      </c>
      <c r="B358" s="1">
        <f>DATE(2010,9,8) + TIME(21,23,58)</f>
        <v>40429.891643518517</v>
      </c>
      <c r="C358">
        <v>1820.4566649999999</v>
      </c>
      <c r="D358">
        <v>1693.3957519999999</v>
      </c>
      <c r="E358">
        <v>562.47711182</v>
      </c>
      <c r="F358">
        <v>167.878479</v>
      </c>
      <c r="G358">
        <v>80</v>
      </c>
      <c r="H358">
        <v>79.909103393999999</v>
      </c>
      <c r="I358">
        <v>50</v>
      </c>
      <c r="J358">
        <v>14.992811203</v>
      </c>
      <c r="K358">
        <v>2400</v>
      </c>
      <c r="L358">
        <v>0</v>
      </c>
      <c r="M358">
        <v>0</v>
      </c>
      <c r="N358">
        <v>2400</v>
      </c>
    </row>
    <row r="359" spans="1:14" x14ac:dyDescent="0.25">
      <c r="A359">
        <v>131.45533699999999</v>
      </c>
      <c r="B359" s="1">
        <f>DATE(2010,9,9) + TIME(10,55,41)</f>
        <v>40430.455335648148</v>
      </c>
      <c r="C359">
        <v>1820.1464844</v>
      </c>
      <c r="D359">
        <v>1693.0877685999999</v>
      </c>
      <c r="E359">
        <v>562.66900635000002</v>
      </c>
      <c r="F359">
        <v>168.07240295</v>
      </c>
      <c r="G359">
        <v>80</v>
      </c>
      <c r="H359">
        <v>79.909187317000004</v>
      </c>
      <c r="I359">
        <v>50</v>
      </c>
      <c r="J359">
        <v>14.993041992</v>
      </c>
      <c r="K359">
        <v>2400</v>
      </c>
      <c r="L359">
        <v>0</v>
      </c>
      <c r="M359">
        <v>0</v>
      </c>
      <c r="N359">
        <v>2400</v>
      </c>
    </row>
    <row r="360" spans="1:14" x14ac:dyDescent="0.25">
      <c r="A360">
        <v>132.58271500000001</v>
      </c>
      <c r="B360" s="1">
        <f>DATE(2010,9,10) + TIME(13,59,6)</f>
        <v>40431.582708333335</v>
      </c>
      <c r="C360">
        <v>1819.8187256000001</v>
      </c>
      <c r="D360">
        <v>1692.762207</v>
      </c>
      <c r="E360">
        <v>562.87689208999996</v>
      </c>
      <c r="F360">
        <v>168.28373718</v>
      </c>
      <c r="G360">
        <v>80</v>
      </c>
      <c r="H360">
        <v>79.909362793</v>
      </c>
      <c r="I360">
        <v>50</v>
      </c>
      <c r="J360">
        <v>14.993382454000001</v>
      </c>
      <c r="K360">
        <v>2400</v>
      </c>
      <c r="L360">
        <v>0</v>
      </c>
      <c r="M360">
        <v>0</v>
      </c>
      <c r="N360">
        <v>2400</v>
      </c>
    </row>
    <row r="361" spans="1:14" x14ac:dyDescent="0.25">
      <c r="A361">
        <v>133.71232900000001</v>
      </c>
      <c r="B361" s="1">
        <f>DATE(2010,9,11) + TIME(17,5,45)</f>
        <v>40432.712326388886</v>
      </c>
      <c r="C361">
        <v>1819.2260742000001</v>
      </c>
      <c r="D361">
        <v>1692.1737060999999</v>
      </c>
      <c r="E361">
        <v>563.25524901999995</v>
      </c>
      <c r="F361">
        <v>168.66621398999999</v>
      </c>
      <c r="G361">
        <v>80</v>
      </c>
      <c r="H361">
        <v>79.909507751000007</v>
      </c>
      <c r="I361">
        <v>50</v>
      </c>
      <c r="J361">
        <v>14.993833542000001</v>
      </c>
      <c r="K361">
        <v>2400</v>
      </c>
      <c r="L361">
        <v>0</v>
      </c>
      <c r="M361">
        <v>0</v>
      </c>
      <c r="N361">
        <v>2400</v>
      </c>
    </row>
    <row r="362" spans="1:14" x14ac:dyDescent="0.25">
      <c r="A362">
        <v>134.85735700000001</v>
      </c>
      <c r="B362" s="1">
        <f>DATE(2010,9,12) + TIME(20,34,35)</f>
        <v>40433.857349537036</v>
      </c>
      <c r="C362">
        <v>1818.6170654</v>
      </c>
      <c r="D362">
        <v>1691.5688477000001</v>
      </c>
      <c r="E362">
        <v>563.65338135000002</v>
      </c>
      <c r="F362">
        <v>169.06962584999999</v>
      </c>
      <c r="G362">
        <v>80</v>
      </c>
      <c r="H362">
        <v>79.909667968999997</v>
      </c>
      <c r="I362">
        <v>50</v>
      </c>
      <c r="J362">
        <v>14.994370461000001</v>
      </c>
      <c r="K362">
        <v>2400</v>
      </c>
      <c r="L362">
        <v>0</v>
      </c>
      <c r="M362">
        <v>0</v>
      </c>
      <c r="N362">
        <v>2400</v>
      </c>
    </row>
    <row r="363" spans="1:14" x14ac:dyDescent="0.25">
      <c r="A363">
        <v>135.436665</v>
      </c>
      <c r="B363" s="1">
        <f>DATE(2010,9,13) + TIME(10,28,47)</f>
        <v>40434.436655092592</v>
      </c>
      <c r="C363">
        <v>1818.0389404</v>
      </c>
      <c r="D363">
        <v>1690.994751</v>
      </c>
      <c r="E363">
        <v>564.03912353999999</v>
      </c>
      <c r="F363">
        <v>169.45956421</v>
      </c>
      <c r="G363">
        <v>80</v>
      </c>
      <c r="H363">
        <v>79.909721375000004</v>
      </c>
      <c r="I363">
        <v>50</v>
      </c>
      <c r="J363">
        <v>14.994810104000001</v>
      </c>
      <c r="K363">
        <v>2400</v>
      </c>
      <c r="L363">
        <v>0</v>
      </c>
      <c r="M363">
        <v>0</v>
      </c>
      <c r="N363">
        <v>2400</v>
      </c>
    </row>
    <row r="364" spans="1:14" x14ac:dyDescent="0.25">
      <c r="A364">
        <v>136.01473300000001</v>
      </c>
      <c r="B364" s="1">
        <f>DATE(2010,9,14) + TIME(0,21,12)</f>
        <v>40435.014722222222</v>
      </c>
      <c r="C364">
        <v>1817.6951904</v>
      </c>
      <c r="D364">
        <v>1690.6530762</v>
      </c>
      <c r="E364">
        <v>564.27325439000003</v>
      </c>
      <c r="F364">
        <v>169.69807434000001</v>
      </c>
      <c r="G364">
        <v>80</v>
      </c>
      <c r="H364">
        <v>79.909805297999995</v>
      </c>
      <c r="I364">
        <v>50</v>
      </c>
      <c r="J364">
        <v>14.995221138</v>
      </c>
      <c r="K364">
        <v>2400</v>
      </c>
      <c r="L364">
        <v>0</v>
      </c>
      <c r="M364">
        <v>0</v>
      </c>
      <c r="N364">
        <v>2400</v>
      </c>
    </row>
    <row r="365" spans="1:14" x14ac:dyDescent="0.25">
      <c r="A365">
        <v>136.59213199999999</v>
      </c>
      <c r="B365" s="1">
        <f>DATE(2010,9,14) + TIME(14,12,40)</f>
        <v>40435.592129629629</v>
      </c>
      <c r="C365">
        <v>1817.3785399999999</v>
      </c>
      <c r="D365">
        <v>1690.338501</v>
      </c>
      <c r="E365">
        <v>564.48944091999999</v>
      </c>
      <c r="F365">
        <v>169.91865540000001</v>
      </c>
      <c r="G365">
        <v>80</v>
      </c>
      <c r="H365">
        <v>79.909889221</v>
      </c>
      <c r="I365">
        <v>50</v>
      </c>
      <c r="J365">
        <v>14.995624542</v>
      </c>
      <c r="K365">
        <v>2400</v>
      </c>
      <c r="L365">
        <v>0</v>
      </c>
      <c r="M365">
        <v>0</v>
      </c>
      <c r="N365">
        <v>2400</v>
      </c>
    </row>
    <row r="366" spans="1:14" x14ac:dyDescent="0.25">
      <c r="A366">
        <v>137.169139</v>
      </c>
      <c r="B366" s="1">
        <f>DATE(2010,9,15) + TIME(4,3,33)</f>
        <v>40436.169131944444</v>
      </c>
      <c r="C366">
        <v>1817.0683594</v>
      </c>
      <c r="D366">
        <v>1690.0303954999999</v>
      </c>
      <c r="E366">
        <v>564.70526123000002</v>
      </c>
      <c r="F366">
        <v>170.13902282999999</v>
      </c>
      <c r="G366">
        <v>80</v>
      </c>
      <c r="H366">
        <v>79.909973144999995</v>
      </c>
      <c r="I366">
        <v>50</v>
      </c>
      <c r="J366">
        <v>14.996031760999999</v>
      </c>
      <c r="K366">
        <v>2400</v>
      </c>
      <c r="L366">
        <v>0</v>
      </c>
      <c r="M366">
        <v>0</v>
      </c>
      <c r="N366">
        <v>2400</v>
      </c>
    </row>
    <row r="367" spans="1:14" x14ac:dyDescent="0.25">
      <c r="A367">
        <v>137.746036</v>
      </c>
      <c r="B367" s="1">
        <f>DATE(2010,9,15) + TIME(17,54,17)</f>
        <v>40436.746030092596</v>
      </c>
      <c r="C367">
        <v>1816.7607422000001</v>
      </c>
      <c r="D367">
        <v>1689.7247314000001</v>
      </c>
      <c r="E367">
        <v>564.92315673999997</v>
      </c>
      <c r="F367">
        <v>170.36161804</v>
      </c>
      <c r="G367">
        <v>80</v>
      </c>
      <c r="H367">
        <v>79.910057068</v>
      </c>
      <c r="I367">
        <v>50</v>
      </c>
      <c r="J367">
        <v>14.996451378</v>
      </c>
      <c r="K367">
        <v>2400</v>
      </c>
      <c r="L367">
        <v>0</v>
      </c>
      <c r="M367">
        <v>0</v>
      </c>
      <c r="N367">
        <v>2400</v>
      </c>
    </row>
    <row r="368" spans="1:14" x14ac:dyDescent="0.25">
      <c r="A368">
        <v>138.32293200000001</v>
      </c>
      <c r="B368" s="1">
        <f>DATE(2010,9,16) + TIME(7,45,1)</f>
        <v>40437.322928240741</v>
      </c>
      <c r="C368">
        <v>1816.4544678</v>
      </c>
      <c r="D368">
        <v>1689.4205322</v>
      </c>
      <c r="E368">
        <v>565.14337158000001</v>
      </c>
      <c r="F368">
        <v>170.58685302999999</v>
      </c>
      <c r="G368">
        <v>80</v>
      </c>
      <c r="H368">
        <v>79.910133361999996</v>
      </c>
      <c r="I368">
        <v>50</v>
      </c>
      <c r="J368">
        <v>14.996886253</v>
      </c>
      <c r="K368">
        <v>2400</v>
      </c>
      <c r="L368">
        <v>0</v>
      </c>
      <c r="M368">
        <v>0</v>
      </c>
      <c r="N368">
        <v>2400</v>
      </c>
    </row>
    <row r="369" spans="1:14" x14ac:dyDescent="0.25">
      <c r="A369">
        <v>138.89982900000001</v>
      </c>
      <c r="B369" s="1">
        <f>DATE(2010,9,16) + TIME(21,35,45)</f>
        <v>40437.899826388886</v>
      </c>
      <c r="C369">
        <v>1816.1492920000001</v>
      </c>
      <c r="D369">
        <v>1689.1173096</v>
      </c>
      <c r="E369">
        <v>565.36602783000001</v>
      </c>
      <c r="F369">
        <v>170.81481934000001</v>
      </c>
      <c r="G369">
        <v>80</v>
      </c>
      <c r="H369">
        <v>79.910217285000002</v>
      </c>
      <c r="I369">
        <v>50</v>
      </c>
      <c r="J369">
        <v>14.99734211</v>
      </c>
      <c r="K369">
        <v>2400</v>
      </c>
      <c r="L369">
        <v>0</v>
      </c>
      <c r="M369">
        <v>0</v>
      </c>
      <c r="N369">
        <v>2400</v>
      </c>
    </row>
    <row r="370" spans="1:14" x14ac:dyDescent="0.25">
      <c r="A370">
        <v>139.47672600000001</v>
      </c>
      <c r="B370" s="1">
        <f>DATE(2010,9,17) + TIME(11,26,29)</f>
        <v>40438.476724537039</v>
      </c>
      <c r="C370">
        <v>1815.8449707</v>
      </c>
      <c r="D370">
        <v>1688.8150635</v>
      </c>
      <c r="E370">
        <v>565.59112548999997</v>
      </c>
      <c r="F370">
        <v>171.04556274000001</v>
      </c>
      <c r="G370">
        <v>80</v>
      </c>
      <c r="H370">
        <v>79.910293578999998</v>
      </c>
      <c r="I370">
        <v>50</v>
      </c>
      <c r="J370">
        <v>14.997819901</v>
      </c>
      <c r="K370">
        <v>2400</v>
      </c>
      <c r="L370">
        <v>0</v>
      </c>
      <c r="M370">
        <v>0</v>
      </c>
      <c r="N370">
        <v>2400</v>
      </c>
    </row>
    <row r="371" spans="1:14" x14ac:dyDescent="0.25">
      <c r="A371">
        <v>140.05362199999999</v>
      </c>
      <c r="B371" s="1">
        <f>DATE(2010,9,18) + TIME(1,17,12)</f>
        <v>40439.053611111114</v>
      </c>
      <c r="C371">
        <v>1815.541626</v>
      </c>
      <c r="D371">
        <v>1688.5136719</v>
      </c>
      <c r="E371">
        <v>565.81866454999999</v>
      </c>
      <c r="F371">
        <v>171.27915955</v>
      </c>
      <c r="G371">
        <v>80</v>
      </c>
      <c r="H371">
        <v>79.910369872999993</v>
      </c>
      <c r="I371">
        <v>50</v>
      </c>
      <c r="J371">
        <v>14.998322486999999</v>
      </c>
      <c r="K371">
        <v>2400</v>
      </c>
      <c r="L371">
        <v>0</v>
      </c>
      <c r="M371">
        <v>0</v>
      </c>
      <c r="N371">
        <v>2400</v>
      </c>
    </row>
    <row r="372" spans="1:14" x14ac:dyDescent="0.25">
      <c r="A372">
        <v>140.63051899999999</v>
      </c>
      <c r="B372" s="1">
        <f>DATE(2010,9,18) + TIME(15,7,56)</f>
        <v>40439.630509259259</v>
      </c>
      <c r="C372">
        <v>1815.2390137</v>
      </c>
      <c r="D372">
        <v>1688.2130127</v>
      </c>
      <c r="E372">
        <v>566.04876708999996</v>
      </c>
      <c r="F372">
        <v>171.51568603999999</v>
      </c>
      <c r="G372">
        <v>80</v>
      </c>
      <c r="H372">
        <v>79.910453795999999</v>
      </c>
      <c r="I372">
        <v>50</v>
      </c>
      <c r="J372">
        <v>14.998852729999999</v>
      </c>
      <c r="K372">
        <v>2400</v>
      </c>
      <c r="L372">
        <v>0</v>
      </c>
      <c r="M372">
        <v>0</v>
      </c>
      <c r="N372">
        <v>2400</v>
      </c>
    </row>
    <row r="373" spans="1:14" x14ac:dyDescent="0.25">
      <c r="A373">
        <v>141.207415</v>
      </c>
      <c r="B373" s="1">
        <f>DATE(2010,9,19) + TIME(4,58,40)</f>
        <v>40440.207407407404</v>
      </c>
      <c r="C373">
        <v>1814.9372559000001</v>
      </c>
      <c r="D373">
        <v>1687.9132079999999</v>
      </c>
      <c r="E373">
        <v>566.28137206999997</v>
      </c>
      <c r="F373">
        <v>171.75521850999999</v>
      </c>
      <c r="G373">
        <v>80</v>
      </c>
      <c r="H373">
        <v>79.910530089999995</v>
      </c>
      <c r="I373">
        <v>50</v>
      </c>
      <c r="J373">
        <v>14.999410629</v>
      </c>
      <c r="K373">
        <v>2400</v>
      </c>
      <c r="L373">
        <v>0</v>
      </c>
      <c r="M373">
        <v>0</v>
      </c>
      <c r="N373">
        <v>2400</v>
      </c>
    </row>
    <row r="374" spans="1:14" x14ac:dyDescent="0.25">
      <c r="A374">
        <v>141.784312</v>
      </c>
      <c r="B374" s="1">
        <f>DATE(2010,9,19) + TIME(18,49,24)</f>
        <v>40440.784305555557</v>
      </c>
      <c r="C374">
        <v>1814.6363524999999</v>
      </c>
      <c r="D374">
        <v>1687.6142577999999</v>
      </c>
      <c r="E374">
        <v>566.51666260000002</v>
      </c>
      <c r="F374">
        <v>171.99784851000001</v>
      </c>
      <c r="G374">
        <v>80</v>
      </c>
      <c r="H374">
        <v>79.910606384000005</v>
      </c>
      <c r="I374">
        <v>50</v>
      </c>
      <c r="J374">
        <v>15</v>
      </c>
      <c r="K374">
        <v>2400</v>
      </c>
      <c r="L374">
        <v>0</v>
      </c>
      <c r="M374">
        <v>0</v>
      </c>
      <c r="N374">
        <v>2400</v>
      </c>
    </row>
    <row r="375" spans="1:14" x14ac:dyDescent="0.25">
      <c r="A375">
        <v>142.361209</v>
      </c>
      <c r="B375" s="1">
        <f>DATE(2010,9,20) + TIME(8,40,8)</f>
        <v>40441.361203703702</v>
      </c>
      <c r="C375">
        <v>1814.3361815999999</v>
      </c>
      <c r="D375">
        <v>1687.3160399999999</v>
      </c>
      <c r="E375">
        <v>566.75457763999998</v>
      </c>
      <c r="F375">
        <v>172.24368286000001</v>
      </c>
      <c r="G375">
        <v>80</v>
      </c>
      <c r="H375">
        <v>79.910690308</v>
      </c>
      <c r="I375">
        <v>50</v>
      </c>
      <c r="J375">
        <v>15.000621796000001</v>
      </c>
      <c r="K375">
        <v>2400</v>
      </c>
      <c r="L375">
        <v>0</v>
      </c>
      <c r="M375">
        <v>0</v>
      </c>
      <c r="N375">
        <v>2400</v>
      </c>
    </row>
    <row r="376" spans="1:14" x14ac:dyDescent="0.25">
      <c r="A376">
        <v>142.93810500000001</v>
      </c>
      <c r="B376" s="1">
        <f>DATE(2010,9,20) + TIME(22,30,52)</f>
        <v>40441.938101851854</v>
      </c>
      <c r="C376">
        <v>1814.0368652</v>
      </c>
      <c r="D376">
        <v>1687.0185547000001</v>
      </c>
      <c r="E376">
        <v>566.99530029000005</v>
      </c>
      <c r="F376">
        <v>172.49279784999999</v>
      </c>
      <c r="G376">
        <v>80</v>
      </c>
      <c r="H376">
        <v>79.910766601999995</v>
      </c>
      <c r="I376">
        <v>50</v>
      </c>
      <c r="J376">
        <v>15.001277924</v>
      </c>
      <c r="K376">
        <v>2400</v>
      </c>
      <c r="L376">
        <v>0</v>
      </c>
      <c r="M376">
        <v>0</v>
      </c>
      <c r="N376">
        <v>2400</v>
      </c>
    </row>
    <row r="377" spans="1:14" x14ac:dyDescent="0.25">
      <c r="A377">
        <v>144.09189900000001</v>
      </c>
      <c r="B377" s="1">
        <f>DATE(2010,9,22) + TIME(2,12,20)</f>
        <v>40443.091898148145</v>
      </c>
      <c r="C377">
        <v>1813.7188721</v>
      </c>
      <c r="D377">
        <v>1686.7026367000001</v>
      </c>
      <c r="E377">
        <v>567.25421143000005</v>
      </c>
      <c r="F377">
        <v>172.76422119</v>
      </c>
      <c r="G377">
        <v>80</v>
      </c>
      <c r="H377">
        <v>79.910942078000005</v>
      </c>
      <c r="I377">
        <v>50</v>
      </c>
      <c r="J377">
        <v>15.002260207999999</v>
      </c>
      <c r="K377">
        <v>2400</v>
      </c>
      <c r="L377">
        <v>0</v>
      </c>
      <c r="M377">
        <v>0</v>
      </c>
      <c r="N377">
        <v>2400</v>
      </c>
    </row>
    <row r="378" spans="1:14" x14ac:dyDescent="0.25">
      <c r="A378">
        <v>145.24746500000001</v>
      </c>
      <c r="B378" s="1">
        <f>DATE(2010,9,23) + TIME(5,56,21)</f>
        <v>40444.247465277775</v>
      </c>
      <c r="C378">
        <v>1813.1467285000001</v>
      </c>
      <c r="D378">
        <v>1686.1342772999999</v>
      </c>
      <c r="E378">
        <v>567.73352050999995</v>
      </c>
      <c r="F378">
        <v>173.26101685</v>
      </c>
      <c r="G378">
        <v>80</v>
      </c>
      <c r="H378">
        <v>79.911087035999998</v>
      </c>
      <c r="I378">
        <v>50</v>
      </c>
      <c r="J378">
        <v>15.003577232</v>
      </c>
      <c r="K378">
        <v>2400</v>
      </c>
      <c r="L378">
        <v>0</v>
      </c>
      <c r="M378">
        <v>0</v>
      </c>
      <c r="N378">
        <v>2400</v>
      </c>
    </row>
    <row r="379" spans="1:14" x14ac:dyDescent="0.25">
      <c r="A379">
        <v>145.82865899999999</v>
      </c>
      <c r="B379" s="1">
        <f>DATE(2010,9,23) + TIME(19,53,16)</f>
        <v>40444.828657407408</v>
      </c>
      <c r="C379">
        <v>1812.5958252</v>
      </c>
      <c r="D379">
        <v>1685.5869141000001</v>
      </c>
      <c r="E379">
        <v>568.21075439000003</v>
      </c>
      <c r="F379">
        <v>173.753479</v>
      </c>
      <c r="G379">
        <v>80</v>
      </c>
      <c r="H379">
        <v>79.911140442000004</v>
      </c>
      <c r="I379">
        <v>50</v>
      </c>
      <c r="J379">
        <v>15.004687308999999</v>
      </c>
      <c r="K379">
        <v>2400</v>
      </c>
      <c r="L379">
        <v>0</v>
      </c>
      <c r="M379">
        <v>0</v>
      </c>
      <c r="N379">
        <v>2400</v>
      </c>
    </row>
    <row r="380" spans="1:14" x14ac:dyDescent="0.25">
      <c r="A380">
        <v>146.409853</v>
      </c>
      <c r="B380" s="1">
        <f>DATE(2010,9,24) + TIME(9,50,11)</f>
        <v>40445.409849537034</v>
      </c>
      <c r="C380">
        <v>1812.2657471</v>
      </c>
      <c r="D380">
        <v>1685.2586670000001</v>
      </c>
      <c r="E380">
        <v>568.49536133000004</v>
      </c>
      <c r="F380">
        <v>174.05212402000001</v>
      </c>
      <c r="G380">
        <v>80</v>
      </c>
      <c r="H380">
        <v>79.911224364999995</v>
      </c>
      <c r="I380">
        <v>50</v>
      </c>
      <c r="J380">
        <v>15.005742073</v>
      </c>
      <c r="K380">
        <v>2400</v>
      </c>
      <c r="L380">
        <v>0</v>
      </c>
      <c r="M380">
        <v>0</v>
      </c>
      <c r="N380">
        <v>2400</v>
      </c>
    </row>
    <row r="381" spans="1:14" x14ac:dyDescent="0.25">
      <c r="A381">
        <v>146.99104700000001</v>
      </c>
      <c r="B381" s="1">
        <f>DATE(2010,9,24) + TIME(23,47,6)</f>
        <v>40445.991041666668</v>
      </c>
      <c r="C381">
        <v>1811.9619141000001</v>
      </c>
      <c r="D381">
        <v>1684.9567870999999</v>
      </c>
      <c r="E381">
        <v>568.76153564000003</v>
      </c>
      <c r="F381">
        <v>174.33253479000001</v>
      </c>
      <c r="G381">
        <v>80</v>
      </c>
      <c r="H381">
        <v>79.911300659000005</v>
      </c>
      <c r="I381">
        <v>50</v>
      </c>
      <c r="J381">
        <v>15.006788254</v>
      </c>
      <c r="K381">
        <v>2400</v>
      </c>
      <c r="L381">
        <v>0</v>
      </c>
      <c r="M381">
        <v>0</v>
      </c>
      <c r="N381">
        <v>2400</v>
      </c>
    </row>
    <row r="382" spans="1:14" x14ac:dyDescent="0.25">
      <c r="A382">
        <v>147.57224099999999</v>
      </c>
      <c r="B382" s="1">
        <f>DATE(2010,9,25) + TIME(13,44,1)</f>
        <v>40446.572233796294</v>
      </c>
      <c r="C382">
        <v>1811.6639404</v>
      </c>
      <c r="D382">
        <v>1684.6606445</v>
      </c>
      <c r="E382">
        <v>569.02874756000006</v>
      </c>
      <c r="F382">
        <v>174.61436462</v>
      </c>
      <c r="G382">
        <v>80</v>
      </c>
      <c r="H382">
        <v>79.911384583</v>
      </c>
      <c r="I382">
        <v>50</v>
      </c>
      <c r="J382">
        <v>15.007853508</v>
      </c>
      <c r="K382">
        <v>2400</v>
      </c>
      <c r="L382">
        <v>0</v>
      </c>
      <c r="M382">
        <v>0</v>
      </c>
      <c r="N382">
        <v>2400</v>
      </c>
    </row>
    <row r="383" spans="1:14" x14ac:dyDescent="0.25">
      <c r="A383">
        <v>148.153435</v>
      </c>
      <c r="B383" s="1">
        <f>DATE(2010,9,26) + TIME(3,40,56)</f>
        <v>40447.153425925928</v>
      </c>
      <c r="C383">
        <v>1811.3680420000001</v>
      </c>
      <c r="D383">
        <v>1684.3665771000001</v>
      </c>
      <c r="E383">
        <v>569.29937743999994</v>
      </c>
      <c r="F383">
        <v>174.9002533</v>
      </c>
      <c r="G383">
        <v>80</v>
      </c>
      <c r="H383">
        <v>79.911460876000007</v>
      </c>
      <c r="I383">
        <v>50</v>
      </c>
      <c r="J383">
        <v>15.008953094000001</v>
      </c>
      <c r="K383">
        <v>2400</v>
      </c>
      <c r="L383">
        <v>0</v>
      </c>
      <c r="M383">
        <v>0</v>
      </c>
      <c r="N383">
        <v>2400</v>
      </c>
    </row>
    <row r="384" spans="1:14" x14ac:dyDescent="0.25">
      <c r="A384">
        <v>148.73462900000001</v>
      </c>
      <c r="B384" s="1">
        <f>DATE(2010,9,26) + TIME(17,37,51)</f>
        <v>40447.734618055554</v>
      </c>
      <c r="C384">
        <v>1811.0732422000001</v>
      </c>
      <c r="D384">
        <v>1684.0736084</v>
      </c>
      <c r="E384">
        <v>569.57366943</v>
      </c>
      <c r="F384">
        <v>175.19067383000001</v>
      </c>
      <c r="G384">
        <v>80</v>
      </c>
      <c r="H384">
        <v>79.911537170000003</v>
      </c>
      <c r="I384">
        <v>50</v>
      </c>
      <c r="J384">
        <v>15.010099411000001</v>
      </c>
      <c r="K384">
        <v>2400</v>
      </c>
      <c r="L384">
        <v>0</v>
      </c>
      <c r="M384">
        <v>0</v>
      </c>
      <c r="N384">
        <v>2400</v>
      </c>
    </row>
    <row r="385" spans="1:14" x14ac:dyDescent="0.25">
      <c r="A385">
        <v>149.31582299999999</v>
      </c>
      <c r="B385" s="1">
        <f>DATE(2010,9,27) + TIME(7,34,47)</f>
        <v>40448.315821759257</v>
      </c>
      <c r="C385">
        <v>1810.7792969</v>
      </c>
      <c r="D385">
        <v>1683.7814940999999</v>
      </c>
      <c r="E385">
        <v>569.85174560999997</v>
      </c>
      <c r="F385">
        <v>175.48576355</v>
      </c>
      <c r="G385">
        <v>80</v>
      </c>
      <c r="H385">
        <v>79.911621093999997</v>
      </c>
      <c r="I385">
        <v>50</v>
      </c>
      <c r="J385">
        <v>15.011300087</v>
      </c>
      <c r="K385">
        <v>2400</v>
      </c>
      <c r="L385">
        <v>0</v>
      </c>
      <c r="M385">
        <v>0</v>
      </c>
      <c r="N385">
        <v>2400</v>
      </c>
    </row>
    <row r="386" spans="1:14" x14ac:dyDescent="0.25">
      <c r="A386">
        <v>149.89701700000001</v>
      </c>
      <c r="B386" s="1">
        <f>DATE(2010,9,27) + TIME(21,31,42)</f>
        <v>40448.897013888891</v>
      </c>
      <c r="C386">
        <v>1810.4859618999999</v>
      </c>
      <c r="D386">
        <v>1683.4899902</v>
      </c>
      <c r="E386">
        <v>570.13366699000005</v>
      </c>
      <c r="F386">
        <v>175.78570557</v>
      </c>
      <c r="G386">
        <v>80</v>
      </c>
      <c r="H386">
        <v>79.911697387999993</v>
      </c>
      <c r="I386">
        <v>50</v>
      </c>
      <c r="J386">
        <v>15.012560843999999</v>
      </c>
      <c r="K386">
        <v>2400</v>
      </c>
      <c r="L386">
        <v>0</v>
      </c>
      <c r="M386">
        <v>0</v>
      </c>
      <c r="N386">
        <v>2400</v>
      </c>
    </row>
    <row r="387" spans="1:14" x14ac:dyDescent="0.25">
      <c r="A387">
        <v>150.47821099999999</v>
      </c>
      <c r="B387" s="1">
        <f>DATE(2010,9,28) + TIME(11,28,37)</f>
        <v>40449.478206018517</v>
      </c>
      <c r="C387">
        <v>1810.1933594</v>
      </c>
      <c r="D387">
        <v>1683.1990966999999</v>
      </c>
      <c r="E387">
        <v>570.41949463000003</v>
      </c>
      <c r="F387">
        <v>176.09063721000001</v>
      </c>
      <c r="G387">
        <v>80</v>
      </c>
      <c r="H387">
        <v>79.911773682000003</v>
      </c>
      <c r="I387">
        <v>50</v>
      </c>
      <c r="J387">
        <v>15.013888358999999</v>
      </c>
      <c r="K387">
        <v>2400</v>
      </c>
      <c r="L387">
        <v>0</v>
      </c>
      <c r="M387">
        <v>0</v>
      </c>
      <c r="N387">
        <v>2400</v>
      </c>
    </row>
    <row r="388" spans="1:14" x14ac:dyDescent="0.25">
      <c r="A388">
        <v>151.059405</v>
      </c>
      <c r="B388" s="1">
        <f>DATE(2010,9,29) + TIME(1,25,32)</f>
        <v>40450.059398148151</v>
      </c>
      <c r="C388">
        <v>1809.9013672000001</v>
      </c>
      <c r="D388">
        <v>1682.9088135</v>
      </c>
      <c r="E388">
        <v>570.70935058999999</v>
      </c>
      <c r="F388">
        <v>176.40074157999999</v>
      </c>
      <c r="G388">
        <v>80</v>
      </c>
      <c r="H388">
        <v>79.911849975999999</v>
      </c>
      <c r="I388">
        <v>50</v>
      </c>
      <c r="J388">
        <v>15.015285492</v>
      </c>
      <c r="K388">
        <v>2400</v>
      </c>
      <c r="L388">
        <v>0</v>
      </c>
      <c r="M388">
        <v>0</v>
      </c>
      <c r="N388">
        <v>2400</v>
      </c>
    </row>
    <row r="389" spans="1:14" x14ac:dyDescent="0.25">
      <c r="A389">
        <v>151.64059800000001</v>
      </c>
      <c r="B389" s="1">
        <f>DATE(2010,9,29) + TIME(15,22,27)</f>
        <v>40450.640590277777</v>
      </c>
      <c r="C389">
        <v>1809.6098632999999</v>
      </c>
      <c r="D389">
        <v>1682.6191406</v>
      </c>
      <c r="E389">
        <v>571.00329590000001</v>
      </c>
      <c r="F389">
        <v>176.71620178000001</v>
      </c>
      <c r="G389">
        <v>80</v>
      </c>
      <c r="H389">
        <v>79.911926269999995</v>
      </c>
      <c r="I389">
        <v>50</v>
      </c>
      <c r="J389">
        <v>15.016757965</v>
      </c>
      <c r="K389">
        <v>2400</v>
      </c>
      <c r="L389">
        <v>0</v>
      </c>
      <c r="M389">
        <v>0</v>
      </c>
      <c r="N389">
        <v>2400</v>
      </c>
    </row>
    <row r="390" spans="1:14" x14ac:dyDescent="0.25">
      <c r="A390">
        <v>152.22179199999999</v>
      </c>
      <c r="B390" s="1">
        <f>DATE(2010,9,30) + TIME(5,19,22)</f>
        <v>40451.221782407411</v>
      </c>
      <c r="C390">
        <v>1809.3189697</v>
      </c>
      <c r="D390">
        <v>1682.3299560999999</v>
      </c>
      <c r="E390">
        <v>571.30145263999998</v>
      </c>
      <c r="F390">
        <v>177.03718567000001</v>
      </c>
      <c r="G390">
        <v>80</v>
      </c>
      <c r="H390">
        <v>79.912002563000001</v>
      </c>
      <c r="I390">
        <v>50</v>
      </c>
      <c r="J390">
        <v>15.018308640000001</v>
      </c>
      <c r="K390">
        <v>2400</v>
      </c>
      <c r="L390">
        <v>0</v>
      </c>
      <c r="M390">
        <v>0</v>
      </c>
      <c r="N390">
        <v>2400</v>
      </c>
    </row>
    <row r="391" spans="1:14" x14ac:dyDescent="0.25">
      <c r="A391">
        <v>153</v>
      </c>
      <c r="B391" s="1">
        <f>DATE(2010,10,1) + TIME(0,0,0)</f>
        <v>40452</v>
      </c>
      <c r="C391">
        <v>1809.0185547000001</v>
      </c>
      <c r="D391">
        <v>1682.0313721</v>
      </c>
      <c r="E391">
        <v>571.61090088000003</v>
      </c>
      <c r="F391">
        <v>177.37472534</v>
      </c>
      <c r="G391">
        <v>80</v>
      </c>
      <c r="H391">
        <v>79.912109375</v>
      </c>
      <c r="I391">
        <v>50</v>
      </c>
      <c r="J391">
        <v>15.020233154</v>
      </c>
      <c r="K391">
        <v>2400</v>
      </c>
      <c r="L391">
        <v>0</v>
      </c>
      <c r="M391">
        <v>0</v>
      </c>
      <c r="N391">
        <v>2400</v>
      </c>
    </row>
    <row r="392" spans="1:14" x14ac:dyDescent="0.25">
      <c r="A392">
        <v>154.16238799999999</v>
      </c>
      <c r="B392" s="1">
        <f>DATE(2010,10,2) + TIME(3,53,50)</f>
        <v>40453.16238425926</v>
      </c>
      <c r="C392">
        <v>1808.6278076000001</v>
      </c>
      <c r="D392">
        <v>1681.6429443</v>
      </c>
      <c r="E392">
        <v>572.02655029000005</v>
      </c>
      <c r="F392">
        <v>177.82907104</v>
      </c>
      <c r="G392">
        <v>80</v>
      </c>
      <c r="H392">
        <v>79.912269592000001</v>
      </c>
      <c r="I392">
        <v>50</v>
      </c>
      <c r="J392">
        <v>15.022878647000001</v>
      </c>
      <c r="K392">
        <v>2400</v>
      </c>
      <c r="L392">
        <v>0</v>
      </c>
      <c r="M392">
        <v>0</v>
      </c>
      <c r="N392">
        <v>2400</v>
      </c>
    </row>
    <row r="393" spans="1:14" x14ac:dyDescent="0.25">
      <c r="A393">
        <v>155.335579</v>
      </c>
      <c r="B393" s="1">
        <f>DATE(2010,10,3) + TIME(8,3,14)</f>
        <v>40454.335578703707</v>
      </c>
      <c r="C393">
        <v>1808.0668945</v>
      </c>
      <c r="D393">
        <v>1681.0854492000001</v>
      </c>
      <c r="E393">
        <v>572.64282227000001</v>
      </c>
      <c r="F393">
        <v>178.49739074999999</v>
      </c>
      <c r="G393">
        <v>80</v>
      </c>
      <c r="H393">
        <v>79.912414550999998</v>
      </c>
      <c r="I393">
        <v>50</v>
      </c>
      <c r="J393">
        <v>15.026290894000001</v>
      </c>
      <c r="K393">
        <v>2400</v>
      </c>
      <c r="L393">
        <v>0</v>
      </c>
      <c r="M393">
        <v>0</v>
      </c>
      <c r="N393">
        <v>2400</v>
      </c>
    </row>
    <row r="394" spans="1:14" x14ac:dyDescent="0.25">
      <c r="A394">
        <v>155.92675700000001</v>
      </c>
      <c r="B394" s="1">
        <f>DATE(2010,10,3) + TIME(22,14,31)</f>
        <v>40454.926747685182</v>
      </c>
      <c r="C394">
        <v>1807.5290527</v>
      </c>
      <c r="D394">
        <v>1680.5507812000001</v>
      </c>
      <c r="E394">
        <v>573.26251220999995</v>
      </c>
      <c r="F394">
        <v>179.16345215000001</v>
      </c>
      <c r="G394">
        <v>80</v>
      </c>
      <c r="H394">
        <v>79.912467957000004</v>
      </c>
      <c r="I394">
        <v>50</v>
      </c>
      <c r="J394">
        <v>15.029117584</v>
      </c>
      <c r="K394">
        <v>2400</v>
      </c>
      <c r="L394">
        <v>0</v>
      </c>
      <c r="M394">
        <v>0</v>
      </c>
      <c r="N394">
        <v>2400</v>
      </c>
    </row>
    <row r="395" spans="1:14" x14ac:dyDescent="0.25">
      <c r="A395">
        <v>156.51793499999999</v>
      </c>
      <c r="B395" s="1">
        <f>DATE(2010,10,4) + TIME(12,25,49)</f>
        <v>40455.517928240741</v>
      </c>
      <c r="C395">
        <v>1807.2032471</v>
      </c>
      <c r="D395">
        <v>1680.2268065999999</v>
      </c>
      <c r="E395">
        <v>573.62719727000001</v>
      </c>
      <c r="F395">
        <v>179.56828307999999</v>
      </c>
      <c r="G395">
        <v>80</v>
      </c>
      <c r="H395">
        <v>79.912551879999995</v>
      </c>
      <c r="I395">
        <v>50</v>
      </c>
      <c r="J395">
        <v>15.031797408999999</v>
      </c>
      <c r="K395">
        <v>2400</v>
      </c>
      <c r="L395">
        <v>0</v>
      </c>
      <c r="M395">
        <v>0</v>
      </c>
      <c r="N395">
        <v>2400</v>
      </c>
    </row>
    <row r="396" spans="1:14" x14ac:dyDescent="0.25">
      <c r="A396">
        <v>157.10911300000001</v>
      </c>
      <c r="B396" s="1">
        <f>DATE(2010,10,5) + TIME(2,37,7)</f>
        <v>40456.1091087963</v>
      </c>
      <c r="C396">
        <v>1806.9040527</v>
      </c>
      <c r="D396">
        <v>1679.9291992000001</v>
      </c>
      <c r="E396">
        <v>573.97357178000004</v>
      </c>
      <c r="F396">
        <v>179.95503235000001</v>
      </c>
      <c r="G396">
        <v>80</v>
      </c>
      <c r="H396">
        <v>79.912628174000005</v>
      </c>
      <c r="I396">
        <v>50</v>
      </c>
      <c r="J396">
        <v>15.034446716</v>
      </c>
      <c r="K396">
        <v>2400</v>
      </c>
      <c r="L396">
        <v>0</v>
      </c>
      <c r="M396">
        <v>0</v>
      </c>
      <c r="N396">
        <v>2400</v>
      </c>
    </row>
    <row r="397" spans="1:14" x14ac:dyDescent="0.25">
      <c r="A397">
        <v>157.70029099999999</v>
      </c>
      <c r="B397" s="1">
        <f>DATE(2010,10,5) + TIME(16,48,25)</f>
        <v>40456.700289351851</v>
      </c>
      <c r="C397">
        <v>1806.6105957</v>
      </c>
      <c r="D397">
        <v>1679.6374512</v>
      </c>
      <c r="E397">
        <v>574.32299805000002</v>
      </c>
      <c r="F397">
        <v>180.34594727000001</v>
      </c>
      <c r="G397">
        <v>80</v>
      </c>
      <c r="H397">
        <v>79.912712096999996</v>
      </c>
      <c r="I397">
        <v>50</v>
      </c>
      <c r="J397">
        <v>15.037134171</v>
      </c>
      <c r="K397">
        <v>2400</v>
      </c>
      <c r="L397">
        <v>0</v>
      </c>
      <c r="M397">
        <v>0</v>
      </c>
      <c r="N397">
        <v>2400</v>
      </c>
    </row>
    <row r="398" spans="1:14" x14ac:dyDescent="0.25">
      <c r="A398">
        <v>158.29146900000001</v>
      </c>
      <c r="B398" s="1">
        <f>DATE(2010,10,6) + TIME(6,59,42)</f>
        <v>40457.291458333333</v>
      </c>
      <c r="C398">
        <v>1806.3189697</v>
      </c>
      <c r="D398">
        <v>1679.3476562000001</v>
      </c>
      <c r="E398">
        <v>574.67816161999997</v>
      </c>
      <c r="F398">
        <v>180.74421692000001</v>
      </c>
      <c r="G398">
        <v>80</v>
      </c>
      <c r="H398">
        <v>79.912788391000007</v>
      </c>
      <c r="I398">
        <v>50</v>
      </c>
      <c r="J398">
        <v>15.03990078</v>
      </c>
      <c r="K398">
        <v>2400</v>
      </c>
      <c r="L398">
        <v>0</v>
      </c>
      <c r="M398">
        <v>0</v>
      </c>
      <c r="N398">
        <v>2400</v>
      </c>
    </row>
    <row r="399" spans="1:14" x14ac:dyDescent="0.25">
      <c r="A399">
        <v>158.88264799999999</v>
      </c>
      <c r="B399" s="1">
        <f>DATE(2010,10,6) + TIME(21,11,0)</f>
        <v>40457.882638888892</v>
      </c>
      <c r="C399">
        <v>1806.0283202999999</v>
      </c>
      <c r="D399">
        <v>1679.0585937999999</v>
      </c>
      <c r="E399">
        <v>575.03942871000004</v>
      </c>
      <c r="F399">
        <v>181.15058898999999</v>
      </c>
      <c r="G399">
        <v>80</v>
      </c>
      <c r="H399">
        <v>79.912864685000002</v>
      </c>
      <c r="I399">
        <v>50</v>
      </c>
      <c r="J399">
        <v>15.042777061000001</v>
      </c>
      <c r="K399">
        <v>2400</v>
      </c>
      <c r="L399">
        <v>0</v>
      </c>
      <c r="M399">
        <v>0</v>
      </c>
      <c r="N399">
        <v>2400</v>
      </c>
    </row>
    <row r="400" spans="1:14" x14ac:dyDescent="0.25">
      <c r="A400">
        <v>159.473826</v>
      </c>
      <c r="B400" s="1">
        <f>DATE(2010,10,7) + TIME(11,22,18)</f>
        <v>40458.473819444444</v>
      </c>
      <c r="C400">
        <v>1805.7382812000001</v>
      </c>
      <c r="D400">
        <v>1678.7702637</v>
      </c>
      <c r="E400">
        <v>575.40686034999999</v>
      </c>
      <c r="F400">
        <v>181.56552124000001</v>
      </c>
      <c r="G400">
        <v>80</v>
      </c>
      <c r="H400">
        <v>79.912940978999998</v>
      </c>
      <c r="I400">
        <v>50</v>
      </c>
      <c r="J400">
        <v>15.045780182</v>
      </c>
      <c r="K400">
        <v>2400</v>
      </c>
      <c r="L400">
        <v>0</v>
      </c>
      <c r="M400">
        <v>0</v>
      </c>
      <c r="N400">
        <v>2400</v>
      </c>
    </row>
    <row r="401" spans="1:14" x14ac:dyDescent="0.25">
      <c r="A401">
        <v>160.06500399999999</v>
      </c>
      <c r="B401" s="1">
        <f>DATE(2010,10,8) + TIME(1,33,36)</f>
        <v>40459.065000000002</v>
      </c>
      <c r="C401">
        <v>1805.4487305</v>
      </c>
      <c r="D401">
        <v>1678.4822998</v>
      </c>
      <c r="E401">
        <v>575.78063965000001</v>
      </c>
      <c r="F401">
        <v>181.98934937000001</v>
      </c>
      <c r="G401">
        <v>80</v>
      </c>
      <c r="H401">
        <v>79.913017272999994</v>
      </c>
      <c r="I401">
        <v>50</v>
      </c>
      <c r="J401">
        <v>15.048927307</v>
      </c>
      <c r="K401">
        <v>2400</v>
      </c>
      <c r="L401">
        <v>0</v>
      </c>
      <c r="M401">
        <v>0</v>
      </c>
      <c r="N401">
        <v>2400</v>
      </c>
    </row>
    <row r="402" spans="1:14" x14ac:dyDescent="0.25">
      <c r="A402">
        <v>160.656182</v>
      </c>
      <c r="B402" s="1">
        <f>DATE(2010,10,8) + TIME(15,44,54)</f>
        <v>40459.656180555554</v>
      </c>
      <c r="C402">
        <v>1805.1595459</v>
      </c>
      <c r="D402">
        <v>1678.1947021000001</v>
      </c>
      <c r="E402">
        <v>576.16088866999996</v>
      </c>
      <c r="F402">
        <v>182.42245482999999</v>
      </c>
      <c r="G402">
        <v>80</v>
      </c>
      <c r="H402">
        <v>79.913093567000004</v>
      </c>
      <c r="I402">
        <v>50</v>
      </c>
      <c r="J402">
        <v>15.052229881000001</v>
      </c>
      <c r="K402">
        <v>2400</v>
      </c>
      <c r="L402">
        <v>0</v>
      </c>
      <c r="M402">
        <v>0</v>
      </c>
      <c r="N402">
        <v>2400</v>
      </c>
    </row>
    <row r="403" spans="1:14" x14ac:dyDescent="0.25">
      <c r="A403">
        <v>161.24735999999999</v>
      </c>
      <c r="B403" s="1">
        <f>DATE(2010,10,9) + TIME(5,56,11)</f>
        <v>40460.247349537036</v>
      </c>
      <c r="C403">
        <v>1804.8706055</v>
      </c>
      <c r="D403">
        <v>1677.9073486</v>
      </c>
      <c r="E403">
        <v>576.54779053000004</v>
      </c>
      <c r="F403">
        <v>182.86515807999999</v>
      </c>
      <c r="G403">
        <v>80</v>
      </c>
      <c r="H403">
        <v>79.913169861</v>
      </c>
      <c r="I403">
        <v>50</v>
      </c>
      <c r="J403">
        <v>15.055697441</v>
      </c>
      <c r="K403">
        <v>2400</v>
      </c>
      <c r="L403">
        <v>0</v>
      </c>
      <c r="M403">
        <v>0</v>
      </c>
      <c r="N403">
        <v>2400</v>
      </c>
    </row>
    <row r="404" spans="1:14" x14ac:dyDescent="0.25">
      <c r="A404">
        <v>161.838538</v>
      </c>
      <c r="B404" s="1">
        <f>DATE(2010,10,9) + TIME(20,7,29)</f>
        <v>40460.838530092595</v>
      </c>
      <c r="C404">
        <v>1804.5820312000001</v>
      </c>
      <c r="D404">
        <v>1677.6204834</v>
      </c>
      <c r="E404">
        <v>576.94152831999997</v>
      </c>
      <c r="F404">
        <v>183.31784058</v>
      </c>
      <c r="G404">
        <v>80</v>
      </c>
      <c r="H404">
        <v>79.913246154999996</v>
      </c>
      <c r="I404">
        <v>50</v>
      </c>
      <c r="J404">
        <v>15.059339523</v>
      </c>
      <c r="K404">
        <v>2400</v>
      </c>
      <c r="L404">
        <v>0</v>
      </c>
      <c r="M404">
        <v>0</v>
      </c>
      <c r="N404">
        <v>2400</v>
      </c>
    </row>
    <row r="405" spans="1:14" x14ac:dyDescent="0.25">
      <c r="A405">
        <v>162.42971600000001</v>
      </c>
      <c r="B405" s="1">
        <f>DATE(2010,10,10) + TIME(10,18,47)</f>
        <v>40461.429710648146</v>
      </c>
      <c r="C405">
        <v>1804.2938231999999</v>
      </c>
      <c r="D405">
        <v>1677.3338623</v>
      </c>
      <c r="E405">
        <v>577.34234618999994</v>
      </c>
      <c r="F405">
        <v>183.78088378999999</v>
      </c>
      <c r="G405">
        <v>80</v>
      </c>
      <c r="H405">
        <v>79.913322449000006</v>
      </c>
      <c r="I405">
        <v>50</v>
      </c>
      <c r="J405">
        <v>15.063165665</v>
      </c>
      <c r="K405">
        <v>2400</v>
      </c>
      <c r="L405">
        <v>0</v>
      </c>
      <c r="M405">
        <v>0</v>
      </c>
      <c r="N405">
        <v>2400</v>
      </c>
    </row>
    <row r="406" spans="1:14" x14ac:dyDescent="0.25">
      <c r="A406">
        <v>163.020894</v>
      </c>
      <c r="B406" s="1">
        <f>DATE(2010,10,11) + TIME(0,30,5)</f>
        <v>40462.020891203705</v>
      </c>
      <c r="C406">
        <v>1804.0059814000001</v>
      </c>
      <c r="D406">
        <v>1677.0474853999999</v>
      </c>
      <c r="E406">
        <v>577.75042725000003</v>
      </c>
      <c r="F406">
        <v>184.25469971000001</v>
      </c>
      <c r="G406">
        <v>80</v>
      </c>
      <c r="H406">
        <v>79.913391113000003</v>
      </c>
      <c r="I406">
        <v>50</v>
      </c>
      <c r="J406">
        <v>15.067185402</v>
      </c>
      <c r="K406">
        <v>2400</v>
      </c>
      <c r="L406">
        <v>0</v>
      </c>
      <c r="M406">
        <v>0</v>
      </c>
      <c r="N406">
        <v>2400</v>
      </c>
    </row>
    <row r="407" spans="1:14" x14ac:dyDescent="0.25">
      <c r="A407">
        <v>163.61207200000001</v>
      </c>
      <c r="B407" s="1">
        <f>DATE(2010,10,11) + TIME(14,41,23)</f>
        <v>40462.612071759257</v>
      </c>
      <c r="C407">
        <v>1803.7183838000001</v>
      </c>
      <c r="D407">
        <v>1676.7614745999999</v>
      </c>
      <c r="E407">
        <v>578.16601562000005</v>
      </c>
      <c r="F407">
        <v>184.73963928000001</v>
      </c>
      <c r="G407">
        <v>80</v>
      </c>
      <c r="H407">
        <v>79.913467406999999</v>
      </c>
      <c r="I407">
        <v>50</v>
      </c>
      <c r="J407">
        <v>15.071406364</v>
      </c>
      <c r="K407">
        <v>2400</v>
      </c>
      <c r="L407">
        <v>0</v>
      </c>
      <c r="M407">
        <v>0</v>
      </c>
      <c r="N407">
        <v>2400</v>
      </c>
    </row>
    <row r="408" spans="1:14" x14ac:dyDescent="0.25">
      <c r="A408">
        <v>164.20325</v>
      </c>
      <c r="B408" s="1">
        <f>DATE(2010,10,12) + TIME(4,52,40)</f>
        <v>40463.203240740739</v>
      </c>
      <c r="C408">
        <v>1803.4310303</v>
      </c>
      <c r="D408">
        <v>1676.4757079999999</v>
      </c>
      <c r="E408">
        <v>578.58923340000001</v>
      </c>
      <c r="F408">
        <v>185.23611450000001</v>
      </c>
      <c r="G408">
        <v>80</v>
      </c>
      <c r="H408">
        <v>79.913543700999995</v>
      </c>
      <c r="I408">
        <v>50</v>
      </c>
      <c r="J408">
        <v>15.075839043</v>
      </c>
      <c r="K408">
        <v>2400</v>
      </c>
      <c r="L408">
        <v>0</v>
      </c>
      <c r="M408">
        <v>0</v>
      </c>
      <c r="N408">
        <v>2400</v>
      </c>
    </row>
    <row r="409" spans="1:14" x14ac:dyDescent="0.25">
      <c r="A409">
        <v>165.38560699999999</v>
      </c>
      <c r="B409" s="1">
        <f>DATE(2010,10,13) + TIME(9,15,16)</f>
        <v>40464.385601851849</v>
      </c>
      <c r="C409">
        <v>1803.1221923999999</v>
      </c>
      <c r="D409">
        <v>1676.168457</v>
      </c>
      <c r="E409">
        <v>579.04107666000004</v>
      </c>
      <c r="F409">
        <v>185.79162597999999</v>
      </c>
      <c r="G409">
        <v>80</v>
      </c>
      <c r="H409">
        <v>79.913711547999995</v>
      </c>
      <c r="I409">
        <v>50</v>
      </c>
      <c r="J409">
        <v>15.082467079000001</v>
      </c>
      <c r="K409">
        <v>2400</v>
      </c>
      <c r="L409">
        <v>0</v>
      </c>
      <c r="M409">
        <v>0</v>
      </c>
      <c r="N409">
        <v>2400</v>
      </c>
    </row>
    <row r="410" spans="1:14" x14ac:dyDescent="0.25">
      <c r="A410">
        <v>166.57055800000001</v>
      </c>
      <c r="B410" s="1">
        <f>DATE(2010,10,14) + TIME(13,41,36)</f>
        <v>40465.570555555554</v>
      </c>
      <c r="C410">
        <v>1802.5731201000001</v>
      </c>
      <c r="D410">
        <v>1675.6224365</v>
      </c>
      <c r="E410">
        <v>579.90222168000003</v>
      </c>
      <c r="F410">
        <v>186.80340576</v>
      </c>
      <c r="G410">
        <v>80</v>
      </c>
      <c r="H410">
        <v>79.913848877000007</v>
      </c>
      <c r="I410">
        <v>50</v>
      </c>
      <c r="J410">
        <v>15.091292381000001</v>
      </c>
      <c r="K410">
        <v>2400</v>
      </c>
      <c r="L410">
        <v>0</v>
      </c>
      <c r="M410">
        <v>0</v>
      </c>
      <c r="N410">
        <v>2400</v>
      </c>
    </row>
    <row r="411" spans="1:14" x14ac:dyDescent="0.25">
      <c r="A411">
        <v>167.75555800000001</v>
      </c>
      <c r="B411" s="1">
        <f>DATE(2010,10,15) + TIME(18,8,0)</f>
        <v>40466.755555555559</v>
      </c>
      <c r="C411">
        <v>1802.0041504000001</v>
      </c>
      <c r="D411">
        <v>1675.0565185999999</v>
      </c>
      <c r="E411">
        <v>580.81457520000004</v>
      </c>
      <c r="F411">
        <v>187.89189148</v>
      </c>
      <c r="G411">
        <v>80</v>
      </c>
      <c r="H411">
        <v>79.913993834999999</v>
      </c>
      <c r="I411">
        <v>50</v>
      </c>
      <c r="J411">
        <v>15.10165596</v>
      </c>
      <c r="K411">
        <v>2400</v>
      </c>
      <c r="L411">
        <v>0</v>
      </c>
      <c r="M411">
        <v>0</v>
      </c>
      <c r="N411">
        <v>2400</v>
      </c>
    </row>
    <row r="412" spans="1:14" x14ac:dyDescent="0.25">
      <c r="A412">
        <v>168.94227599999999</v>
      </c>
      <c r="B412" s="1">
        <f>DATE(2010,10,16) + TIME(22,36,52)</f>
        <v>40467.94226851852</v>
      </c>
      <c r="C412">
        <v>1801.4329834</v>
      </c>
      <c r="D412">
        <v>1674.4882812000001</v>
      </c>
      <c r="E412">
        <v>581.76361083999996</v>
      </c>
      <c r="F412">
        <v>189.04008483999999</v>
      </c>
      <c r="G412">
        <v>80</v>
      </c>
      <c r="H412">
        <v>79.914138793999996</v>
      </c>
      <c r="I412">
        <v>50</v>
      </c>
      <c r="J412">
        <v>15.113327026</v>
      </c>
      <c r="K412">
        <v>2400</v>
      </c>
      <c r="L412">
        <v>0</v>
      </c>
      <c r="M412">
        <v>0</v>
      </c>
      <c r="N412">
        <v>2400</v>
      </c>
    </row>
    <row r="413" spans="1:14" x14ac:dyDescent="0.25">
      <c r="A413">
        <v>170.133027</v>
      </c>
      <c r="B413" s="1">
        <f>DATE(2010,10,18) + TIME(3,11,33)</f>
        <v>40469.133020833331</v>
      </c>
      <c r="C413">
        <v>1800.8612060999999</v>
      </c>
      <c r="D413">
        <v>1673.9194336</v>
      </c>
      <c r="E413">
        <v>582.75177001999998</v>
      </c>
      <c r="F413">
        <v>190.25088500999999</v>
      </c>
      <c r="G413">
        <v>80</v>
      </c>
      <c r="H413">
        <v>79.914283752000003</v>
      </c>
      <c r="I413">
        <v>50</v>
      </c>
      <c r="J413">
        <v>15.126276969999999</v>
      </c>
      <c r="K413">
        <v>2400</v>
      </c>
      <c r="L413">
        <v>0</v>
      </c>
      <c r="M413">
        <v>0</v>
      </c>
      <c r="N413">
        <v>2400</v>
      </c>
    </row>
    <row r="414" spans="1:14" x14ac:dyDescent="0.25">
      <c r="A414">
        <v>170.731549</v>
      </c>
      <c r="B414" s="1">
        <f>DATE(2010,10,18) + TIME(17,33,25)</f>
        <v>40469.731539351851</v>
      </c>
      <c r="C414">
        <v>1800.331543</v>
      </c>
      <c r="D414">
        <v>1673.3927002</v>
      </c>
      <c r="E414">
        <v>583.74340819999998</v>
      </c>
      <c r="F414">
        <v>191.43127440999999</v>
      </c>
      <c r="G414">
        <v>80</v>
      </c>
      <c r="H414">
        <v>79.914337157999995</v>
      </c>
      <c r="I414">
        <v>50</v>
      </c>
      <c r="J414">
        <v>15.136339188000001</v>
      </c>
      <c r="K414">
        <v>2400</v>
      </c>
      <c r="L414">
        <v>0</v>
      </c>
      <c r="M414">
        <v>0</v>
      </c>
      <c r="N414">
        <v>2400</v>
      </c>
    </row>
    <row r="415" spans="1:14" x14ac:dyDescent="0.25">
      <c r="A415">
        <v>171.33007000000001</v>
      </c>
      <c r="B415" s="1">
        <f>DATE(2010,10,19) + TIME(7,55,18)</f>
        <v>40470.330069444448</v>
      </c>
      <c r="C415">
        <v>1800.0064697</v>
      </c>
      <c r="D415">
        <v>1673.0690918</v>
      </c>
      <c r="E415">
        <v>584.31585693</v>
      </c>
      <c r="F415">
        <v>192.16200255999999</v>
      </c>
      <c r="G415">
        <v>80</v>
      </c>
      <c r="H415">
        <v>79.914421082000004</v>
      </c>
      <c r="I415">
        <v>50</v>
      </c>
      <c r="J415">
        <v>15.145712852000001</v>
      </c>
      <c r="K415">
        <v>2400</v>
      </c>
      <c r="L415">
        <v>0</v>
      </c>
      <c r="M415">
        <v>0</v>
      </c>
      <c r="N415">
        <v>2400</v>
      </c>
    </row>
    <row r="416" spans="1:14" x14ac:dyDescent="0.25">
      <c r="A416">
        <v>171.92859200000001</v>
      </c>
      <c r="B416" s="1">
        <f>DATE(2010,10,19) + TIME(22,17,10)</f>
        <v>40470.928587962961</v>
      </c>
      <c r="C416">
        <v>1799.7094727000001</v>
      </c>
      <c r="D416">
        <v>1672.7735596</v>
      </c>
      <c r="E416">
        <v>584.87115478999999</v>
      </c>
      <c r="F416">
        <v>192.87438965000001</v>
      </c>
      <c r="G416">
        <v>80</v>
      </c>
      <c r="H416">
        <v>79.914497374999996</v>
      </c>
      <c r="I416">
        <v>50</v>
      </c>
      <c r="J416">
        <v>15.15484333</v>
      </c>
      <c r="K416">
        <v>2400</v>
      </c>
      <c r="L416">
        <v>0</v>
      </c>
      <c r="M416">
        <v>0</v>
      </c>
      <c r="N416">
        <v>2400</v>
      </c>
    </row>
    <row r="417" spans="1:14" x14ac:dyDescent="0.25">
      <c r="A417">
        <v>172.52711300000001</v>
      </c>
      <c r="B417" s="1">
        <f>DATE(2010,10,20) + TIME(12,39,2)</f>
        <v>40471.527106481481</v>
      </c>
      <c r="C417">
        <v>1799.4185791</v>
      </c>
      <c r="D417">
        <v>1672.4840088000001</v>
      </c>
      <c r="E417">
        <v>585.43475341999999</v>
      </c>
      <c r="F417">
        <v>193.59756469999999</v>
      </c>
      <c r="G417">
        <v>80</v>
      </c>
      <c r="H417">
        <v>79.914573669000006</v>
      </c>
      <c r="I417">
        <v>50</v>
      </c>
      <c r="J417">
        <v>15.163994789</v>
      </c>
      <c r="K417">
        <v>2400</v>
      </c>
      <c r="L417">
        <v>0</v>
      </c>
      <c r="M417">
        <v>0</v>
      </c>
      <c r="N417">
        <v>2400</v>
      </c>
    </row>
    <row r="418" spans="1:14" x14ac:dyDescent="0.25">
      <c r="A418">
        <v>173.12563499999999</v>
      </c>
      <c r="B418" s="1">
        <f>DATE(2010,10,21) + TIME(3,0,54)</f>
        <v>40472.125625000001</v>
      </c>
      <c r="C418">
        <v>1799.1293945</v>
      </c>
      <c r="D418">
        <v>1672.1962891000001</v>
      </c>
      <c r="E418">
        <v>586.00982666000004</v>
      </c>
      <c r="F418">
        <v>194.33697509999999</v>
      </c>
      <c r="G418">
        <v>80</v>
      </c>
      <c r="H418">
        <v>79.914649963000002</v>
      </c>
      <c r="I418">
        <v>50</v>
      </c>
      <c r="J418">
        <v>15.173328400000001</v>
      </c>
      <c r="K418">
        <v>2400</v>
      </c>
      <c r="L418">
        <v>0</v>
      </c>
      <c r="M418">
        <v>0</v>
      </c>
      <c r="N418">
        <v>2400</v>
      </c>
    </row>
    <row r="419" spans="1:14" x14ac:dyDescent="0.25">
      <c r="A419">
        <v>173.72338500000001</v>
      </c>
      <c r="B419" s="1">
        <f>DATE(2010,10,21) + TIME(17,21,40)</f>
        <v>40472.723379629628</v>
      </c>
      <c r="C419">
        <v>1798.8409423999999</v>
      </c>
      <c r="D419">
        <v>1671.9091797000001</v>
      </c>
      <c r="E419">
        <v>586.59680175999995</v>
      </c>
      <c r="F419">
        <v>195.09461974999999</v>
      </c>
      <c r="G419">
        <v>80</v>
      </c>
      <c r="H419">
        <v>79.914726256999998</v>
      </c>
      <c r="I419">
        <v>50</v>
      </c>
      <c r="J419">
        <v>15.182941437</v>
      </c>
      <c r="K419">
        <v>2400</v>
      </c>
      <c r="L419">
        <v>0</v>
      </c>
      <c r="M419">
        <v>0</v>
      </c>
      <c r="N419">
        <v>2400</v>
      </c>
    </row>
    <row r="420" spans="1:14" x14ac:dyDescent="0.25">
      <c r="A420">
        <v>174.32047800000001</v>
      </c>
      <c r="B420" s="1">
        <f>DATE(2010,10,22) + TIME(7,41,29)</f>
        <v>40473.320474537039</v>
      </c>
      <c r="C420">
        <v>1798.5529785000001</v>
      </c>
      <c r="D420">
        <v>1671.6226807</v>
      </c>
      <c r="E420">
        <v>587.19543456999997</v>
      </c>
      <c r="F420">
        <v>195.87115478999999</v>
      </c>
      <c r="G420">
        <v>80</v>
      </c>
      <c r="H420">
        <v>79.914794921999999</v>
      </c>
      <c r="I420">
        <v>50</v>
      </c>
      <c r="J420">
        <v>15.192898749999999</v>
      </c>
      <c r="K420">
        <v>2400</v>
      </c>
      <c r="L420">
        <v>0</v>
      </c>
      <c r="M420">
        <v>0</v>
      </c>
      <c r="N420">
        <v>2400</v>
      </c>
    </row>
    <row r="421" spans="1:14" x14ac:dyDescent="0.25">
      <c r="A421">
        <v>174.917237</v>
      </c>
      <c r="B421" s="1">
        <f>DATE(2010,10,22) + TIME(22,0,49)</f>
        <v>40473.917233796295</v>
      </c>
      <c r="C421">
        <v>1798.2655029</v>
      </c>
      <c r="D421">
        <v>1671.3365478999999</v>
      </c>
      <c r="E421">
        <v>587.80609131000006</v>
      </c>
      <c r="F421">
        <v>196.66775512999999</v>
      </c>
      <c r="G421">
        <v>80</v>
      </c>
      <c r="H421">
        <v>79.914871215999995</v>
      </c>
      <c r="I421">
        <v>50</v>
      </c>
      <c r="J421">
        <v>15.203249931</v>
      </c>
      <c r="K421">
        <v>2400</v>
      </c>
      <c r="L421">
        <v>0</v>
      </c>
      <c r="M421">
        <v>0</v>
      </c>
      <c r="N421">
        <v>2400</v>
      </c>
    </row>
    <row r="422" spans="1:14" x14ac:dyDescent="0.25">
      <c r="A422">
        <v>175.51399000000001</v>
      </c>
      <c r="B422" s="1">
        <f>DATE(2010,10,23) + TIME(12,20,8)</f>
        <v>40474.513981481483</v>
      </c>
      <c r="C422">
        <v>1797.9782714999999</v>
      </c>
      <c r="D422">
        <v>1671.0506591999999</v>
      </c>
      <c r="E422">
        <v>588.42932128999996</v>
      </c>
      <c r="F422">
        <v>197.48565674</v>
      </c>
      <c r="G422">
        <v>80</v>
      </c>
      <c r="H422">
        <v>79.914947510000005</v>
      </c>
      <c r="I422">
        <v>50</v>
      </c>
      <c r="J422">
        <v>15.214033127</v>
      </c>
      <c r="K422">
        <v>2400</v>
      </c>
      <c r="L422">
        <v>0</v>
      </c>
      <c r="M422">
        <v>0</v>
      </c>
      <c r="N422">
        <v>2400</v>
      </c>
    </row>
    <row r="423" spans="1:14" x14ac:dyDescent="0.25">
      <c r="A423">
        <v>176.11074400000001</v>
      </c>
      <c r="B423" s="1">
        <f>DATE(2010,10,24) + TIME(2,39,28)</f>
        <v>40475.11074074074</v>
      </c>
      <c r="C423">
        <v>1797.6910399999999</v>
      </c>
      <c r="D423">
        <v>1670.7648925999999</v>
      </c>
      <c r="E423">
        <v>589.06579590000001</v>
      </c>
      <c r="F423">
        <v>198.32603455</v>
      </c>
      <c r="G423">
        <v>80</v>
      </c>
      <c r="H423">
        <v>79.915016174000002</v>
      </c>
      <c r="I423">
        <v>50</v>
      </c>
      <c r="J423">
        <v>15.225276946999999</v>
      </c>
      <c r="K423">
        <v>2400</v>
      </c>
      <c r="L423">
        <v>0</v>
      </c>
      <c r="M423">
        <v>0</v>
      </c>
      <c r="N423">
        <v>2400</v>
      </c>
    </row>
    <row r="424" spans="1:14" x14ac:dyDescent="0.25">
      <c r="A424">
        <v>176.70749699999999</v>
      </c>
      <c r="B424" s="1">
        <f>DATE(2010,10,24) + TIME(16,58,47)</f>
        <v>40475.707488425927</v>
      </c>
      <c r="C424">
        <v>1797.4039307</v>
      </c>
      <c r="D424">
        <v>1670.479126</v>
      </c>
      <c r="E424">
        <v>589.71575928000004</v>
      </c>
      <c r="F424">
        <v>199.18968201000001</v>
      </c>
      <c r="G424">
        <v>80</v>
      </c>
      <c r="H424">
        <v>79.915092467999997</v>
      </c>
      <c r="I424">
        <v>50</v>
      </c>
      <c r="J424">
        <v>15.237005234</v>
      </c>
      <c r="K424">
        <v>2400</v>
      </c>
      <c r="L424">
        <v>0</v>
      </c>
      <c r="M424">
        <v>0</v>
      </c>
      <c r="N424">
        <v>2400</v>
      </c>
    </row>
    <row r="425" spans="1:14" x14ac:dyDescent="0.25">
      <c r="A425">
        <v>177.30425099999999</v>
      </c>
      <c r="B425" s="1">
        <f>DATE(2010,10,25) + TIME(7,18,7)</f>
        <v>40476.304247685184</v>
      </c>
      <c r="C425">
        <v>1797.1168213000001</v>
      </c>
      <c r="D425">
        <v>1670.1933594</v>
      </c>
      <c r="E425">
        <v>590.37957763999998</v>
      </c>
      <c r="F425">
        <v>200.07739258000001</v>
      </c>
      <c r="G425">
        <v>80</v>
      </c>
      <c r="H425">
        <v>79.915161132999998</v>
      </c>
      <c r="I425">
        <v>50</v>
      </c>
      <c r="J425">
        <v>15.249240875</v>
      </c>
      <c r="K425">
        <v>2400</v>
      </c>
      <c r="L425">
        <v>0</v>
      </c>
      <c r="M425">
        <v>0</v>
      </c>
      <c r="N425">
        <v>2400</v>
      </c>
    </row>
    <row r="426" spans="1:14" x14ac:dyDescent="0.25">
      <c r="A426">
        <v>177.901004</v>
      </c>
      <c r="B426" s="1">
        <f>DATE(2010,10,25) + TIME(21,37,26)</f>
        <v>40476.900995370372</v>
      </c>
      <c r="C426">
        <v>1796.8297118999999</v>
      </c>
      <c r="D426">
        <v>1669.9075928</v>
      </c>
      <c r="E426">
        <v>591.05761718999997</v>
      </c>
      <c r="F426">
        <v>200.98988342000001</v>
      </c>
      <c r="G426">
        <v>80</v>
      </c>
      <c r="H426">
        <v>79.915237426999994</v>
      </c>
      <c r="I426">
        <v>50</v>
      </c>
      <c r="J426">
        <v>15.262003899</v>
      </c>
      <c r="K426">
        <v>2400</v>
      </c>
      <c r="L426">
        <v>0</v>
      </c>
      <c r="M426">
        <v>0</v>
      </c>
      <c r="N426">
        <v>2400</v>
      </c>
    </row>
    <row r="427" spans="1:14" x14ac:dyDescent="0.25">
      <c r="A427">
        <v>178.497758</v>
      </c>
      <c r="B427" s="1">
        <f>DATE(2010,10,26) + TIME(11,56,46)</f>
        <v>40477.497754629629</v>
      </c>
      <c r="C427">
        <v>1796.5426024999999</v>
      </c>
      <c r="D427">
        <v>1669.6218262</v>
      </c>
      <c r="E427">
        <v>591.75012206999997</v>
      </c>
      <c r="F427">
        <v>201.9278717</v>
      </c>
      <c r="G427">
        <v>80</v>
      </c>
      <c r="H427">
        <v>79.915306091000005</v>
      </c>
      <c r="I427">
        <v>50</v>
      </c>
      <c r="J427">
        <v>15.275314331000001</v>
      </c>
      <c r="K427">
        <v>2400</v>
      </c>
      <c r="L427">
        <v>0</v>
      </c>
      <c r="M427">
        <v>0</v>
      </c>
      <c r="N427">
        <v>2400</v>
      </c>
    </row>
    <row r="428" spans="1:14" x14ac:dyDescent="0.25">
      <c r="A428">
        <v>179.09451100000001</v>
      </c>
      <c r="B428" s="1">
        <f>DATE(2010,10,27) + TIME(2,16,5)</f>
        <v>40478.094502314816</v>
      </c>
      <c r="C428">
        <v>1796.2556152</v>
      </c>
      <c r="D428">
        <v>1669.3360596</v>
      </c>
      <c r="E428">
        <v>592.45733643000005</v>
      </c>
      <c r="F428">
        <v>202.89205933</v>
      </c>
      <c r="G428">
        <v>80</v>
      </c>
      <c r="H428">
        <v>79.915374756000006</v>
      </c>
      <c r="I428">
        <v>50</v>
      </c>
      <c r="J428">
        <v>15.289190292000001</v>
      </c>
      <c r="K428">
        <v>2400</v>
      </c>
      <c r="L428">
        <v>0</v>
      </c>
      <c r="M428">
        <v>0</v>
      </c>
      <c r="N428">
        <v>2400</v>
      </c>
    </row>
    <row r="429" spans="1:14" x14ac:dyDescent="0.25">
      <c r="A429">
        <v>179.69126499999999</v>
      </c>
      <c r="B429" s="1">
        <f>DATE(2010,10,27) + TIME(16,35,25)</f>
        <v>40478.691261574073</v>
      </c>
      <c r="C429">
        <v>1795.9685059000001</v>
      </c>
      <c r="D429">
        <v>1669.050293</v>
      </c>
      <c r="E429">
        <v>593.17962646000001</v>
      </c>
      <c r="F429">
        <v>203.88313292999999</v>
      </c>
      <c r="G429">
        <v>80</v>
      </c>
      <c r="H429">
        <v>79.915451050000001</v>
      </c>
      <c r="I429">
        <v>50</v>
      </c>
      <c r="J429">
        <v>15.30365181</v>
      </c>
      <c r="K429">
        <v>2400</v>
      </c>
      <c r="L429">
        <v>0</v>
      </c>
      <c r="M429">
        <v>0</v>
      </c>
      <c r="N429">
        <v>2400</v>
      </c>
    </row>
    <row r="430" spans="1:14" x14ac:dyDescent="0.25">
      <c r="A430">
        <v>180.28801799999999</v>
      </c>
      <c r="B430" s="1">
        <f>DATE(2010,10,28) + TIME(6,54,44)</f>
        <v>40479.28800925926</v>
      </c>
      <c r="C430">
        <v>1795.6813964999999</v>
      </c>
      <c r="D430">
        <v>1668.7645264</v>
      </c>
      <c r="E430">
        <v>593.91723633000004</v>
      </c>
      <c r="F430">
        <v>204.90174866000001</v>
      </c>
      <c r="G430">
        <v>80</v>
      </c>
      <c r="H430">
        <v>79.915519713999998</v>
      </c>
      <c r="I430">
        <v>50</v>
      </c>
      <c r="J430">
        <v>15.318717957</v>
      </c>
      <c r="K430">
        <v>2400</v>
      </c>
      <c r="L430">
        <v>0</v>
      </c>
      <c r="M430">
        <v>0</v>
      </c>
      <c r="N430">
        <v>2400</v>
      </c>
    </row>
    <row r="431" spans="1:14" x14ac:dyDescent="0.25">
      <c r="A431">
        <v>180.884772</v>
      </c>
      <c r="B431" s="1">
        <f>DATE(2010,10,28) + TIME(21,14,4)</f>
        <v>40479.884768518517</v>
      </c>
      <c r="C431">
        <v>1795.3944091999999</v>
      </c>
      <c r="D431">
        <v>1668.4787598</v>
      </c>
      <c r="E431">
        <v>594.67047118999994</v>
      </c>
      <c r="F431">
        <v>205.94860840000001</v>
      </c>
      <c r="G431">
        <v>80</v>
      </c>
      <c r="H431">
        <v>79.915596007999994</v>
      </c>
      <c r="I431">
        <v>50</v>
      </c>
      <c r="J431">
        <v>15.334406853000001</v>
      </c>
      <c r="K431">
        <v>2400</v>
      </c>
      <c r="L431">
        <v>0</v>
      </c>
      <c r="M431">
        <v>0</v>
      </c>
      <c r="N431">
        <v>2400</v>
      </c>
    </row>
    <row r="432" spans="1:14" x14ac:dyDescent="0.25">
      <c r="A432">
        <v>181.481525</v>
      </c>
      <c r="B432" s="1">
        <f>DATE(2010,10,29) + TIME(11,33,23)</f>
        <v>40480.481516203705</v>
      </c>
      <c r="C432">
        <v>1795.1072998</v>
      </c>
      <c r="D432">
        <v>1668.1928711</v>
      </c>
      <c r="E432">
        <v>595.43945312000005</v>
      </c>
      <c r="F432">
        <v>207.02435302999999</v>
      </c>
      <c r="G432">
        <v>80</v>
      </c>
      <c r="H432">
        <v>79.915664672999995</v>
      </c>
      <c r="I432">
        <v>50</v>
      </c>
      <c r="J432">
        <v>15.350739479</v>
      </c>
      <c r="K432">
        <v>2400</v>
      </c>
      <c r="L432">
        <v>0</v>
      </c>
      <c r="M432">
        <v>0</v>
      </c>
      <c r="N432">
        <v>2400</v>
      </c>
    </row>
    <row r="433" spans="1:14" x14ac:dyDescent="0.25">
      <c r="A433">
        <v>182.07827900000001</v>
      </c>
      <c r="B433" s="1">
        <f>DATE(2010,10,30) + TIME(1,52,43)</f>
        <v>40481.078275462962</v>
      </c>
      <c r="C433">
        <v>1794.8201904</v>
      </c>
      <c r="D433">
        <v>1667.9069824000001</v>
      </c>
      <c r="E433">
        <v>596.22454833999996</v>
      </c>
      <c r="F433">
        <v>208.12960815</v>
      </c>
      <c r="G433">
        <v>80</v>
      </c>
      <c r="H433">
        <v>79.915733337000006</v>
      </c>
      <c r="I433">
        <v>50</v>
      </c>
      <c r="J433">
        <v>15.367733955</v>
      </c>
      <c r="K433">
        <v>2400</v>
      </c>
      <c r="L433">
        <v>0</v>
      </c>
      <c r="M433">
        <v>0</v>
      </c>
      <c r="N433">
        <v>2400</v>
      </c>
    </row>
    <row r="434" spans="1:14" x14ac:dyDescent="0.25">
      <c r="A434">
        <v>182.67503199999999</v>
      </c>
      <c r="B434" s="1">
        <f>DATE(2010,10,30) + TIME(16,12,2)</f>
        <v>40481.675023148149</v>
      </c>
      <c r="C434">
        <v>1794.5330810999999</v>
      </c>
      <c r="D434">
        <v>1667.6212158000001</v>
      </c>
      <c r="E434">
        <v>597.02600098000005</v>
      </c>
      <c r="F434">
        <v>209.26506042</v>
      </c>
      <c r="G434">
        <v>80</v>
      </c>
      <c r="H434">
        <v>79.915809631000002</v>
      </c>
      <c r="I434">
        <v>50</v>
      </c>
      <c r="J434">
        <v>15.385409355</v>
      </c>
      <c r="K434">
        <v>2400</v>
      </c>
      <c r="L434">
        <v>0</v>
      </c>
      <c r="M434">
        <v>0</v>
      </c>
      <c r="N434">
        <v>2400</v>
      </c>
    </row>
    <row r="435" spans="1:14" x14ac:dyDescent="0.25">
      <c r="A435">
        <v>183.27178599999999</v>
      </c>
      <c r="B435" s="1">
        <f>DATE(2010,10,31) + TIME(6,31,22)</f>
        <v>40482.271782407406</v>
      </c>
      <c r="C435">
        <v>1794.2459716999999</v>
      </c>
      <c r="D435">
        <v>1667.3353271000001</v>
      </c>
      <c r="E435">
        <v>597.84399413999995</v>
      </c>
      <c r="F435">
        <v>210.43127440999999</v>
      </c>
      <c r="G435">
        <v>80</v>
      </c>
      <c r="H435">
        <v>79.915878296000002</v>
      </c>
      <c r="I435">
        <v>50</v>
      </c>
      <c r="J435">
        <v>15.403784752</v>
      </c>
      <c r="K435">
        <v>2400</v>
      </c>
      <c r="L435">
        <v>0</v>
      </c>
      <c r="M435">
        <v>0</v>
      </c>
      <c r="N435">
        <v>2400</v>
      </c>
    </row>
    <row r="436" spans="1:14" x14ac:dyDescent="0.25">
      <c r="A436">
        <v>184</v>
      </c>
      <c r="B436" s="1">
        <f>DATE(2010,11,1) + TIME(0,0,0)</f>
        <v>40483</v>
      </c>
      <c r="C436">
        <v>1793.9501952999999</v>
      </c>
      <c r="D436">
        <v>1667.0408935999999</v>
      </c>
      <c r="E436">
        <v>598.69030762</v>
      </c>
      <c r="F436">
        <v>211.67546082000001</v>
      </c>
      <c r="G436">
        <v>80</v>
      </c>
      <c r="H436">
        <v>79.915969849000007</v>
      </c>
      <c r="I436">
        <v>50</v>
      </c>
      <c r="J436">
        <v>15.425182342999999</v>
      </c>
      <c r="K436">
        <v>2400</v>
      </c>
      <c r="L436">
        <v>0</v>
      </c>
      <c r="M436">
        <v>0</v>
      </c>
      <c r="N436">
        <v>2400</v>
      </c>
    </row>
    <row r="437" spans="1:14" x14ac:dyDescent="0.25">
      <c r="A437">
        <v>184.000001</v>
      </c>
      <c r="B437" s="1">
        <f>DATE(2010,11,1) + TIME(0,0,0)</f>
        <v>40483</v>
      </c>
      <c r="C437">
        <v>1666.1179199000001</v>
      </c>
      <c r="D437">
        <v>1539.8601074000001</v>
      </c>
      <c r="E437">
        <v>986.89410399999997</v>
      </c>
      <c r="F437">
        <v>599.57623291000004</v>
      </c>
      <c r="G437">
        <v>80</v>
      </c>
      <c r="H437">
        <v>79.915832519999995</v>
      </c>
      <c r="I437">
        <v>50</v>
      </c>
      <c r="J437">
        <v>15.425312042</v>
      </c>
      <c r="K437">
        <v>0</v>
      </c>
      <c r="L437">
        <v>2400</v>
      </c>
      <c r="M437">
        <v>2400</v>
      </c>
      <c r="N437">
        <v>0</v>
      </c>
    </row>
    <row r="438" spans="1:14" x14ac:dyDescent="0.25">
      <c r="A438">
        <v>184.00000399999999</v>
      </c>
      <c r="B438" s="1">
        <f>DATE(2010,11,1) + TIME(0,0,0)</f>
        <v>40483</v>
      </c>
      <c r="C438">
        <v>1663.4036865</v>
      </c>
      <c r="D438">
        <v>1537.1433105000001</v>
      </c>
      <c r="E438">
        <v>989.55181885000002</v>
      </c>
      <c r="F438">
        <v>602.21740723000005</v>
      </c>
      <c r="G438">
        <v>80</v>
      </c>
      <c r="H438">
        <v>79.915451050000001</v>
      </c>
      <c r="I438">
        <v>50</v>
      </c>
      <c r="J438">
        <v>15.425699234</v>
      </c>
      <c r="K438">
        <v>0</v>
      </c>
      <c r="L438">
        <v>2400</v>
      </c>
      <c r="M438">
        <v>2400</v>
      </c>
      <c r="N438">
        <v>0</v>
      </c>
    </row>
    <row r="439" spans="1:14" x14ac:dyDescent="0.25">
      <c r="A439">
        <v>184.000013</v>
      </c>
      <c r="B439" s="1">
        <f>DATE(2010,11,1) + TIME(0,0,1)</f>
        <v>40483.000011574077</v>
      </c>
      <c r="C439">
        <v>1655.7158202999999</v>
      </c>
      <c r="D439">
        <v>1529.4487305</v>
      </c>
      <c r="E439">
        <v>997.37615966999999</v>
      </c>
      <c r="F439">
        <v>609.99523925999995</v>
      </c>
      <c r="G439">
        <v>80</v>
      </c>
      <c r="H439">
        <v>79.914352417000003</v>
      </c>
      <c r="I439">
        <v>50</v>
      </c>
      <c r="J439">
        <v>15.426845551</v>
      </c>
      <c r="K439">
        <v>0</v>
      </c>
      <c r="L439">
        <v>2400</v>
      </c>
      <c r="M439">
        <v>2400</v>
      </c>
      <c r="N439">
        <v>0</v>
      </c>
    </row>
    <row r="440" spans="1:14" x14ac:dyDescent="0.25">
      <c r="A440">
        <v>184.00004000000001</v>
      </c>
      <c r="B440" s="1">
        <f>DATE(2010,11,1) + TIME(0,0,3)</f>
        <v>40483.000034722223</v>
      </c>
      <c r="C440">
        <v>1635.9748535000001</v>
      </c>
      <c r="D440">
        <v>1509.6936035000001</v>
      </c>
      <c r="E440">
        <v>1019.6049194</v>
      </c>
      <c r="F440">
        <v>632.10717772999999</v>
      </c>
      <c r="G440">
        <v>80</v>
      </c>
      <c r="H440">
        <v>79.911537170000003</v>
      </c>
      <c r="I440">
        <v>50</v>
      </c>
      <c r="J440">
        <v>15.430160522</v>
      </c>
      <c r="K440">
        <v>0</v>
      </c>
      <c r="L440">
        <v>2400</v>
      </c>
      <c r="M440">
        <v>2400</v>
      </c>
      <c r="N440">
        <v>0</v>
      </c>
    </row>
    <row r="441" spans="1:14" x14ac:dyDescent="0.25">
      <c r="A441">
        <v>184.00012100000001</v>
      </c>
      <c r="B441" s="1">
        <f>DATE(2010,11,1) + TIME(0,0,10)</f>
        <v>40483.000115740739</v>
      </c>
      <c r="C441">
        <v>1594.8752440999999</v>
      </c>
      <c r="D441">
        <v>1468.5765381000001</v>
      </c>
      <c r="E441">
        <v>1077.1114502</v>
      </c>
      <c r="F441">
        <v>689.40771484000004</v>
      </c>
      <c r="G441">
        <v>80</v>
      </c>
      <c r="H441">
        <v>79.905677795000003</v>
      </c>
      <c r="I441">
        <v>50</v>
      </c>
      <c r="J441">
        <v>15.439181328</v>
      </c>
      <c r="K441">
        <v>0</v>
      </c>
      <c r="L441">
        <v>2400</v>
      </c>
      <c r="M441">
        <v>2400</v>
      </c>
      <c r="N441">
        <v>0</v>
      </c>
    </row>
    <row r="442" spans="1:14" x14ac:dyDescent="0.25">
      <c r="A442">
        <v>184.00036399999999</v>
      </c>
      <c r="B442" s="1">
        <f>DATE(2010,11,1) + TIME(0,0,31)</f>
        <v>40483.000358796293</v>
      </c>
      <c r="C442">
        <v>1532.4866943</v>
      </c>
      <c r="D442">
        <v>1406.1865233999999</v>
      </c>
      <c r="E442">
        <v>1198.5350341999999</v>
      </c>
      <c r="F442">
        <v>810.75018310999997</v>
      </c>
      <c r="G442">
        <v>80</v>
      </c>
      <c r="H442">
        <v>79.896774292000003</v>
      </c>
      <c r="I442">
        <v>50</v>
      </c>
      <c r="J442">
        <v>15.461073875</v>
      </c>
      <c r="K442">
        <v>0</v>
      </c>
      <c r="L442">
        <v>2400</v>
      </c>
      <c r="M442">
        <v>2400</v>
      </c>
      <c r="N442">
        <v>0</v>
      </c>
    </row>
    <row r="443" spans="1:14" x14ac:dyDescent="0.25">
      <c r="A443">
        <v>184.001093</v>
      </c>
      <c r="B443" s="1">
        <f>DATE(2010,11,1) + TIME(0,1,34)</f>
        <v>40483.001087962963</v>
      </c>
      <c r="C443">
        <v>1461.0249022999999</v>
      </c>
      <c r="D443">
        <v>1334.8463135</v>
      </c>
      <c r="E443">
        <v>1385.8574219</v>
      </c>
      <c r="F443">
        <v>998.58917236000002</v>
      </c>
      <c r="G443">
        <v>80</v>
      </c>
      <c r="H443">
        <v>79.886367797999995</v>
      </c>
      <c r="I443">
        <v>50</v>
      </c>
      <c r="J443">
        <v>15.508675575</v>
      </c>
      <c r="K443">
        <v>0</v>
      </c>
      <c r="L443">
        <v>2400</v>
      </c>
      <c r="M443">
        <v>2400</v>
      </c>
      <c r="N443">
        <v>0</v>
      </c>
    </row>
    <row r="444" spans="1:14" x14ac:dyDescent="0.25">
      <c r="A444">
        <v>184.00327999999999</v>
      </c>
      <c r="B444" s="1">
        <f>DATE(2010,11,1) + TIME(0,4,43)</f>
        <v>40483.003275462965</v>
      </c>
      <c r="C444">
        <v>1388.4399414</v>
      </c>
      <c r="D444">
        <v>1262.4368896000001</v>
      </c>
      <c r="E444">
        <v>1601.2794189000001</v>
      </c>
      <c r="F444">
        <v>1215.4232178</v>
      </c>
      <c r="G444">
        <v>80</v>
      </c>
      <c r="H444">
        <v>79.875274657999995</v>
      </c>
      <c r="I444">
        <v>50</v>
      </c>
      <c r="J444">
        <v>15.615530968</v>
      </c>
      <c r="K444">
        <v>0</v>
      </c>
      <c r="L444">
        <v>2400</v>
      </c>
      <c r="M444">
        <v>2400</v>
      </c>
      <c r="N444">
        <v>0</v>
      </c>
    </row>
    <row r="445" spans="1:14" x14ac:dyDescent="0.25">
      <c r="A445">
        <v>184.00984099999999</v>
      </c>
      <c r="B445" s="1">
        <f>DATE(2010,11,1) + TIME(0,14,10)</f>
        <v>40483.009837962964</v>
      </c>
      <c r="C445">
        <v>1314.9582519999999</v>
      </c>
      <c r="D445">
        <v>1189.1804199000001</v>
      </c>
      <c r="E445">
        <v>1816.6876221</v>
      </c>
      <c r="F445">
        <v>1433.9703368999999</v>
      </c>
      <c r="G445">
        <v>80</v>
      </c>
      <c r="H445">
        <v>79.862442017000006</v>
      </c>
      <c r="I445">
        <v>50</v>
      </c>
      <c r="J445">
        <v>15.889384270000001</v>
      </c>
      <c r="K445">
        <v>0</v>
      </c>
      <c r="L445">
        <v>2400</v>
      </c>
      <c r="M445">
        <v>2400</v>
      </c>
      <c r="N445">
        <v>0</v>
      </c>
    </row>
    <row r="446" spans="1:14" x14ac:dyDescent="0.25">
      <c r="A446">
        <v>184.02952400000001</v>
      </c>
      <c r="B446" s="1">
        <f>DATE(2010,11,1) + TIME(0,42,30)</f>
        <v>40483.029513888891</v>
      </c>
      <c r="C446">
        <v>1235.6445312000001</v>
      </c>
      <c r="D446">
        <v>1109.9910889</v>
      </c>
      <c r="E446">
        <v>2020.4273682</v>
      </c>
      <c r="F446">
        <v>1645.4664307</v>
      </c>
      <c r="G446">
        <v>80</v>
      </c>
      <c r="H446">
        <v>79.844085692999997</v>
      </c>
      <c r="I446">
        <v>50</v>
      </c>
      <c r="J446">
        <v>16.648212433000001</v>
      </c>
      <c r="K446">
        <v>0</v>
      </c>
      <c r="L446">
        <v>2400</v>
      </c>
      <c r="M446">
        <v>2400</v>
      </c>
      <c r="N446">
        <v>0</v>
      </c>
    </row>
    <row r="447" spans="1:14" x14ac:dyDescent="0.25">
      <c r="A447">
        <v>184.05540300000001</v>
      </c>
      <c r="B447" s="1">
        <f>DATE(2010,11,1) + TIME(1,19,46)</f>
        <v>40483.055393518516</v>
      </c>
      <c r="C447">
        <v>1180.7587891000001</v>
      </c>
      <c r="D447">
        <v>1055.1158447</v>
      </c>
      <c r="E447">
        <v>2134.5041504000001</v>
      </c>
      <c r="F447">
        <v>1768.6737060999999</v>
      </c>
      <c r="G447">
        <v>80</v>
      </c>
      <c r="H447">
        <v>79.826965332</v>
      </c>
      <c r="I447">
        <v>50</v>
      </c>
      <c r="J447">
        <v>17.603111266999999</v>
      </c>
      <c r="K447">
        <v>0</v>
      </c>
      <c r="L447">
        <v>2400</v>
      </c>
      <c r="M447">
        <v>2400</v>
      </c>
      <c r="N447">
        <v>0</v>
      </c>
    </row>
    <row r="448" spans="1:14" x14ac:dyDescent="0.25">
      <c r="A448">
        <v>184.08245600000001</v>
      </c>
      <c r="B448" s="1">
        <f>DATE(2010,11,1) + TIME(1,58,44)</f>
        <v>40483.082453703704</v>
      </c>
      <c r="C448">
        <v>1143.3637695</v>
      </c>
      <c r="D448">
        <v>1017.7096558</v>
      </c>
      <c r="E448">
        <v>2197.3947754000001</v>
      </c>
      <c r="F448">
        <v>1840.3288574000001</v>
      </c>
      <c r="G448">
        <v>80</v>
      </c>
      <c r="H448">
        <v>79.811920165999993</v>
      </c>
      <c r="I448">
        <v>50</v>
      </c>
      <c r="J448">
        <v>18.567670822</v>
      </c>
      <c r="K448">
        <v>0</v>
      </c>
      <c r="L448">
        <v>2400</v>
      </c>
      <c r="M448">
        <v>2400</v>
      </c>
      <c r="N448">
        <v>0</v>
      </c>
    </row>
    <row r="449" spans="1:14" x14ac:dyDescent="0.25">
      <c r="A449">
        <v>184.110467</v>
      </c>
      <c r="B449" s="1">
        <f>DATE(2010,11,1) + TIME(2,39,4)</f>
        <v>40483.110462962963</v>
      </c>
      <c r="C449">
        <v>1115.7205810999999</v>
      </c>
      <c r="D449">
        <v>990.05609131000006</v>
      </c>
      <c r="E449">
        <v>2235.3183594000002</v>
      </c>
      <c r="F449">
        <v>1886.6630858999999</v>
      </c>
      <c r="G449">
        <v>80</v>
      </c>
      <c r="H449">
        <v>79.797958374000004</v>
      </c>
      <c r="I449">
        <v>50</v>
      </c>
      <c r="J449">
        <v>19.534694672000001</v>
      </c>
      <c r="K449">
        <v>0</v>
      </c>
      <c r="L449">
        <v>2400</v>
      </c>
      <c r="M449">
        <v>2400</v>
      </c>
      <c r="N449">
        <v>0</v>
      </c>
    </row>
    <row r="450" spans="1:14" x14ac:dyDescent="0.25">
      <c r="A450">
        <v>184.13940500000001</v>
      </c>
      <c r="B450" s="1">
        <f>DATE(2010,11,1) + TIME(3,20,44)</f>
        <v>40483.139398148145</v>
      </c>
      <c r="C450">
        <v>1094.3582764</v>
      </c>
      <c r="D450">
        <v>968.68536376999998</v>
      </c>
      <c r="E450">
        <v>2259.0971679999998</v>
      </c>
      <c r="F450">
        <v>1918.5249022999999</v>
      </c>
      <c r="G450">
        <v>80</v>
      </c>
      <c r="H450">
        <v>79.784629821999999</v>
      </c>
      <c r="I450">
        <v>50</v>
      </c>
      <c r="J450">
        <v>20.502687454</v>
      </c>
      <c r="K450">
        <v>0</v>
      </c>
      <c r="L450">
        <v>2400</v>
      </c>
      <c r="M450">
        <v>2400</v>
      </c>
      <c r="N450">
        <v>0</v>
      </c>
    </row>
    <row r="451" spans="1:14" x14ac:dyDescent="0.25">
      <c r="A451">
        <v>184.16928200000001</v>
      </c>
      <c r="B451" s="1">
        <f>DATE(2010,11,1) + TIME(4,3,45)</f>
        <v>40483.169270833336</v>
      </c>
      <c r="C451">
        <v>1077.3674315999999</v>
      </c>
      <c r="D451">
        <v>951.68743896000001</v>
      </c>
      <c r="E451">
        <v>2274.0634765999998</v>
      </c>
      <c r="F451">
        <v>1941.2589111</v>
      </c>
      <c r="G451">
        <v>80</v>
      </c>
      <c r="H451">
        <v>79.771667480000005</v>
      </c>
      <c r="I451">
        <v>50</v>
      </c>
      <c r="J451">
        <v>21.470556258999999</v>
      </c>
      <c r="K451">
        <v>0</v>
      </c>
      <c r="L451">
        <v>2400</v>
      </c>
      <c r="M451">
        <v>2400</v>
      </c>
      <c r="N451">
        <v>0</v>
      </c>
    </row>
    <row r="452" spans="1:14" x14ac:dyDescent="0.25">
      <c r="A452">
        <v>184.20013299999999</v>
      </c>
      <c r="B452" s="1">
        <f>DATE(2010,11,1) + TIME(4,48,11)</f>
        <v>40483.200127314813</v>
      </c>
      <c r="C452">
        <v>1063.5686035000001</v>
      </c>
      <c r="D452">
        <v>937.88195800999995</v>
      </c>
      <c r="E452">
        <v>2283.1777344000002</v>
      </c>
      <c r="F452">
        <v>1957.8378906</v>
      </c>
      <c r="G452">
        <v>80</v>
      </c>
      <c r="H452">
        <v>79.758911132999998</v>
      </c>
      <c r="I452">
        <v>50</v>
      </c>
      <c r="J452">
        <v>22.437295914</v>
      </c>
      <c r="K452">
        <v>0</v>
      </c>
      <c r="L452">
        <v>2400</v>
      </c>
      <c r="M452">
        <v>2400</v>
      </c>
      <c r="N452">
        <v>0</v>
      </c>
    </row>
    <row r="453" spans="1:14" x14ac:dyDescent="0.25">
      <c r="A453">
        <v>184.232033</v>
      </c>
      <c r="B453" s="1">
        <f>DATE(2010,11,1) + TIME(5,34,7)</f>
        <v>40483.232025462959</v>
      </c>
      <c r="C453">
        <v>1052.1809082</v>
      </c>
      <c r="D453">
        <v>926.48785399999997</v>
      </c>
      <c r="E453">
        <v>2288.2211914</v>
      </c>
      <c r="F453">
        <v>1970.0621338000001</v>
      </c>
      <c r="G453">
        <v>80</v>
      </c>
      <c r="H453">
        <v>79.746231078999998</v>
      </c>
      <c r="I453">
        <v>50</v>
      </c>
      <c r="J453">
        <v>23.403156281000001</v>
      </c>
      <c r="K453">
        <v>0</v>
      </c>
      <c r="L453">
        <v>2400</v>
      </c>
      <c r="M453">
        <v>2400</v>
      </c>
      <c r="N453">
        <v>0</v>
      </c>
    </row>
    <row r="454" spans="1:14" x14ac:dyDescent="0.25">
      <c r="A454">
        <v>184.265051</v>
      </c>
      <c r="B454" s="1">
        <f>DATE(2010,11,1) + TIME(6,21,40)</f>
        <v>40483.265046296299</v>
      </c>
      <c r="C454">
        <v>1042.6765137</v>
      </c>
      <c r="D454">
        <v>916.97711182</v>
      </c>
      <c r="E454">
        <v>2290.3247070000002</v>
      </c>
      <c r="F454">
        <v>1979.0761719</v>
      </c>
      <c r="G454">
        <v>80</v>
      </c>
      <c r="H454">
        <v>79.733535767000006</v>
      </c>
      <c r="I454">
        <v>50</v>
      </c>
      <c r="J454">
        <v>24.367952346999999</v>
      </c>
      <c r="K454">
        <v>0</v>
      </c>
      <c r="L454">
        <v>2400</v>
      </c>
      <c r="M454">
        <v>2400</v>
      </c>
      <c r="N454">
        <v>0</v>
      </c>
    </row>
    <row r="455" spans="1:14" x14ac:dyDescent="0.25">
      <c r="A455">
        <v>184.29926399999999</v>
      </c>
      <c r="B455" s="1">
        <f>DATE(2010,11,1) + TIME(7,10,56)</f>
        <v>40483.299259259256</v>
      </c>
      <c r="C455">
        <v>1034.6810303</v>
      </c>
      <c r="D455">
        <v>908.97546387</v>
      </c>
      <c r="E455">
        <v>2290.2407226999999</v>
      </c>
      <c r="F455">
        <v>1985.6472168</v>
      </c>
      <c r="G455">
        <v>80</v>
      </c>
      <c r="H455">
        <v>79.720756531000006</v>
      </c>
      <c r="I455">
        <v>50</v>
      </c>
      <c r="J455">
        <v>25.33175087</v>
      </c>
      <c r="K455">
        <v>0</v>
      </c>
      <c r="L455">
        <v>2400</v>
      </c>
      <c r="M455">
        <v>2400</v>
      </c>
      <c r="N455">
        <v>0</v>
      </c>
    </row>
    <row r="456" spans="1:14" x14ac:dyDescent="0.25">
      <c r="A456">
        <v>184.33475899999999</v>
      </c>
      <c r="B456" s="1">
        <f>DATE(2010,11,1) + TIME(8,2,3)</f>
        <v>40483.334756944445</v>
      </c>
      <c r="C456">
        <v>1027.9208983999999</v>
      </c>
      <c r="D456">
        <v>902.20910645000004</v>
      </c>
      <c r="E456">
        <v>2288.4951172000001</v>
      </c>
      <c r="F456">
        <v>1990.3120117000001</v>
      </c>
      <c r="G456">
        <v>80</v>
      </c>
      <c r="H456">
        <v>79.707847595000004</v>
      </c>
      <c r="I456">
        <v>50</v>
      </c>
      <c r="J456">
        <v>26.294494628999999</v>
      </c>
      <c r="K456">
        <v>0</v>
      </c>
      <c r="L456">
        <v>2400</v>
      </c>
      <c r="M456">
        <v>2400</v>
      </c>
      <c r="N456">
        <v>0</v>
      </c>
    </row>
    <row r="457" spans="1:14" x14ac:dyDescent="0.25">
      <c r="A457">
        <v>184.37162000000001</v>
      </c>
      <c r="B457" s="1">
        <f>DATE(2010,11,1) + TIME(8,55,7)</f>
        <v>40483.371608796297</v>
      </c>
      <c r="C457">
        <v>1022.1895752</v>
      </c>
      <c r="D457">
        <v>896.47155762</v>
      </c>
      <c r="E457">
        <v>2285.4697265999998</v>
      </c>
      <c r="F457">
        <v>1993.4593506000001</v>
      </c>
      <c r="G457">
        <v>80</v>
      </c>
      <c r="H457">
        <v>79.694740295000003</v>
      </c>
      <c r="I457">
        <v>50</v>
      </c>
      <c r="J457">
        <v>27.255243301</v>
      </c>
      <c r="K457">
        <v>0</v>
      </c>
      <c r="L457">
        <v>2400</v>
      </c>
      <c r="M457">
        <v>2400</v>
      </c>
      <c r="N457">
        <v>0</v>
      </c>
    </row>
    <row r="458" spans="1:14" x14ac:dyDescent="0.25">
      <c r="A458">
        <v>184.40997899999999</v>
      </c>
      <c r="B458" s="1">
        <f>DATE(2010,11,1) + TIME(9,50,22)</f>
        <v>40483.40997685185</v>
      </c>
      <c r="C458">
        <v>1017.3211669999999</v>
      </c>
      <c r="D458">
        <v>891.59686279000005</v>
      </c>
      <c r="E458">
        <v>2281.4443359000002</v>
      </c>
      <c r="F458">
        <v>1995.3828125</v>
      </c>
      <c r="G458">
        <v>80</v>
      </c>
      <c r="H458">
        <v>79.681404114000003</v>
      </c>
      <c r="I458">
        <v>50</v>
      </c>
      <c r="J458">
        <v>28.214332581000001</v>
      </c>
      <c r="K458">
        <v>0</v>
      </c>
      <c r="L458">
        <v>2400</v>
      </c>
      <c r="M458">
        <v>2400</v>
      </c>
      <c r="N458">
        <v>0</v>
      </c>
    </row>
    <row r="459" spans="1:14" x14ac:dyDescent="0.25">
      <c r="A459">
        <v>184.44996699999999</v>
      </c>
      <c r="B459" s="1">
        <f>DATE(2010,11,1) + TIME(10,47,57)</f>
        <v>40483.449965277781</v>
      </c>
      <c r="C459">
        <v>1013.1849976</v>
      </c>
      <c r="D459">
        <v>887.45440673999997</v>
      </c>
      <c r="E459">
        <v>2276.6330566000001</v>
      </c>
      <c r="F459">
        <v>1996.3063964999999</v>
      </c>
      <c r="G459">
        <v>80</v>
      </c>
      <c r="H459">
        <v>79.667770386000001</v>
      </c>
      <c r="I459">
        <v>50</v>
      </c>
      <c r="J459">
        <v>29.171596526999998</v>
      </c>
      <c r="K459">
        <v>0</v>
      </c>
      <c r="L459">
        <v>2400</v>
      </c>
      <c r="M459">
        <v>2400</v>
      </c>
      <c r="N459">
        <v>0</v>
      </c>
    </row>
    <row r="460" spans="1:14" x14ac:dyDescent="0.25">
      <c r="A460">
        <v>184.49172799999999</v>
      </c>
      <c r="B460" s="1">
        <f>DATE(2010,11,1) + TIME(11,48,5)</f>
        <v>40483.491724537038</v>
      </c>
      <c r="C460">
        <v>1009.6734619</v>
      </c>
      <c r="D460">
        <v>883.93652343999997</v>
      </c>
      <c r="E460">
        <v>2271.2033691000001</v>
      </c>
      <c r="F460">
        <v>1996.4072266000001</v>
      </c>
      <c r="G460">
        <v>80</v>
      </c>
      <c r="H460">
        <v>79.653800963999998</v>
      </c>
      <c r="I460">
        <v>50</v>
      </c>
      <c r="J460">
        <v>30.126890182</v>
      </c>
      <c r="K460">
        <v>0</v>
      </c>
      <c r="L460">
        <v>2400</v>
      </c>
      <c r="M460">
        <v>2400</v>
      </c>
      <c r="N460">
        <v>0</v>
      </c>
    </row>
    <row r="461" spans="1:14" x14ac:dyDescent="0.25">
      <c r="A461">
        <v>184.53543199999999</v>
      </c>
      <c r="B461" s="1">
        <f>DATE(2010,11,1) + TIME(12,51,1)</f>
        <v>40483.535428240742</v>
      </c>
      <c r="C461">
        <v>1006.696228</v>
      </c>
      <c r="D461">
        <v>880.95288086000005</v>
      </c>
      <c r="E461">
        <v>2265.2890625</v>
      </c>
      <c r="F461">
        <v>1995.8287353999999</v>
      </c>
      <c r="G461">
        <v>80</v>
      </c>
      <c r="H461">
        <v>79.639434813999998</v>
      </c>
      <c r="I461">
        <v>50</v>
      </c>
      <c r="J461">
        <v>31.080184936999999</v>
      </c>
      <c r="K461">
        <v>0</v>
      </c>
      <c r="L461">
        <v>2400</v>
      </c>
      <c r="M461">
        <v>2400</v>
      </c>
      <c r="N461">
        <v>0</v>
      </c>
    </row>
    <row r="462" spans="1:14" x14ac:dyDescent="0.25">
      <c r="A462">
        <v>184.58125799999999</v>
      </c>
      <c r="B462" s="1">
        <f>DATE(2010,11,1) + TIME(13,57,0)</f>
        <v>40483.581250000003</v>
      </c>
      <c r="C462">
        <v>1004.1769409</v>
      </c>
      <c r="D462">
        <v>878.42706298999997</v>
      </c>
      <c r="E462">
        <v>2259.0029297000001</v>
      </c>
      <c r="F462">
        <v>1994.6892089999999</v>
      </c>
      <c r="G462">
        <v>80</v>
      </c>
      <c r="H462">
        <v>79.624633789000001</v>
      </c>
      <c r="I462">
        <v>50</v>
      </c>
      <c r="J462">
        <v>32.030864716000004</v>
      </c>
      <c r="K462">
        <v>0</v>
      </c>
      <c r="L462">
        <v>2400</v>
      </c>
      <c r="M462">
        <v>2400</v>
      </c>
      <c r="N462">
        <v>0</v>
      </c>
    </row>
    <row r="463" spans="1:14" x14ac:dyDescent="0.25">
      <c r="A463">
        <v>184.62943799999999</v>
      </c>
      <c r="B463" s="1">
        <f>DATE(2010,11,1) + TIME(15,6,23)</f>
        <v>40483.629432870373</v>
      </c>
      <c r="C463">
        <v>1002.0488281</v>
      </c>
      <c r="D463">
        <v>876.29223633000004</v>
      </c>
      <c r="E463">
        <v>2252.4338379000001</v>
      </c>
      <c r="F463">
        <v>1993.0867920000001</v>
      </c>
      <c r="G463">
        <v>80</v>
      </c>
      <c r="H463">
        <v>79.609321593999994</v>
      </c>
      <c r="I463">
        <v>50</v>
      </c>
      <c r="J463">
        <v>32.978885650999999</v>
      </c>
      <c r="K463">
        <v>0</v>
      </c>
      <c r="L463">
        <v>2400</v>
      </c>
      <c r="M463">
        <v>2400</v>
      </c>
      <c r="N463">
        <v>0</v>
      </c>
    </row>
    <row r="464" spans="1:14" x14ac:dyDescent="0.25">
      <c r="A464">
        <v>184.680228</v>
      </c>
      <c r="B464" s="1">
        <f>DATE(2010,11,1) + TIME(16,19,31)</f>
        <v>40483.680219907408</v>
      </c>
      <c r="C464">
        <v>1000.2547607</v>
      </c>
      <c r="D464">
        <v>874.49127196999996</v>
      </c>
      <c r="E464">
        <v>2245.6569823999998</v>
      </c>
      <c r="F464">
        <v>1991.1035156</v>
      </c>
      <c r="G464">
        <v>80</v>
      </c>
      <c r="H464">
        <v>79.593444824000002</v>
      </c>
      <c r="I464">
        <v>50</v>
      </c>
      <c r="J464">
        <v>33.923961638999998</v>
      </c>
      <c r="K464">
        <v>0</v>
      </c>
      <c r="L464">
        <v>2400</v>
      </c>
      <c r="M464">
        <v>2400</v>
      </c>
      <c r="N464">
        <v>0</v>
      </c>
    </row>
    <row r="465" spans="1:14" x14ac:dyDescent="0.25">
      <c r="A465">
        <v>184.73392699999999</v>
      </c>
      <c r="B465" s="1">
        <f>DATE(2010,11,1) + TIME(17,36,51)</f>
        <v>40483.733923611115</v>
      </c>
      <c r="C465">
        <v>998.74511718999997</v>
      </c>
      <c r="D465">
        <v>872.97454833999996</v>
      </c>
      <c r="E465">
        <v>2238.7348633000001</v>
      </c>
      <c r="F465">
        <v>1988.8084716999999</v>
      </c>
      <c r="G465">
        <v>80</v>
      </c>
      <c r="H465">
        <v>79.576911925999994</v>
      </c>
      <c r="I465">
        <v>50</v>
      </c>
      <c r="J465">
        <v>34.865768433</v>
      </c>
      <c r="K465">
        <v>0</v>
      </c>
      <c r="L465">
        <v>2400</v>
      </c>
      <c r="M465">
        <v>2400</v>
      </c>
      <c r="N465">
        <v>0</v>
      </c>
    </row>
    <row r="466" spans="1:14" x14ac:dyDescent="0.25">
      <c r="A466">
        <v>184.79088899999999</v>
      </c>
      <c r="B466" s="1">
        <f>DATE(2010,11,1) + TIME(18,58,52)</f>
        <v>40483.790879629632</v>
      </c>
      <c r="C466">
        <v>997.47692871000004</v>
      </c>
      <c r="D466">
        <v>871.69897461000005</v>
      </c>
      <c r="E466">
        <v>2231.71875</v>
      </c>
      <c r="F466">
        <v>1986.2590332</v>
      </c>
      <c r="G466">
        <v>80</v>
      </c>
      <c r="H466">
        <v>79.559646606000001</v>
      </c>
      <c r="I466">
        <v>50</v>
      </c>
      <c r="J466">
        <v>35.803920746000003</v>
      </c>
      <c r="K466">
        <v>0</v>
      </c>
      <c r="L466">
        <v>2400</v>
      </c>
      <c r="M466">
        <v>2400</v>
      </c>
      <c r="N466">
        <v>0</v>
      </c>
    </row>
    <row r="467" spans="1:14" x14ac:dyDescent="0.25">
      <c r="A467">
        <v>184.85153399999999</v>
      </c>
      <c r="B467" s="1">
        <f>DATE(2010,11,1) + TIME(20,26,12)</f>
        <v>40483.851527777777</v>
      </c>
      <c r="C467">
        <v>996.41296387</v>
      </c>
      <c r="D467">
        <v>870.62738036999997</v>
      </c>
      <c r="E467">
        <v>2224.6508789</v>
      </c>
      <c r="F467">
        <v>1983.5026855000001</v>
      </c>
      <c r="G467">
        <v>80</v>
      </c>
      <c r="H467">
        <v>79.541549683</v>
      </c>
      <c r="I467">
        <v>50</v>
      </c>
      <c r="J467">
        <v>36.737979889000002</v>
      </c>
      <c r="K467">
        <v>0</v>
      </c>
      <c r="L467">
        <v>2400</v>
      </c>
      <c r="M467">
        <v>2400</v>
      </c>
      <c r="N467">
        <v>0</v>
      </c>
    </row>
    <row r="468" spans="1:14" x14ac:dyDescent="0.25">
      <c r="A468">
        <v>184.91636800000001</v>
      </c>
      <c r="B468" s="1">
        <f>DATE(2010,11,1) + TIME(21,59,34)</f>
        <v>40483.916365740741</v>
      </c>
      <c r="C468">
        <v>995.52111816000001</v>
      </c>
      <c r="D468">
        <v>869.72760010000002</v>
      </c>
      <c r="E468">
        <v>2217.5654297000001</v>
      </c>
      <c r="F468">
        <v>1980.5786132999999</v>
      </c>
      <c r="G468">
        <v>80</v>
      </c>
      <c r="H468">
        <v>79.522499084000003</v>
      </c>
      <c r="I468">
        <v>50</v>
      </c>
      <c r="J468">
        <v>37.667423247999999</v>
      </c>
      <c r="K468">
        <v>0</v>
      </c>
      <c r="L468">
        <v>2400</v>
      </c>
      <c r="M468">
        <v>2400</v>
      </c>
      <c r="N468">
        <v>0</v>
      </c>
    </row>
    <row r="469" spans="1:14" x14ac:dyDescent="0.25">
      <c r="A469">
        <v>184.98600099999999</v>
      </c>
      <c r="B469" s="1">
        <f>DATE(2010,11,1) + TIME(23,39,50)</f>
        <v>40483.985995370371</v>
      </c>
      <c r="C469">
        <v>994.77374268000005</v>
      </c>
      <c r="D469">
        <v>868.97186279000005</v>
      </c>
      <c r="E469">
        <v>2210.4887695000002</v>
      </c>
      <c r="F469">
        <v>1977.5173339999999</v>
      </c>
      <c r="G469">
        <v>80</v>
      </c>
      <c r="H469">
        <v>79.502357482999997</v>
      </c>
      <c r="I469">
        <v>50</v>
      </c>
      <c r="J469">
        <v>38.591621398999997</v>
      </c>
      <c r="K469">
        <v>0</v>
      </c>
      <c r="L469">
        <v>2400</v>
      </c>
      <c r="M469">
        <v>2400</v>
      </c>
      <c r="N469">
        <v>0</v>
      </c>
    </row>
    <row r="470" spans="1:14" x14ac:dyDescent="0.25">
      <c r="A470">
        <v>185.06118799999999</v>
      </c>
      <c r="B470" s="1">
        <f>DATE(2010,11,2) + TIME(1,28,6)</f>
        <v>40484.061180555553</v>
      </c>
      <c r="C470">
        <v>994.14727783000001</v>
      </c>
      <c r="D470">
        <v>868.33660888999998</v>
      </c>
      <c r="E470">
        <v>2203.4401855000001</v>
      </c>
      <c r="F470">
        <v>1974.3419189000001</v>
      </c>
      <c r="G470">
        <v>80</v>
      </c>
      <c r="H470">
        <v>79.480957031000003</v>
      </c>
      <c r="I470">
        <v>50</v>
      </c>
      <c r="J470">
        <v>39.509819030999999</v>
      </c>
      <c r="K470">
        <v>0</v>
      </c>
      <c r="L470">
        <v>2400</v>
      </c>
      <c r="M470">
        <v>2400</v>
      </c>
      <c r="N470">
        <v>0</v>
      </c>
    </row>
    <row r="471" spans="1:14" x14ac:dyDescent="0.25">
      <c r="A471">
        <v>185.142867</v>
      </c>
      <c r="B471" s="1">
        <f>DATE(2010,11,2) + TIME(3,25,43)</f>
        <v>40484.142858796295</v>
      </c>
      <c r="C471">
        <v>993.62170409999999</v>
      </c>
      <c r="D471">
        <v>867.80169678000004</v>
      </c>
      <c r="E471">
        <v>2196.4326172000001</v>
      </c>
      <c r="F471">
        <v>1971.0688477000001</v>
      </c>
      <c r="G471">
        <v>80</v>
      </c>
      <c r="H471">
        <v>79.458099364999995</v>
      </c>
      <c r="I471">
        <v>50</v>
      </c>
      <c r="J471">
        <v>40.421215056999998</v>
      </c>
      <c r="K471">
        <v>0</v>
      </c>
      <c r="L471">
        <v>2400</v>
      </c>
      <c r="M471">
        <v>2400</v>
      </c>
      <c r="N471">
        <v>0</v>
      </c>
    </row>
    <row r="472" spans="1:14" x14ac:dyDescent="0.25">
      <c r="A472">
        <v>185.23222100000001</v>
      </c>
      <c r="B472" s="1">
        <f>DATE(2010,11,2) + TIME(5,34,23)</f>
        <v>40484.232210648152</v>
      </c>
      <c r="C472">
        <v>993.18011475000003</v>
      </c>
      <c r="D472">
        <v>867.35009765999996</v>
      </c>
      <c r="E472">
        <v>2189.4738769999999</v>
      </c>
      <c r="F472">
        <v>1967.7073975000001</v>
      </c>
      <c r="G472">
        <v>80</v>
      </c>
      <c r="H472">
        <v>79.433517456000004</v>
      </c>
      <c r="I472">
        <v>50</v>
      </c>
      <c r="J472">
        <v>41.324626922999997</v>
      </c>
      <c r="K472">
        <v>0</v>
      </c>
      <c r="L472">
        <v>2400</v>
      </c>
      <c r="M472">
        <v>2400</v>
      </c>
      <c r="N472">
        <v>0</v>
      </c>
    </row>
    <row r="473" spans="1:14" x14ac:dyDescent="0.25">
      <c r="A473">
        <v>185.33077599999999</v>
      </c>
      <c r="B473" s="1">
        <f>DATE(2010,11,2) + TIME(7,56,19)</f>
        <v>40484.330775462964</v>
      </c>
      <c r="C473">
        <v>992.80822753999996</v>
      </c>
      <c r="D473">
        <v>866.96746826000003</v>
      </c>
      <c r="E473">
        <v>2182.5668945000002</v>
      </c>
      <c r="F473">
        <v>1964.2611084</v>
      </c>
      <c r="G473">
        <v>80</v>
      </c>
      <c r="H473">
        <v>79.406898498999993</v>
      </c>
      <c r="I473">
        <v>50</v>
      </c>
      <c r="J473">
        <v>42.218463898000003</v>
      </c>
      <c r="K473">
        <v>0</v>
      </c>
      <c r="L473">
        <v>2400</v>
      </c>
      <c r="M473">
        <v>2400</v>
      </c>
      <c r="N473">
        <v>0</v>
      </c>
    </row>
    <row r="474" spans="1:14" x14ac:dyDescent="0.25">
      <c r="A474">
        <v>185.44057000000001</v>
      </c>
      <c r="B474" s="1">
        <f>DATE(2010,11,2) + TIME(10,34,25)</f>
        <v>40484.440567129626</v>
      </c>
      <c r="C474">
        <v>992.49401854999996</v>
      </c>
      <c r="D474">
        <v>866.64160156000003</v>
      </c>
      <c r="E474">
        <v>2175.7070312000001</v>
      </c>
      <c r="F474">
        <v>1960.7257079999999</v>
      </c>
      <c r="G474">
        <v>80</v>
      </c>
      <c r="H474">
        <v>79.377815247000001</v>
      </c>
      <c r="I474">
        <v>50</v>
      </c>
      <c r="J474">
        <v>43.101058960000003</v>
      </c>
      <c r="K474">
        <v>0</v>
      </c>
      <c r="L474">
        <v>2400</v>
      </c>
      <c r="M474">
        <v>2400</v>
      </c>
      <c r="N474">
        <v>0</v>
      </c>
    </row>
    <row r="475" spans="1:14" x14ac:dyDescent="0.25">
      <c r="A475">
        <v>185.558356</v>
      </c>
      <c r="B475" s="1">
        <f>DATE(2010,11,2) + TIME(13,24,1)</f>
        <v>40484.558344907404</v>
      </c>
      <c r="C475">
        <v>992.23504638999998</v>
      </c>
      <c r="D475">
        <v>866.37097168000003</v>
      </c>
      <c r="E475">
        <v>2169.1008301000002</v>
      </c>
      <c r="F475">
        <v>1957.1704102000001</v>
      </c>
      <c r="G475">
        <v>80</v>
      </c>
      <c r="H475">
        <v>79.347068786999998</v>
      </c>
      <c r="I475">
        <v>50</v>
      </c>
      <c r="J475">
        <v>43.933147429999998</v>
      </c>
      <c r="K475">
        <v>0</v>
      </c>
      <c r="L475">
        <v>2400</v>
      </c>
      <c r="M475">
        <v>2400</v>
      </c>
      <c r="N475">
        <v>0</v>
      </c>
    </row>
    <row r="476" spans="1:14" x14ac:dyDescent="0.25">
      <c r="A476">
        <v>185.67659699999999</v>
      </c>
      <c r="B476" s="1">
        <f>DATE(2010,11,2) + TIME(16,14,17)</f>
        <v>40484.676585648151</v>
      </c>
      <c r="C476">
        <v>992.02850341999999</v>
      </c>
      <c r="D476">
        <v>866.15380859000004</v>
      </c>
      <c r="E476">
        <v>2163.0637207</v>
      </c>
      <c r="F476">
        <v>1953.7568358999999</v>
      </c>
      <c r="G476">
        <v>80</v>
      </c>
      <c r="H476">
        <v>79.316390991000006</v>
      </c>
      <c r="I476">
        <v>50</v>
      </c>
      <c r="J476">
        <v>44.666690826</v>
      </c>
      <c r="K476">
        <v>0</v>
      </c>
      <c r="L476">
        <v>2400</v>
      </c>
      <c r="M476">
        <v>2400</v>
      </c>
      <c r="N476">
        <v>0</v>
      </c>
    </row>
    <row r="477" spans="1:14" x14ac:dyDescent="0.25">
      <c r="A477">
        <v>185.79624899999999</v>
      </c>
      <c r="B477" s="1">
        <f>DATE(2010,11,2) + TIME(19,6,35)</f>
        <v>40484.796238425923</v>
      </c>
      <c r="C477">
        <v>991.86138916000004</v>
      </c>
      <c r="D477">
        <v>865.97595215000001</v>
      </c>
      <c r="E477">
        <v>2157.59375</v>
      </c>
      <c r="F477">
        <v>1950.5661620999999</v>
      </c>
      <c r="G477">
        <v>80</v>
      </c>
      <c r="H477">
        <v>79.285545349000003</v>
      </c>
      <c r="I477">
        <v>50</v>
      </c>
      <c r="J477">
        <v>45.317451476999999</v>
      </c>
      <c r="K477">
        <v>0</v>
      </c>
      <c r="L477">
        <v>2400</v>
      </c>
      <c r="M477">
        <v>2400</v>
      </c>
      <c r="N477">
        <v>0</v>
      </c>
    </row>
    <row r="478" spans="1:14" x14ac:dyDescent="0.25">
      <c r="A478">
        <v>185.91788700000001</v>
      </c>
      <c r="B478" s="1">
        <f>DATE(2010,11,2) + TIME(22,1,45)</f>
        <v>40484.917881944442</v>
      </c>
      <c r="C478">
        <v>991.72296143000005</v>
      </c>
      <c r="D478">
        <v>865.82659911999997</v>
      </c>
      <c r="E478">
        <v>2152.5996094000002</v>
      </c>
      <c r="F478">
        <v>1947.5609131000001</v>
      </c>
      <c r="G478">
        <v>80</v>
      </c>
      <c r="H478">
        <v>79.254402161000002</v>
      </c>
      <c r="I478">
        <v>50</v>
      </c>
      <c r="J478">
        <v>45.896125793000003</v>
      </c>
      <c r="K478">
        <v>0</v>
      </c>
      <c r="L478">
        <v>2400</v>
      </c>
      <c r="M478">
        <v>2400</v>
      </c>
      <c r="N478">
        <v>0</v>
      </c>
    </row>
    <row r="479" spans="1:14" x14ac:dyDescent="0.25">
      <c r="A479">
        <v>186.042046</v>
      </c>
      <c r="B479" s="1">
        <f>DATE(2010,11,3) + TIME(1,0,32)</f>
        <v>40485.042037037034</v>
      </c>
      <c r="C479">
        <v>991.60552978999999</v>
      </c>
      <c r="D479">
        <v>865.69805908000001</v>
      </c>
      <c r="E479">
        <v>2148.0083008000001</v>
      </c>
      <c r="F479">
        <v>1944.7113036999999</v>
      </c>
      <c r="G479">
        <v>80</v>
      </c>
      <c r="H479">
        <v>79.222846985000004</v>
      </c>
      <c r="I479">
        <v>50</v>
      </c>
      <c r="J479">
        <v>46.411342621000003</v>
      </c>
      <c r="K479">
        <v>0</v>
      </c>
      <c r="L479">
        <v>2400</v>
      </c>
      <c r="M479">
        <v>2400</v>
      </c>
      <c r="N479">
        <v>0</v>
      </c>
    </row>
    <row r="480" spans="1:14" x14ac:dyDescent="0.25">
      <c r="A480">
        <v>186.169265</v>
      </c>
      <c r="B480" s="1">
        <f>DATE(2010,11,3) + TIME(4,3,44)</f>
        <v>40485.169259259259</v>
      </c>
      <c r="C480">
        <v>991.50354003999996</v>
      </c>
      <c r="D480">
        <v>865.58477783000001</v>
      </c>
      <c r="E480">
        <v>2143.7619629000001</v>
      </c>
      <c r="F480">
        <v>1941.9934082</v>
      </c>
      <c r="G480">
        <v>80</v>
      </c>
      <c r="H480">
        <v>79.190750121999997</v>
      </c>
      <c r="I480">
        <v>50</v>
      </c>
      <c r="J480">
        <v>46.870307922000002</v>
      </c>
      <c r="K480">
        <v>0</v>
      </c>
      <c r="L480">
        <v>2400</v>
      </c>
      <c r="M480">
        <v>2400</v>
      </c>
      <c r="N480">
        <v>0</v>
      </c>
    </row>
    <row r="481" spans="1:14" x14ac:dyDescent="0.25">
      <c r="A481">
        <v>186.30009699999999</v>
      </c>
      <c r="B481" s="1">
        <f>DATE(2010,11,3) + TIME(7,12,8)</f>
        <v>40485.300092592595</v>
      </c>
      <c r="C481">
        <v>991.41278076000003</v>
      </c>
      <c r="D481">
        <v>865.48248291000004</v>
      </c>
      <c r="E481">
        <v>2139.8110351999999</v>
      </c>
      <c r="F481">
        <v>1939.3858643000001</v>
      </c>
      <c r="G481">
        <v>80</v>
      </c>
      <c r="H481">
        <v>79.157997131000002</v>
      </c>
      <c r="I481">
        <v>50</v>
      </c>
      <c r="J481">
        <v>47.279094696000001</v>
      </c>
      <c r="K481">
        <v>0</v>
      </c>
      <c r="L481">
        <v>2400</v>
      </c>
      <c r="M481">
        <v>2400</v>
      </c>
      <c r="N481">
        <v>0</v>
      </c>
    </row>
    <row r="482" spans="1:14" x14ac:dyDescent="0.25">
      <c r="A482">
        <v>186.435126</v>
      </c>
      <c r="B482" s="1">
        <f>DATE(2010,11,3) + TIME(10,26,34)</f>
        <v>40485.435115740744</v>
      </c>
      <c r="C482">
        <v>991.33007812000005</v>
      </c>
      <c r="D482">
        <v>865.38793944999998</v>
      </c>
      <c r="E482">
        <v>2136.1145019999999</v>
      </c>
      <c r="F482">
        <v>1936.8706055</v>
      </c>
      <c r="G482">
        <v>80</v>
      </c>
      <c r="H482">
        <v>79.124465942</v>
      </c>
      <c r="I482">
        <v>50</v>
      </c>
      <c r="J482">
        <v>47.642887115000001</v>
      </c>
      <c r="K482">
        <v>0</v>
      </c>
      <c r="L482">
        <v>2400</v>
      </c>
      <c r="M482">
        <v>2400</v>
      </c>
      <c r="N482">
        <v>0</v>
      </c>
    </row>
    <row r="483" spans="1:14" x14ac:dyDescent="0.25">
      <c r="A483">
        <v>186.575007</v>
      </c>
      <c r="B483" s="1">
        <f>DATE(2010,11,3) + TIME(13,48,0)</f>
        <v>40485.574999999997</v>
      </c>
      <c r="C483">
        <v>991.25299071999996</v>
      </c>
      <c r="D483">
        <v>865.29864501999998</v>
      </c>
      <c r="E483">
        <v>2132.6369629000001</v>
      </c>
      <c r="F483">
        <v>1934.4316406</v>
      </c>
      <c r="G483">
        <v>80</v>
      </c>
      <c r="H483">
        <v>79.090003967000001</v>
      </c>
      <c r="I483">
        <v>50</v>
      </c>
      <c r="J483">
        <v>47.966228485000002</v>
      </c>
      <c r="K483">
        <v>0</v>
      </c>
      <c r="L483">
        <v>2400</v>
      </c>
      <c r="M483">
        <v>2400</v>
      </c>
      <c r="N483">
        <v>0</v>
      </c>
    </row>
    <row r="484" spans="1:14" x14ac:dyDescent="0.25">
      <c r="A484">
        <v>186.72044</v>
      </c>
      <c r="B484" s="1">
        <f>DATE(2010,11,3) + TIME(17,17,25)</f>
        <v>40485.72042824074</v>
      </c>
      <c r="C484">
        <v>991.17944336000005</v>
      </c>
      <c r="D484">
        <v>865.21258545000001</v>
      </c>
      <c r="E484">
        <v>2129.3474120999999</v>
      </c>
      <c r="F484">
        <v>1932.0544434000001</v>
      </c>
      <c r="G484">
        <v>80</v>
      </c>
      <c r="H484">
        <v>79.054473877000007</v>
      </c>
      <c r="I484">
        <v>50</v>
      </c>
      <c r="J484">
        <v>48.253028870000001</v>
      </c>
      <c r="K484">
        <v>0</v>
      </c>
      <c r="L484">
        <v>2400</v>
      </c>
      <c r="M484">
        <v>2400</v>
      </c>
      <c r="N484">
        <v>0</v>
      </c>
    </row>
    <row r="485" spans="1:14" x14ac:dyDescent="0.25">
      <c r="A485">
        <v>186.872241</v>
      </c>
      <c r="B485" s="1">
        <f>DATE(2010,11,3) + TIME(20,56,1)</f>
        <v>40485.872233796297</v>
      </c>
      <c r="C485">
        <v>991.10784911999997</v>
      </c>
      <c r="D485">
        <v>865.12799071999996</v>
      </c>
      <c r="E485">
        <v>2126.21875</v>
      </c>
      <c r="F485">
        <v>1929.7258300999999</v>
      </c>
      <c r="G485">
        <v>80</v>
      </c>
      <c r="H485">
        <v>79.017707825000002</v>
      </c>
      <c r="I485">
        <v>50</v>
      </c>
      <c r="J485">
        <v>48.506786345999998</v>
      </c>
      <c r="K485">
        <v>0</v>
      </c>
      <c r="L485">
        <v>2400</v>
      </c>
      <c r="M485">
        <v>2400</v>
      </c>
      <c r="N485">
        <v>0</v>
      </c>
    </row>
    <row r="486" spans="1:14" x14ac:dyDescent="0.25">
      <c r="A486">
        <v>187.03133700000001</v>
      </c>
      <c r="B486" s="1">
        <f>DATE(2010,11,4) + TIME(0,45,7)</f>
        <v>40486.031331018516</v>
      </c>
      <c r="C486">
        <v>991.03686522999999</v>
      </c>
      <c r="D486">
        <v>865.04345703000001</v>
      </c>
      <c r="E486">
        <v>2123.2263183999999</v>
      </c>
      <c r="F486">
        <v>1927.4333495999999</v>
      </c>
      <c r="G486">
        <v>80</v>
      </c>
      <c r="H486">
        <v>78.979522704999994</v>
      </c>
      <c r="I486">
        <v>50</v>
      </c>
      <c r="J486">
        <v>48.730598450000002</v>
      </c>
      <c r="K486">
        <v>0</v>
      </c>
      <c r="L486">
        <v>2400</v>
      </c>
      <c r="M486">
        <v>2400</v>
      </c>
      <c r="N486">
        <v>0</v>
      </c>
    </row>
    <row r="487" spans="1:14" x14ac:dyDescent="0.25">
      <c r="A487">
        <v>187.198723</v>
      </c>
      <c r="B487" s="1">
        <f>DATE(2010,11,4) + TIME(4,46,9)</f>
        <v>40486.19871527778</v>
      </c>
      <c r="C487">
        <v>990.96520996000004</v>
      </c>
      <c r="D487">
        <v>864.95776366999996</v>
      </c>
      <c r="E487">
        <v>2120.3483887000002</v>
      </c>
      <c r="F487">
        <v>1925.1654053</v>
      </c>
      <c r="G487">
        <v>80</v>
      </c>
      <c r="H487">
        <v>78.939712524000001</v>
      </c>
      <c r="I487">
        <v>50</v>
      </c>
      <c r="J487">
        <v>48.927158356</v>
      </c>
      <c r="K487">
        <v>0</v>
      </c>
      <c r="L487">
        <v>2400</v>
      </c>
      <c r="M487">
        <v>2400</v>
      </c>
      <c r="N487">
        <v>0</v>
      </c>
    </row>
    <row r="488" spans="1:14" x14ac:dyDescent="0.25">
      <c r="A488">
        <v>187.375652</v>
      </c>
      <c r="B488" s="1">
        <f>DATE(2010,11,4) + TIME(9,0,56)</f>
        <v>40486.375648148147</v>
      </c>
      <c r="C488">
        <v>990.89184569999998</v>
      </c>
      <c r="D488">
        <v>864.86968993999994</v>
      </c>
      <c r="E488">
        <v>2117.5644530999998</v>
      </c>
      <c r="F488">
        <v>1922.9110106999999</v>
      </c>
      <c r="G488">
        <v>80</v>
      </c>
      <c r="H488">
        <v>78.898040770999998</v>
      </c>
      <c r="I488">
        <v>50</v>
      </c>
      <c r="J488">
        <v>49.098987579000003</v>
      </c>
      <c r="K488">
        <v>0</v>
      </c>
      <c r="L488">
        <v>2400</v>
      </c>
      <c r="M488">
        <v>2400</v>
      </c>
      <c r="N488">
        <v>0</v>
      </c>
    </row>
    <row r="489" spans="1:14" x14ac:dyDescent="0.25">
      <c r="A489">
        <v>187.56361200000001</v>
      </c>
      <c r="B489" s="1">
        <f>DATE(2010,11,4) + TIME(13,31,36)</f>
        <v>40486.563611111109</v>
      </c>
      <c r="C489">
        <v>990.81579590000001</v>
      </c>
      <c r="D489">
        <v>864.77813720999995</v>
      </c>
      <c r="E489">
        <v>2114.8547362999998</v>
      </c>
      <c r="F489">
        <v>1920.6585693</v>
      </c>
      <c r="G489">
        <v>80</v>
      </c>
      <c r="H489">
        <v>78.854217528999996</v>
      </c>
      <c r="I489">
        <v>50</v>
      </c>
      <c r="J489">
        <v>49.248386383000003</v>
      </c>
      <c r="K489">
        <v>0</v>
      </c>
      <c r="L489">
        <v>2400</v>
      </c>
      <c r="M489">
        <v>2400</v>
      </c>
      <c r="N489">
        <v>0</v>
      </c>
    </row>
    <row r="490" spans="1:14" x14ac:dyDescent="0.25">
      <c r="A490">
        <v>187.76440600000001</v>
      </c>
      <c r="B490" s="1">
        <f>DATE(2010,11,4) + TIME(18,20,44)</f>
        <v>40486.764398148145</v>
      </c>
      <c r="C490">
        <v>990.73602295000001</v>
      </c>
      <c r="D490">
        <v>864.68200683999999</v>
      </c>
      <c r="E490">
        <v>2112.1997070000002</v>
      </c>
      <c r="F490">
        <v>1918.3961182</v>
      </c>
      <c r="G490">
        <v>80</v>
      </c>
      <c r="H490">
        <v>78.807899474999999</v>
      </c>
      <c r="I490">
        <v>50</v>
      </c>
      <c r="J490">
        <v>49.377445221000002</v>
      </c>
      <c r="K490">
        <v>0</v>
      </c>
      <c r="L490">
        <v>2400</v>
      </c>
      <c r="M490">
        <v>2400</v>
      </c>
      <c r="N490">
        <v>0</v>
      </c>
    </row>
    <row r="491" spans="1:14" x14ac:dyDescent="0.25">
      <c r="A491">
        <v>187.97891300000001</v>
      </c>
      <c r="B491" s="1">
        <f>DATE(2010,11,4) + TIME(23,29,38)</f>
        <v>40486.978912037041</v>
      </c>
      <c r="C491">
        <v>990.65136718999997</v>
      </c>
      <c r="D491">
        <v>864.58013916000004</v>
      </c>
      <c r="E491">
        <v>2109.5827637000002</v>
      </c>
      <c r="F491">
        <v>1916.1118164</v>
      </c>
      <c r="G491">
        <v>80</v>
      </c>
      <c r="H491">
        <v>78.758926392000006</v>
      </c>
      <c r="I491">
        <v>50</v>
      </c>
      <c r="J491">
        <v>49.487541198999999</v>
      </c>
      <c r="K491">
        <v>0</v>
      </c>
      <c r="L491">
        <v>2400</v>
      </c>
      <c r="M491">
        <v>2400</v>
      </c>
      <c r="N491">
        <v>0</v>
      </c>
    </row>
    <row r="492" spans="1:14" x14ac:dyDescent="0.25">
      <c r="A492">
        <v>188.20682600000001</v>
      </c>
      <c r="B492" s="1">
        <f>DATE(2010,11,5) + TIME(4,57,49)</f>
        <v>40487.206817129627</v>
      </c>
      <c r="C492">
        <v>990.56109618999994</v>
      </c>
      <c r="D492">
        <v>864.47198486000002</v>
      </c>
      <c r="E492">
        <v>2107</v>
      </c>
      <c r="F492">
        <v>1913.8059082</v>
      </c>
      <c r="G492">
        <v>80</v>
      </c>
      <c r="H492">
        <v>78.707328795999999</v>
      </c>
      <c r="I492">
        <v>50</v>
      </c>
      <c r="J492">
        <v>49.579845427999999</v>
      </c>
      <c r="K492">
        <v>0</v>
      </c>
      <c r="L492">
        <v>2400</v>
      </c>
      <c r="M492">
        <v>2400</v>
      </c>
      <c r="N492">
        <v>0</v>
      </c>
    </row>
    <row r="493" spans="1:14" x14ac:dyDescent="0.25">
      <c r="A493">
        <v>188.45044999999999</v>
      </c>
      <c r="B493" s="1">
        <f>DATE(2010,11,5) + TIME(10,48,38)</f>
        <v>40487.450439814813</v>
      </c>
      <c r="C493">
        <v>990.46527100000003</v>
      </c>
      <c r="D493">
        <v>864.35711670000001</v>
      </c>
      <c r="E493">
        <v>2104.4533691000001</v>
      </c>
      <c r="F493">
        <v>1911.4881591999999</v>
      </c>
      <c r="G493">
        <v>80</v>
      </c>
      <c r="H493">
        <v>78.652702332000004</v>
      </c>
      <c r="I493">
        <v>50</v>
      </c>
      <c r="J493">
        <v>49.656650542999998</v>
      </c>
      <c r="K493">
        <v>0</v>
      </c>
      <c r="L493">
        <v>2400</v>
      </c>
      <c r="M493">
        <v>2400</v>
      </c>
      <c r="N493">
        <v>0</v>
      </c>
    </row>
    <row r="494" spans="1:14" x14ac:dyDescent="0.25">
      <c r="A494">
        <v>188.69834299999999</v>
      </c>
      <c r="B494" s="1">
        <f>DATE(2010,11,5) + TIME(16,45,36)</f>
        <v>40487.698333333334</v>
      </c>
      <c r="C494">
        <v>990.36206055000002</v>
      </c>
      <c r="D494">
        <v>864.23571776999995</v>
      </c>
      <c r="E494">
        <v>2101.9375</v>
      </c>
      <c r="F494">
        <v>1909.1511230000001</v>
      </c>
      <c r="G494">
        <v>80</v>
      </c>
      <c r="H494">
        <v>78.596984863000003</v>
      </c>
      <c r="I494">
        <v>50</v>
      </c>
      <c r="J494">
        <v>49.717296599999997</v>
      </c>
      <c r="K494">
        <v>0</v>
      </c>
      <c r="L494">
        <v>2400</v>
      </c>
      <c r="M494">
        <v>2400</v>
      </c>
      <c r="N494">
        <v>0</v>
      </c>
    </row>
    <row r="495" spans="1:14" x14ac:dyDescent="0.25">
      <c r="A495">
        <v>188.94777199999999</v>
      </c>
      <c r="B495" s="1">
        <f>DATE(2010,11,5) + TIME(22,44,47)</f>
        <v>40487.947766203702</v>
      </c>
      <c r="C495">
        <v>990.25640868999994</v>
      </c>
      <c r="D495">
        <v>864.11175536999997</v>
      </c>
      <c r="E495">
        <v>2099.5458984000002</v>
      </c>
      <c r="F495">
        <v>1906.8979492000001</v>
      </c>
      <c r="G495">
        <v>80</v>
      </c>
      <c r="H495">
        <v>78.540740967000005</v>
      </c>
      <c r="I495">
        <v>50</v>
      </c>
      <c r="J495">
        <v>49.764644623000002</v>
      </c>
      <c r="K495">
        <v>0</v>
      </c>
      <c r="L495">
        <v>2400</v>
      </c>
      <c r="M495">
        <v>2400</v>
      </c>
      <c r="N495">
        <v>0</v>
      </c>
    </row>
    <row r="496" spans="1:14" x14ac:dyDescent="0.25">
      <c r="A496">
        <v>189.20005699999999</v>
      </c>
      <c r="B496" s="1">
        <f>DATE(2010,11,6) + TIME(4,48,4)</f>
        <v>40488.200046296297</v>
      </c>
      <c r="C496">
        <v>990.14978026999995</v>
      </c>
      <c r="D496">
        <v>863.98620604999996</v>
      </c>
      <c r="E496">
        <v>2097.2856445000002</v>
      </c>
      <c r="F496">
        <v>1904.7451172000001</v>
      </c>
      <c r="G496">
        <v>80</v>
      </c>
      <c r="H496">
        <v>78.483863830999994</v>
      </c>
      <c r="I496">
        <v>50</v>
      </c>
      <c r="J496">
        <v>49.801757811999998</v>
      </c>
      <c r="K496">
        <v>0</v>
      </c>
      <c r="L496">
        <v>2400</v>
      </c>
      <c r="M496">
        <v>2400</v>
      </c>
      <c r="N496">
        <v>0</v>
      </c>
    </row>
    <row r="497" spans="1:14" x14ac:dyDescent="0.25">
      <c r="A497">
        <v>189.456446</v>
      </c>
      <c r="B497" s="1">
        <f>DATE(2010,11,6) + TIME(10,57,16)</f>
        <v>40488.456435185188</v>
      </c>
      <c r="C497">
        <v>990.04180908000001</v>
      </c>
      <c r="D497">
        <v>863.85882568</v>
      </c>
      <c r="E497">
        <v>2095.1303711</v>
      </c>
      <c r="F497">
        <v>1902.6734618999999</v>
      </c>
      <c r="G497">
        <v>80</v>
      </c>
      <c r="H497">
        <v>78.426208496000001</v>
      </c>
      <c r="I497">
        <v>50</v>
      </c>
      <c r="J497">
        <v>49.830932617000002</v>
      </c>
      <c r="K497">
        <v>0</v>
      </c>
      <c r="L497">
        <v>2400</v>
      </c>
      <c r="M497">
        <v>2400</v>
      </c>
      <c r="N497">
        <v>0</v>
      </c>
    </row>
    <row r="498" spans="1:14" x14ac:dyDescent="0.25">
      <c r="A498">
        <v>189.71815900000001</v>
      </c>
      <c r="B498" s="1">
        <f>DATE(2010,11,6) + TIME(17,14,8)</f>
        <v>40488.718148148146</v>
      </c>
      <c r="C498">
        <v>989.93194579999999</v>
      </c>
      <c r="D498">
        <v>863.72906493999994</v>
      </c>
      <c r="E498">
        <v>2093.0590820000002</v>
      </c>
      <c r="F498">
        <v>1900.6673584</v>
      </c>
      <c r="G498">
        <v>80</v>
      </c>
      <c r="H498">
        <v>78.367599487000007</v>
      </c>
      <c r="I498">
        <v>50</v>
      </c>
      <c r="J498">
        <v>49.853904724000003</v>
      </c>
      <c r="K498">
        <v>0</v>
      </c>
      <c r="L498">
        <v>2400</v>
      </c>
      <c r="M498">
        <v>2400</v>
      </c>
      <c r="N498">
        <v>0</v>
      </c>
    </row>
    <row r="499" spans="1:14" x14ac:dyDescent="0.25">
      <c r="A499">
        <v>189.98629199999999</v>
      </c>
      <c r="B499" s="1">
        <f>DATE(2010,11,6) + TIME(23,40,15)</f>
        <v>40488.986284722225</v>
      </c>
      <c r="C499">
        <v>989.81970215000001</v>
      </c>
      <c r="D499">
        <v>863.59631348000005</v>
      </c>
      <c r="E499">
        <v>2091.0544433999999</v>
      </c>
      <c r="F499">
        <v>1898.7133789</v>
      </c>
      <c r="G499">
        <v>80</v>
      </c>
      <c r="H499">
        <v>78.307884216000005</v>
      </c>
      <c r="I499">
        <v>50</v>
      </c>
      <c r="J499">
        <v>49.871997833000002</v>
      </c>
      <c r="K499">
        <v>0</v>
      </c>
      <c r="L499">
        <v>2400</v>
      </c>
      <c r="M499">
        <v>2400</v>
      </c>
      <c r="N499">
        <v>0</v>
      </c>
    </row>
    <row r="500" spans="1:14" x14ac:dyDescent="0.25">
      <c r="A500">
        <v>190.26207299999999</v>
      </c>
      <c r="B500" s="1">
        <f>DATE(2010,11,7) + TIME(6,17,23)</f>
        <v>40489.262071759258</v>
      </c>
      <c r="C500">
        <v>989.70446776999995</v>
      </c>
      <c r="D500">
        <v>863.46008300999995</v>
      </c>
      <c r="E500">
        <v>2089.1027832</v>
      </c>
      <c r="F500">
        <v>1896.8011475000001</v>
      </c>
      <c r="G500">
        <v>80</v>
      </c>
      <c r="H500">
        <v>78.246864318999997</v>
      </c>
      <c r="I500">
        <v>50</v>
      </c>
      <c r="J500">
        <v>49.886257172000001</v>
      </c>
      <c r="K500">
        <v>0</v>
      </c>
      <c r="L500">
        <v>2400</v>
      </c>
      <c r="M500">
        <v>2400</v>
      </c>
      <c r="N500">
        <v>0</v>
      </c>
    </row>
    <row r="501" spans="1:14" x14ac:dyDescent="0.25">
      <c r="A501">
        <v>190.546931</v>
      </c>
      <c r="B501" s="1">
        <f>DATE(2010,11,7) + TIME(13,7,34)</f>
        <v>40489.5469212963</v>
      </c>
      <c r="C501">
        <v>989.58581543000003</v>
      </c>
      <c r="D501">
        <v>863.31970215000001</v>
      </c>
      <c r="E501">
        <v>2087.1923827999999</v>
      </c>
      <c r="F501">
        <v>1894.9210204999999</v>
      </c>
      <c r="G501">
        <v>80</v>
      </c>
      <c r="H501">
        <v>78.184303283999995</v>
      </c>
      <c r="I501">
        <v>50</v>
      </c>
      <c r="J501">
        <v>49.897491455000001</v>
      </c>
      <c r="K501">
        <v>0</v>
      </c>
      <c r="L501">
        <v>2400</v>
      </c>
      <c r="M501">
        <v>2400</v>
      </c>
      <c r="N501">
        <v>0</v>
      </c>
    </row>
    <row r="502" spans="1:14" x14ac:dyDescent="0.25">
      <c r="A502">
        <v>190.84245200000001</v>
      </c>
      <c r="B502" s="1">
        <f>DATE(2010,11,7) + TIME(20,13,7)</f>
        <v>40489.842442129629</v>
      </c>
      <c r="C502">
        <v>989.46301270000004</v>
      </c>
      <c r="D502">
        <v>863.17456055000002</v>
      </c>
      <c r="E502">
        <v>2085.3115234000002</v>
      </c>
      <c r="F502">
        <v>1893.0635986</v>
      </c>
      <c r="G502">
        <v>80</v>
      </c>
      <c r="H502">
        <v>78.119926453000005</v>
      </c>
      <c r="I502">
        <v>50</v>
      </c>
      <c r="J502">
        <v>49.906345367</v>
      </c>
      <c r="K502">
        <v>0</v>
      </c>
      <c r="L502">
        <v>2400</v>
      </c>
      <c r="M502">
        <v>2400</v>
      </c>
      <c r="N502">
        <v>0</v>
      </c>
    </row>
    <row r="503" spans="1:14" x14ac:dyDescent="0.25">
      <c r="A503">
        <v>191.150431</v>
      </c>
      <c r="B503" s="1">
        <f>DATE(2010,11,8) + TIME(3,36,37)</f>
        <v>40490.15042824074</v>
      </c>
      <c r="C503">
        <v>989.33538818</v>
      </c>
      <c r="D503">
        <v>863.02374268000005</v>
      </c>
      <c r="E503">
        <v>2083.4497070000002</v>
      </c>
      <c r="F503">
        <v>1891.2197266000001</v>
      </c>
      <c r="G503">
        <v>80</v>
      </c>
      <c r="H503">
        <v>78.053436278999996</v>
      </c>
      <c r="I503">
        <v>50</v>
      </c>
      <c r="J503">
        <v>49.913318633999999</v>
      </c>
      <c r="K503">
        <v>0</v>
      </c>
      <c r="L503">
        <v>2400</v>
      </c>
      <c r="M503">
        <v>2400</v>
      </c>
      <c r="N503">
        <v>0</v>
      </c>
    </row>
    <row r="504" spans="1:14" x14ac:dyDescent="0.25">
      <c r="A504">
        <v>191.47294299999999</v>
      </c>
      <c r="B504" s="1">
        <f>DATE(2010,11,8) + TIME(11,21,2)</f>
        <v>40490.472939814812</v>
      </c>
      <c r="C504">
        <v>989.20208739999998</v>
      </c>
      <c r="D504">
        <v>862.86627196999996</v>
      </c>
      <c r="E504">
        <v>2081.5971679999998</v>
      </c>
      <c r="F504">
        <v>1889.3809814000001</v>
      </c>
      <c r="G504">
        <v>80</v>
      </c>
      <c r="H504">
        <v>77.984458923000005</v>
      </c>
      <c r="I504">
        <v>50</v>
      </c>
      <c r="J504">
        <v>49.918811798</v>
      </c>
      <c r="K504">
        <v>0</v>
      </c>
      <c r="L504">
        <v>2400</v>
      </c>
      <c r="M504">
        <v>2400</v>
      </c>
      <c r="N504">
        <v>0</v>
      </c>
    </row>
    <row r="505" spans="1:14" x14ac:dyDescent="0.25">
      <c r="A505">
        <v>191.812433</v>
      </c>
      <c r="B505" s="1">
        <f>DATE(2010,11,8) + TIME(19,29,54)</f>
        <v>40490.812430555554</v>
      </c>
      <c r="C505">
        <v>989.06225586000005</v>
      </c>
      <c r="D505">
        <v>862.70123291000004</v>
      </c>
      <c r="E505">
        <v>2079.7443847999998</v>
      </c>
      <c r="F505">
        <v>1887.5389404</v>
      </c>
      <c r="G505">
        <v>80</v>
      </c>
      <c r="H505">
        <v>77.912590026999993</v>
      </c>
      <c r="I505">
        <v>50</v>
      </c>
      <c r="J505">
        <v>49.923141479000002</v>
      </c>
      <c r="K505">
        <v>0</v>
      </c>
      <c r="L505">
        <v>2400</v>
      </c>
      <c r="M505">
        <v>2400</v>
      </c>
      <c r="N505">
        <v>0</v>
      </c>
    </row>
    <row r="506" spans="1:14" x14ac:dyDescent="0.25">
      <c r="A506">
        <v>192.168048</v>
      </c>
      <c r="B506" s="1">
        <f>DATE(2010,11,9) + TIME(4,1,59)</f>
        <v>40491.168043981481</v>
      </c>
      <c r="C506">
        <v>988.91455078000001</v>
      </c>
      <c r="D506">
        <v>862.52752685999997</v>
      </c>
      <c r="E506">
        <v>2077.8820801000002</v>
      </c>
      <c r="F506">
        <v>1885.6845702999999</v>
      </c>
      <c r="G506">
        <v>80</v>
      </c>
      <c r="H506">
        <v>77.837890625</v>
      </c>
      <c r="I506">
        <v>50</v>
      </c>
      <c r="J506">
        <v>49.926525116000001</v>
      </c>
      <c r="K506">
        <v>0</v>
      </c>
      <c r="L506">
        <v>2400</v>
      </c>
      <c r="M506">
        <v>2400</v>
      </c>
      <c r="N506">
        <v>0</v>
      </c>
    </row>
    <row r="507" spans="1:14" x14ac:dyDescent="0.25">
      <c r="A507">
        <v>192.54080300000001</v>
      </c>
      <c r="B507" s="1">
        <f>DATE(2010,11,9) + TIME(12,58,45)</f>
        <v>40491.540798611109</v>
      </c>
      <c r="C507">
        <v>988.75933838000003</v>
      </c>
      <c r="D507">
        <v>862.34527588000003</v>
      </c>
      <c r="E507">
        <v>2076.0190429999998</v>
      </c>
      <c r="F507">
        <v>1883.8275146000001</v>
      </c>
      <c r="G507">
        <v>80</v>
      </c>
      <c r="H507">
        <v>77.760185242000006</v>
      </c>
      <c r="I507">
        <v>50</v>
      </c>
      <c r="J507">
        <v>49.929172516000001</v>
      </c>
      <c r="K507">
        <v>0</v>
      </c>
      <c r="L507">
        <v>2400</v>
      </c>
      <c r="M507">
        <v>2400</v>
      </c>
      <c r="N507">
        <v>0</v>
      </c>
    </row>
    <row r="508" spans="1:14" x14ac:dyDescent="0.25">
      <c r="A508">
        <v>192.93358699999999</v>
      </c>
      <c r="B508" s="1">
        <f>DATE(2010,11,9) + TIME(22,24,21)</f>
        <v>40491.933576388888</v>
      </c>
      <c r="C508">
        <v>988.59625243999994</v>
      </c>
      <c r="D508">
        <v>862.15374756000006</v>
      </c>
      <c r="E508">
        <v>2074.1538086</v>
      </c>
      <c r="F508">
        <v>1881.9670410000001</v>
      </c>
      <c r="G508">
        <v>80</v>
      </c>
      <c r="H508">
        <v>77.679039001000007</v>
      </c>
      <c r="I508">
        <v>50</v>
      </c>
      <c r="J508">
        <v>49.931259154999999</v>
      </c>
      <c r="K508">
        <v>0</v>
      </c>
      <c r="L508">
        <v>2400</v>
      </c>
      <c r="M508">
        <v>2400</v>
      </c>
      <c r="N508">
        <v>0</v>
      </c>
    </row>
    <row r="509" spans="1:14" x14ac:dyDescent="0.25">
      <c r="A509">
        <v>193.33113900000001</v>
      </c>
      <c r="B509" s="1">
        <f>DATE(2010,11,10) + TIME(7,56,50)</f>
        <v>40492.331134259257</v>
      </c>
      <c r="C509">
        <v>988.42315673999997</v>
      </c>
      <c r="D509">
        <v>861.95300293000003</v>
      </c>
      <c r="E509">
        <v>2072.2788086</v>
      </c>
      <c r="F509">
        <v>1880.0955810999999</v>
      </c>
      <c r="G509">
        <v>80</v>
      </c>
      <c r="H509">
        <v>77.596504210999996</v>
      </c>
      <c r="I509">
        <v>50</v>
      </c>
      <c r="J509">
        <v>49.932846069</v>
      </c>
      <c r="K509">
        <v>0</v>
      </c>
      <c r="L509">
        <v>2400</v>
      </c>
      <c r="M509">
        <v>2400</v>
      </c>
      <c r="N509">
        <v>0</v>
      </c>
    </row>
    <row r="510" spans="1:14" x14ac:dyDescent="0.25">
      <c r="A510">
        <v>193.73182199999999</v>
      </c>
      <c r="B510" s="1">
        <f>DATE(2010,11,10) + TIME(17,33,49)</f>
        <v>40492.731817129628</v>
      </c>
      <c r="C510">
        <v>988.24719238</v>
      </c>
      <c r="D510">
        <v>861.74877930000002</v>
      </c>
      <c r="E510">
        <v>2070.4653320000002</v>
      </c>
      <c r="F510">
        <v>1878.2847899999999</v>
      </c>
      <c r="G510">
        <v>80</v>
      </c>
      <c r="H510">
        <v>77.513107300000001</v>
      </c>
      <c r="I510">
        <v>50</v>
      </c>
      <c r="J510">
        <v>49.934070587000001</v>
      </c>
      <c r="K510">
        <v>0</v>
      </c>
      <c r="L510">
        <v>2400</v>
      </c>
      <c r="M510">
        <v>2400</v>
      </c>
      <c r="N510">
        <v>0</v>
      </c>
    </row>
    <row r="511" spans="1:14" x14ac:dyDescent="0.25">
      <c r="A511">
        <v>194.13727</v>
      </c>
      <c r="B511" s="1">
        <f>DATE(2010,11,11) + TIME(3,17,40)</f>
        <v>40493.13726851852</v>
      </c>
      <c r="C511">
        <v>988.06939696999996</v>
      </c>
      <c r="D511">
        <v>861.54199218999997</v>
      </c>
      <c r="E511">
        <v>2068.7170409999999</v>
      </c>
      <c r="F511">
        <v>1876.5388184000001</v>
      </c>
      <c r="G511">
        <v>80</v>
      </c>
      <c r="H511">
        <v>77.428840636999993</v>
      </c>
      <c r="I511">
        <v>50</v>
      </c>
      <c r="J511">
        <v>49.935031891000001</v>
      </c>
      <c r="K511">
        <v>0</v>
      </c>
      <c r="L511">
        <v>2400</v>
      </c>
      <c r="M511">
        <v>2400</v>
      </c>
      <c r="N511">
        <v>0</v>
      </c>
    </row>
    <row r="512" spans="1:14" x14ac:dyDescent="0.25">
      <c r="A512">
        <v>194.549678</v>
      </c>
      <c r="B512" s="1">
        <f>DATE(2010,11,11) + TIME(13,11,32)</f>
        <v>40493.549675925926</v>
      </c>
      <c r="C512">
        <v>987.88928223000005</v>
      </c>
      <c r="D512">
        <v>861.33209228999999</v>
      </c>
      <c r="E512">
        <v>2067.0229491999999</v>
      </c>
      <c r="F512">
        <v>1874.8468018000001</v>
      </c>
      <c r="G512">
        <v>80</v>
      </c>
      <c r="H512">
        <v>77.343521117999998</v>
      </c>
      <c r="I512">
        <v>50</v>
      </c>
      <c r="J512">
        <v>49.935798644999998</v>
      </c>
      <c r="K512">
        <v>0</v>
      </c>
      <c r="L512">
        <v>2400</v>
      </c>
      <c r="M512">
        <v>2400</v>
      </c>
      <c r="N512">
        <v>0</v>
      </c>
    </row>
    <row r="513" spans="1:14" x14ac:dyDescent="0.25">
      <c r="A513">
        <v>194.971183</v>
      </c>
      <c r="B513" s="1">
        <f>DATE(2010,11,11) + TIME(23,18,30)</f>
        <v>40493.971180555556</v>
      </c>
      <c r="C513">
        <v>987.70581055000002</v>
      </c>
      <c r="D513">
        <v>861.11810303000004</v>
      </c>
      <c r="E513">
        <v>2065.3710937999999</v>
      </c>
      <c r="F513">
        <v>1873.1970214999999</v>
      </c>
      <c r="G513">
        <v>80</v>
      </c>
      <c r="H513">
        <v>77.256904602000006</v>
      </c>
      <c r="I513">
        <v>50</v>
      </c>
      <c r="J513">
        <v>49.936424254999999</v>
      </c>
      <c r="K513">
        <v>0</v>
      </c>
      <c r="L513">
        <v>2400</v>
      </c>
      <c r="M513">
        <v>2400</v>
      </c>
      <c r="N513">
        <v>0</v>
      </c>
    </row>
    <row r="514" spans="1:14" x14ac:dyDescent="0.25">
      <c r="A514">
        <v>195.40402700000001</v>
      </c>
      <c r="B514" s="1">
        <f>DATE(2010,11,12) + TIME(9,41,47)</f>
        <v>40494.404016203705</v>
      </c>
      <c r="C514">
        <v>987.51794433999999</v>
      </c>
      <c r="D514">
        <v>860.89886475000003</v>
      </c>
      <c r="E514">
        <v>2063.7517090000001</v>
      </c>
      <c r="F514">
        <v>1871.5794678</v>
      </c>
      <c r="G514">
        <v>80</v>
      </c>
      <c r="H514">
        <v>77.168685913000004</v>
      </c>
      <c r="I514">
        <v>50</v>
      </c>
      <c r="J514">
        <v>49.936943053999997</v>
      </c>
      <c r="K514">
        <v>0</v>
      </c>
      <c r="L514">
        <v>2400</v>
      </c>
      <c r="M514">
        <v>2400</v>
      </c>
      <c r="N514">
        <v>0</v>
      </c>
    </row>
    <row r="515" spans="1:14" x14ac:dyDescent="0.25">
      <c r="A515">
        <v>195.84921</v>
      </c>
      <c r="B515" s="1">
        <f>DATE(2010,11,12) + TIME(20,22,51)</f>
        <v>40494.84920138889</v>
      </c>
      <c r="C515">
        <v>987.32458496000004</v>
      </c>
      <c r="D515">
        <v>860.67346191000001</v>
      </c>
      <c r="E515">
        <v>2062.1555176000002</v>
      </c>
      <c r="F515">
        <v>1869.9851074000001</v>
      </c>
      <c r="G515">
        <v>80</v>
      </c>
      <c r="H515">
        <v>77.078666686999995</v>
      </c>
      <c r="I515">
        <v>50</v>
      </c>
      <c r="J515">
        <v>49.937374114999997</v>
      </c>
      <c r="K515">
        <v>0</v>
      </c>
      <c r="L515">
        <v>2400</v>
      </c>
      <c r="M515">
        <v>2400</v>
      </c>
      <c r="N515">
        <v>0</v>
      </c>
    </row>
    <row r="516" spans="1:14" x14ac:dyDescent="0.25">
      <c r="A516">
        <v>196.308886</v>
      </c>
      <c r="B516" s="1">
        <f>DATE(2010,11,13) + TIME(7,24,47)</f>
        <v>40495.308877314812</v>
      </c>
      <c r="C516">
        <v>987.12524413999995</v>
      </c>
      <c r="D516">
        <v>860.44110106999995</v>
      </c>
      <c r="E516">
        <v>2060.5788573999998</v>
      </c>
      <c r="F516">
        <v>1868.4106445</v>
      </c>
      <c r="G516">
        <v>80</v>
      </c>
      <c r="H516">
        <v>76.986541747999993</v>
      </c>
      <c r="I516">
        <v>50</v>
      </c>
      <c r="J516">
        <v>49.937740325999997</v>
      </c>
      <c r="K516">
        <v>0</v>
      </c>
      <c r="L516">
        <v>2400</v>
      </c>
      <c r="M516">
        <v>2400</v>
      </c>
      <c r="N516">
        <v>0</v>
      </c>
    </row>
    <row r="517" spans="1:14" x14ac:dyDescent="0.25">
      <c r="A517">
        <v>196.785752</v>
      </c>
      <c r="B517" s="1">
        <f>DATE(2010,11,13) + TIME(18,51,28)</f>
        <v>40495.785740740743</v>
      </c>
      <c r="C517">
        <v>986.91888428000004</v>
      </c>
      <c r="D517">
        <v>860.20068359000004</v>
      </c>
      <c r="E517">
        <v>2059.0153808999999</v>
      </c>
      <c r="F517">
        <v>1866.8491211</v>
      </c>
      <c r="G517">
        <v>80</v>
      </c>
      <c r="H517">
        <v>76.891883849999999</v>
      </c>
      <c r="I517">
        <v>50</v>
      </c>
      <c r="J517">
        <v>49.938053130999997</v>
      </c>
      <c r="K517">
        <v>0</v>
      </c>
      <c r="L517">
        <v>2400</v>
      </c>
      <c r="M517">
        <v>2400</v>
      </c>
      <c r="N517">
        <v>0</v>
      </c>
    </row>
    <row r="518" spans="1:14" x14ac:dyDescent="0.25">
      <c r="A518">
        <v>197.28287</v>
      </c>
      <c r="B518" s="1">
        <f>DATE(2010,11,14) + TIME(6,47,19)</f>
        <v>40496.282858796294</v>
      </c>
      <c r="C518">
        <v>986.70428466999999</v>
      </c>
      <c r="D518">
        <v>859.95068359000004</v>
      </c>
      <c r="E518">
        <v>2057.4572754000001</v>
      </c>
      <c r="F518">
        <v>1865.2932129000001</v>
      </c>
      <c r="G518">
        <v>80</v>
      </c>
      <c r="H518">
        <v>76.794227599999999</v>
      </c>
      <c r="I518">
        <v>50</v>
      </c>
      <c r="J518">
        <v>49.938327788999999</v>
      </c>
      <c r="K518">
        <v>0</v>
      </c>
      <c r="L518">
        <v>2400</v>
      </c>
      <c r="M518">
        <v>2400</v>
      </c>
      <c r="N518">
        <v>0</v>
      </c>
    </row>
    <row r="519" spans="1:14" x14ac:dyDescent="0.25">
      <c r="A519">
        <v>197.80380199999999</v>
      </c>
      <c r="B519" s="1">
        <f>DATE(2010,11,14) + TIME(19,17,28)</f>
        <v>40496.803796296299</v>
      </c>
      <c r="C519">
        <v>986.47998046999999</v>
      </c>
      <c r="D519">
        <v>859.68957520000004</v>
      </c>
      <c r="E519">
        <v>2055.8972168</v>
      </c>
      <c r="F519">
        <v>1863.7355957</v>
      </c>
      <c r="G519">
        <v>80</v>
      </c>
      <c r="H519">
        <v>76.693023682000003</v>
      </c>
      <c r="I519">
        <v>50</v>
      </c>
      <c r="J519">
        <v>49.938571930000002</v>
      </c>
      <c r="K519">
        <v>0</v>
      </c>
      <c r="L519">
        <v>2400</v>
      </c>
      <c r="M519">
        <v>2400</v>
      </c>
      <c r="N519">
        <v>0</v>
      </c>
    </row>
    <row r="520" spans="1:14" x14ac:dyDescent="0.25">
      <c r="A520">
        <v>198.342005</v>
      </c>
      <c r="B520" s="1">
        <f>DATE(2010,11,15) + TIME(8,12,29)</f>
        <v>40497.342002314814</v>
      </c>
      <c r="C520">
        <v>986.24377441000001</v>
      </c>
      <c r="D520">
        <v>859.41595458999996</v>
      </c>
      <c r="E520">
        <v>2054.3278808999999</v>
      </c>
      <c r="F520">
        <v>1862.1689452999999</v>
      </c>
      <c r="G520">
        <v>80</v>
      </c>
      <c r="H520">
        <v>76.588867187999995</v>
      </c>
      <c r="I520">
        <v>50</v>
      </c>
      <c r="J520">
        <v>49.938781738000003</v>
      </c>
      <c r="K520">
        <v>0</v>
      </c>
      <c r="L520">
        <v>2400</v>
      </c>
      <c r="M520">
        <v>2400</v>
      </c>
      <c r="N520">
        <v>0</v>
      </c>
    </row>
    <row r="521" spans="1:14" x14ac:dyDescent="0.25">
      <c r="A521">
        <v>198.88821100000001</v>
      </c>
      <c r="B521" s="1">
        <f>DATE(2010,11,15) + TIME(21,19,1)</f>
        <v>40497.888206018521</v>
      </c>
      <c r="C521">
        <v>985.99835204999999</v>
      </c>
      <c r="D521">
        <v>859.1328125</v>
      </c>
      <c r="E521">
        <v>2052.7712402000002</v>
      </c>
      <c r="F521">
        <v>1860.6152344</v>
      </c>
      <c r="G521">
        <v>80</v>
      </c>
      <c r="H521">
        <v>76.482955933</v>
      </c>
      <c r="I521">
        <v>50</v>
      </c>
      <c r="J521">
        <v>49.938961028999998</v>
      </c>
      <c r="K521">
        <v>0</v>
      </c>
      <c r="L521">
        <v>2400</v>
      </c>
      <c r="M521">
        <v>2400</v>
      </c>
      <c r="N521">
        <v>0</v>
      </c>
    </row>
    <row r="522" spans="1:14" x14ac:dyDescent="0.25">
      <c r="A522">
        <v>199.43731199999999</v>
      </c>
      <c r="B522" s="1">
        <f>DATE(2010,11,16) + TIME(10,29,43)</f>
        <v>40498.437303240738</v>
      </c>
      <c r="C522">
        <v>985.74816895000004</v>
      </c>
      <c r="D522">
        <v>858.84448241999996</v>
      </c>
      <c r="E522">
        <v>2051.2539062000001</v>
      </c>
      <c r="F522">
        <v>1859.1008300999999</v>
      </c>
      <c r="G522">
        <v>80</v>
      </c>
      <c r="H522">
        <v>76.376228333</v>
      </c>
      <c r="I522">
        <v>50</v>
      </c>
      <c r="J522">
        <v>49.939121245999999</v>
      </c>
      <c r="K522">
        <v>0</v>
      </c>
      <c r="L522">
        <v>2400</v>
      </c>
      <c r="M522">
        <v>2400</v>
      </c>
      <c r="N522">
        <v>0</v>
      </c>
    </row>
    <row r="523" spans="1:14" x14ac:dyDescent="0.25">
      <c r="A523">
        <v>199.992085</v>
      </c>
      <c r="B523" s="1">
        <f>DATE(2010,11,16) + TIME(23,48,36)</f>
        <v>40498.992083333331</v>
      </c>
      <c r="C523">
        <v>985.49591064000003</v>
      </c>
      <c r="D523">
        <v>858.55303954999999</v>
      </c>
      <c r="E523">
        <v>2049.7873534999999</v>
      </c>
      <c r="F523">
        <v>1857.6373291</v>
      </c>
      <c r="G523">
        <v>80</v>
      </c>
      <c r="H523">
        <v>76.268722534000005</v>
      </c>
      <c r="I523">
        <v>50</v>
      </c>
      <c r="J523">
        <v>49.939266205000003</v>
      </c>
      <c r="K523">
        <v>0</v>
      </c>
      <c r="L523">
        <v>2400</v>
      </c>
      <c r="M523">
        <v>2400</v>
      </c>
      <c r="N523">
        <v>0</v>
      </c>
    </row>
    <row r="524" spans="1:14" x14ac:dyDescent="0.25">
      <c r="A524">
        <v>200.55542</v>
      </c>
      <c r="B524" s="1">
        <f>DATE(2010,11,17) + TIME(13,19,48)</f>
        <v>40499.55541666667</v>
      </c>
      <c r="C524">
        <v>985.24041748000002</v>
      </c>
      <c r="D524">
        <v>858.25738524999997</v>
      </c>
      <c r="E524">
        <v>2048.3615722999998</v>
      </c>
      <c r="F524">
        <v>1856.2147216999999</v>
      </c>
      <c r="G524">
        <v>80</v>
      </c>
      <c r="H524">
        <v>76.160247803000004</v>
      </c>
      <c r="I524">
        <v>50</v>
      </c>
      <c r="J524">
        <v>49.939395904999998</v>
      </c>
      <c r="K524">
        <v>0</v>
      </c>
      <c r="L524">
        <v>2400</v>
      </c>
      <c r="M524">
        <v>2400</v>
      </c>
      <c r="N524">
        <v>0</v>
      </c>
    </row>
    <row r="525" spans="1:14" x14ac:dyDescent="0.25">
      <c r="A525">
        <v>201.12950000000001</v>
      </c>
      <c r="B525" s="1">
        <f>DATE(2010,11,18) + TIME(3,6,28)</f>
        <v>40500.129490740743</v>
      </c>
      <c r="C525">
        <v>984.98022461000005</v>
      </c>
      <c r="D525">
        <v>857.95623779000005</v>
      </c>
      <c r="E525">
        <v>2046.9674072</v>
      </c>
      <c r="F525">
        <v>1854.8239745999999</v>
      </c>
      <c r="G525">
        <v>80</v>
      </c>
      <c r="H525">
        <v>76.050567627000007</v>
      </c>
      <c r="I525">
        <v>50</v>
      </c>
      <c r="J525">
        <v>49.939517975000001</v>
      </c>
      <c r="K525">
        <v>0</v>
      </c>
      <c r="L525">
        <v>2400</v>
      </c>
      <c r="M525">
        <v>2400</v>
      </c>
      <c r="N525">
        <v>0</v>
      </c>
    </row>
    <row r="526" spans="1:14" x14ac:dyDescent="0.25">
      <c r="A526">
        <v>201.71723</v>
      </c>
      <c r="B526" s="1">
        <f>DATE(2010,11,18) + TIME(17,12,48)</f>
        <v>40500.717222222222</v>
      </c>
      <c r="C526">
        <v>984.71423340000001</v>
      </c>
      <c r="D526">
        <v>857.64831543000003</v>
      </c>
      <c r="E526">
        <v>2045.5983887</v>
      </c>
      <c r="F526">
        <v>1853.4584961</v>
      </c>
      <c r="G526">
        <v>80</v>
      </c>
      <c r="H526">
        <v>75.939292907999999</v>
      </c>
      <c r="I526">
        <v>50</v>
      </c>
      <c r="J526">
        <v>49.939632416000002</v>
      </c>
      <c r="K526">
        <v>0</v>
      </c>
      <c r="L526">
        <v>2400</v>
      </c>
      <c r="M526">
        <v>2400</v>
      </c>
      <c r="N526">
        <v>0</v>
      </c>
    </row>
    <row r="527" spans="1:14" x14ac:dyDescent="0.25">
      <c r="A527">
        <v>202.321789</v>
      </c>
      <c r="B527" s="1">
        <f>DATE(2010,11,19) + TIME(7,43,22)</f>
        <v>40501.321782407409</v>
      </c>
      <c r="C527">
        <v>984.44097899999997</v>
      </c>
      <c r="D527">
        <v>857.33197021000001</v>
      </c>
      <c r="E527">
        <v>2044.2474365</v>
      </c>
      <c r="F527">
        <v>1852.1112060999999</v>
      </c>
      <c r="G527">
        <v>80</v>
      </c>
      <c r="H527">
        <v>75.825981139999996</v>
      </c>
      <c r="I527">
        <v>50</v>
      </c>
      <c r="J527">
        <v>49.939743042000003</v>
      </c>
      <c r="K527">
        <v>0</v>
      </c>
      <c r="L527">
        <v>2400</v>
      </c>
      <c r="M527">
        <v>2400</v>
      </c>
      <c r="N527">
        <v>0</v>
      </c>
    </row>
    <row r="528" spans="1:14" x14ac:dyDescent="0.25">
      <c r="A528">
        <v>202.94668999999999</v>
      </c>
      <c r="B528" s="1">
        <f>DATE(2010,11,19) + TIME(22,43,14)</f>
        <v>40501.946689814817</v>
      </c>
      <c r="C528">
        <v>984.15881348000005</v>
      </c>
      <c r="D528">
        <v>857.00537109000004</v>
      </c>
      <c r="E528">
        <v>2042.9073486</v>
      </c>
      <c r="F528">
        <v>1850.7750243999999</v>
      </c>
      <c r="G528">
        <v>80</v>
      </c>
      <c r="H528">
        <v>75.710090636999993</v>
      </c>
      <c r="I528">
        <v>50</v>
      </c>
      <c r="J528">
        <v>49.939846039000003</v>
      </c>
      <c r="K528">
        <v>0</v>
      </c>
      <c r="L528">
        <v>2400</v>
      </c>
      <c r="M528">
        <v>2400</v>
      </c>
      <c r="N528">
        <v>0</v>
      </c>
    </row>
    <row r="529" spans="1:14" x14ac:dyDescent="0.25">
      <c r="A529">
        <v>203.59590399999999</v>
      </c>
      <c r="B529" s="1">
        <f>DATE(2010,11,20) + TIME(14,18,6)</f>
        <v>40502.595902777779</v>
      </c>
      <c r="C529">
        <v>983.86602783000001</v>
      </c>
      <c r="D529">
        <v>856.66650390999996</v>
      </c>
      <c r="E529">
        <v>2041.5717772999999</v>
      </c>
      <c r="F529">
        <v>1849.4436035000001</v>
      </c>
      <c r="G529">
        <v>80</v>
      </c>
      <c r="H529">
        <v>75.591033936000002</v>
      </c>
      <c r="I529">
        <v>50</v>
      </c>
      <c r="J529">
        <v>49.939949036000002</v>
      </c>
      <c r="K529">
        <v>0</v>
      </c>
      <c r="L529">
        <v>2400</v>
      </c>
      <c r="M529">
        <v>2400</v>
      </c>
      <c r="N529">
        <v>0</v>
      </c>
    </row>
    <row r="530" spans="1:14" x14ac:dyDescent="0.25">
      <c r="A530">
        <v>204.27402699999999</v>
      </c>
      <c r="B530" s="1">
        <f>DATE(2010,11,21) + TIME(6,34,35)</f>
        <v>40503.274016203701</v>
      </c>
      <c r="C530">
        <v>983.56048583999996</v>
      </c>
      <c r="D530">
        <v>856.31304932</v>
      </c>
      <c r="E530">
        <v>2040.2340088000001</v>
      </c>
      <c r="F530">
        <v>1848.1101074000001</v>
      </c>
      <c r="G530">
        <v>80</v>
      </c>
      <c r="H530">
        <v>75.468132018999995</v>
      </c>
      <c r="I530">
        <v>50</v>
      </c>
      <c r="J530">
        <v>49.940052031999997</v>
      </c>
      <c r="K530">
        <v>0</v>
      </c>
      <c r="L530">
        <v>2400</v>
      </c>
      <c r="M530">
        <v>2400</v>
      </c>
      <c r="N530">
        <v>0</v>
      </c>
    </row>
    <row r="531" spans="1:14" x14ac:dyDescent="0.25">
      <c r="A531">
        <v>204.98237499999999</v>
      </c>
      <c r="B531" s="1">
        <f>DATE(2010,11,21) + TIME(23,34,37)</f>
        <v>40503.982372685183</v>
      </c>
      <c r="C531">
        <v>983.23956298999997</v>
      </c>
      <c r="D531">
        <v>855.94226074000005</v>
      </c>
      <c r="E531">
        <v>2038.8869629000001</v>
      </c>
      <c r="F531">
        <v>1846.7677002</v>
      </c>
      <c r="G531">
        <v>80</v>
      </c>
      <c r="H531">
        <v>75.340988159000005</v>
      </c>
      <c r="I531">
        <v>50</v>
      </c>
      <c r="J531">
        <v>49.940151215</v>
      </c>
      <c r="K531">
        <v>0</v>
      </c>
      <c r="L531">
        <v>2400</v>
      </c>
      <c r="M531">
        <v>2400</v>
      </c>
      <c r="N531">
        <v>0</v>
      </c>
    </row>
    <row r="532" spans="1:14" x14ac:dyDescent="0.25">
      <c r="A532">
        <v>205.693839</v>
      </c>
      <c r="B532" s="1">
        <f>DATE(2010,11,22) + TIME(16,39,7)</f>
        <v>40504.693831018521</v>
      </c>
      <c r="C532">
        <v>982.90130614999998</v>
      </c>
      <c r="D532">
        <v>855.55450439000003</v>
      </c>
      <c r="E532">
        <v>2037.5316161999999</v>
      </c>
      <c r="F532">
        <v>1845.4172363</v>
      </c>
      <c r="G532">
        <v>80</v>
      </c>
      <c r="H532">
        <v>75.212074279999996</v>
      </c>
      <c r="I532">
        <v>50</v>
      </c>
      <c r="J532">
        <v>49.940246582</v>
      </c>
      <c r="K532">
        <v>0</v>
      </c>
      <c r="L532">
        <v>2400</v>
      </c>
      <c r="M532">
        <v>2400</v>
      </c>
      <c r="N532">
        <v>0</v>
      </c>
    </row>
    <row r="533" spans="1:14" x14ac:dyDescent="0.25">
      <c r="A533">
        <v>206.40926200000001</v>
      </c>
      <c r="B533" s="1">
        <f>DATE(2010,11,23) + TIME(9,49,20)</f>
        <v>40505.409259259257</v>
      </c>
      <c r="C533">
        <v>982.55944824000005</v>
      </c>
      <c r="D533">
        <v>855.16162109000004</v>
      </c>
      <c r="E533">
        <v>2036.2189940999999</v>
      </c>
      <c r="F533">
        <v>1844.1094971</v>
      </c>
      <c r="G533">
        <v>80</v>
      </c>
      <c r="H533">
        <v>75.082275390999996</v>
      </c>
      <c r="I533">
        <v>50</v>
      </c>
      <c r="J533">
        <v>49.940338134999998</v>
      </c>
      <c r="K533">
        <v>0</v>
      </c>
      <c r="L533">
        <v>2400</v>
      </c>
      <c r="M533">
        <v>2400</v>
      </c>
      <c r="N533">
        <v>0</v>
      </c>
    </row>
    <row r="534" spans="1:14" x14ac:dyDescent="0.25">
      <c r="A534">
        <v>207.132237</v>
      </c>
      <c r="B534" s="1">
        <f>DATE(2010,11,24) + TIME(3,10,25)</f>
        <v>40506.132233796299</v>
      </c>
      <c r="C534">
        <v>982.21417236000002</v>
      </c>
      <c r="D534">
        <v>854.76373291000004</v>
      </c>
      <c r="E534">
        <v>2034.9459228999999</v>
      </c>
      <c r="F534">
        <v>1842.8413086</v>
      </c>
      <c r="G534">
        <v>80</v>
      </c>
      <c r="H534">
        <v>74.951660156000003</v>
      </c>
      <c r="I534">
        <v>50</v>
      </c>
      <c r="J534">
        <v>49.940429688000002</v>
      </c>
      <c r="K534">
        <v>0</v>
      </c>
      <c r="L534">
        <v>2400</v>
      </c>
      <c r="M534">
        <v>2400</v>
      </c>
      <c r="N534">
        <v>0</v>
      </c>
    </row>
    <row r="535" spans="1:14" x14ac:dyDescent="0.25">
      <c r="A535">
        <v>207.865872</v>
      </c>
      <c r="B535" s="1">
        <f>DATE(2010,11,24) + TIME(20,46,51)</f>
        <v>40506.865868055553</v>
      </c>
      <c r="C535">
        <v>981.86352538999995</v>
      </c>
      <c r="D535">
        <v>854.35925293000003</v>
      </c>
      <c r="E535">
        <v>2033.7041016000001</v>
      </c>
      <c r="F535">
        <v>1841.6044922000001</v>
      </c>
      <c r="G535">
        <v>80</v>
      </c>
      <c r="H535">
        <v>74.820007324000002</v>
      </c>
      <c r="I535">
        <v>50</v>
      </c>
      <c r="J535">
        <v>49.940525055000002</v>
      </c>
      <c r="K535">
        <v>0</v>
      </c>
      <c r="L535">
        <v>2400</v>
      </c>
      <c r="M535">
        <v>2400</v>
      </c>
      <c r="N535">
        <v>0</v>
      </c>
    </row>
    <row r="536" spans="1:14" x14ac:dyDescent="0.25">
      <c r="A536">
        <v>208.614045</v>
      </c>
      <c r="B536" s="1">
        <f>DATE(2010,11,25) + TIME(14,44,13)</f>
        <v>40507.614039351851</v>
      </c>
      <c r="C536">
        <v>981.50592041000004</v>
      </c>
      <c r="D536">
        <v>853.94635010000002</v>
      </c>
      <c r="E536">
        <v>2032.4870605000001</v>
      </c>
      <c r="F536">
        <v>1840.3927002</v>
      </c>
      <c r="G536">
        <v>80</v>
      </c>
      <c r="H536">
        <v>74.686943053999997</v>
      </c>
      <c r="I536">
        <v>50</v>
      </c>
      <c r="J536">
        <v>49.940616607999999</v>
      </c>
      <c r="K536">
        <v>0</v>
      </c>
      <c r="L536">
        <v>2400</v>
      </c>
      <c r="M536">
        <v>2400</v>
      </c>
      <c r="N536">
        <v>0</v>
      </c>
    </row>
    <row r="537" spans="1:14" x14ac:dyDescent="0.25">
      <c r="A537">
        <v>209.38082900000001</v>
      </c>
      <c r="B537" s="1">
        <f>DATE(2010,11,26) + TIME(9,8,23)</f>
        <v>40508.38082175926</v>
      </c>
      <c r="C537">
        <v>981.13922118999994</v>
      </c>
      <c r="D537">
        <v>853.52264404000005</v>
      </c>
      <c r="E537">
        <v>2031.2879639</v>
      </c>
      <c r="F537">
        <v>1839.1988524999999</v>
      </c>
      <c r="G537">
        <v>80</v>
      </c>
      <c r="H537">
        <v>74.551933289000004</v>
      </c>
      <c r="I537">
        <v>50</v>
      </c>
      <c r="J537">
        <v>49.940711974999999</v>
      </c>
      <c r="K537">
        <v>0</v>
      </c>
      <c r="L537">
        <v>2400</v>
      </c>
      <c r="M537">
        <v>2400</v>
      </c>
      <c r="N537">
        <v>0</v>
      </c>
    </row>
    <row r="538" spans="1:14" x14ac:dyDescent="0.25">
      <c r="A538">
        <v>210.17064400000001</v>
      </c>
      <c r="B538" s="1">
        <f>DATE(2010,11,27) + TIME(4,5,43)</f>
        <v>40509.170636574076</v>
      </c>
      <c r="C538">
        <v>980.76116943</v>
      </c>
      <c r="D538">
        <v>853.08563231999995</v>
      </c>
      <c r="E538">
        <v>2030.1003418</v>
      </c>
      <c r="F538">
        <v>1838.0164795000001</v>
      </c>
      <c r="G538">
        <v>80</v>
      </c>
      <c r="H538">
        <v>74.414337157999995</v>
      </c>
      <c r="I538">
        <v>50</v>
      </c>
      <c r="J538">
        <v>49.940807343000003</v>
      </c>
      <c r="K538">
        <v>0</v>
      </c>
      <c r="L538">
        <v>2400</v>
      </c>
      <c r="M538">
        <v>2400</v>
      </c>
      <c r="N538">
        <v>0</v>
      </c>
    </row>
    <row r="539" spans="1:14" x14ac:dyDescent="0.25">
      <c r="A539">
        <v>210.98538099999999</v>
      </c>
      <c r="B539" s="1">
        <f>DATE(2010,11,27) + TIME(23,38,56)</f>
        <v>40509.98537037037</v>
      </c>
      <c r="C539">
        <v>980.36926270000004</v>
      </c>
      <c r="D539">
        <v>852.63262939000003</v>
      </c>
      <c r="E539">
        <v>2028.9179687999999</v>
      </c>
      <c r="F539">
        <v>1836.8397216999999</v>
      </c>
      <c r="G539">
        <v>80</v>
      </c>
      <c r="H539">
        <v>74.273696899000001</v>
      </c>
      <c r="I539">
        <v>50</v>
      </c>
      <c r="J539">
        <v>49.940902710000003</v>
      </c>
      <c r="K539">
        <v>0</v>
      </c>
      <c r="L539">
        <v>2400</v>
      </c>
      <c r="M539">
        <v>2400</v>
      </c>
      <c r="N539">
        <v>0</v>
      </c>
    </row>
    <row r="540" spans="1:14" x14ac:dyDescent="0.25">
      <c r="A540">
        <v>211.82666399999999</v>
      </c>
      <c r="B540" s="1">
        <f>DATE(2010,11,28) + TIME(19,50,23)</f>
        <v>40510.826655092591</v>
      </c>
      <c r="C540">
        <v>979.96209716999999</v>
      </c>
      <c r="D540">
        <v>852.16192626999998</v>
      </c>
      <c r="E540">
        <v>2027.7391356999999</v>
      </c>
      <c r="F540">
        <v>1835.6665039</v>
      </c>
      <c r="G540">
        <v>80</v>
      </c>
      <c r="H540">
        <v>74.129669188999998</v>
      </c>
      <c r="I540">
        <v>50</v>
      </c>
      <c r="J540">
        <v>49.941001892000003</v>
      </c>
      <c r="K540">
        <v>0</v>
      </c>
      <c r="L540">
        <v>2400</v>
      </c>
      <c r="M540">
        <v>2400</v>
      </c>
      <c r="N540">
        <v>0</v>
      </c>
    </row>
    <row r="541" spans="1:14" x14ac:dyDescent="0.25">
      <c r="A541">
        <v>212.699916</v>
      </c>
      <c r="B541" s="1">
        <f>DATE(2010,11,29) + TIME(16,47,52)</f>
        <v>40511.699907407405</v>
      </c>
      <c r="C541">
        <v>979.53869628999996</v>
      </c>
      <c r="D541">
        <v>851.67199706999997</v>
      </c>
      <c r="E541">
        <v>2026.5627440999999</v>
      </c>
      <c r="F541">
        <v>1834.4959716999999</v>
      </c>
      <c r="G541">
        <v>80</v>
      </c>
      <c r="H541">
        <v>73.981613159000005</v>
      </c>
      <c r="I541">
        <v>50</v>
      </c>
      <c r="J541">
        <v>49.941104889000002</v>
      </c>
      <c r="K541">
        <v>0</v>
      </c>
      <c r="L541">
        <v>2400</v>
      </c>
      <c r="M541">
        <v>2400</v>
      </c>
      <c r="N541">
        <v>0</v>
      </c>
    </row>
    <row r="542" spans="1:14" x14ac:dyDescent="0.25">
      <c r="A542">
        <v>213.59457</v>
      </c>
      <c r="B542" s="1">
        <f>DATE(2010,11,30) + TIME(14,16,10)</f>
        <v>40512.594560185185</v>
      </c>
      <c r="C542">
        <v>979.09539795000001</v>
      </c>
      <c r="D542">
        <v>851.15991211000005</v>
      </c>
      <c r="E542">
        <v>2025.3830565999999</v>
      </c>
      <c r="F542">
        <v>1833.3223877</v>
      </c>
      <c r="G542">
        <v>80</v>
      </c>
      <c r="H542">
        <v>73.830131531000006</v>
      </c>
      <c r="I542">
        <v>50</v>
      </c>
      <c r="J542">
        <v>49.941207886000001</v>
      </c>
      <c r="K542">
        <v>0</v>
      </c>
      <c r="L542">
        <v>2400</v>
      </c>
      <c r="M542">
        <v>2400</v>
      </c>
      <c r="N542">
        <v>0</v>
      </c>
    </row>
    <row r="543" spans="1:14" x14ac:dyDescent="0.25">
      <c r="A543">
        <v>214</v>
      </c>
      <c r="B543" s="1">
        <f>DATE(2010,12,1) + TIME(0,0,0)</f>
        <v>40513</v>
      </c>
      <c r="C543">
        <v>978.62615966999999</v>
      </c>
      <c r="D543">
        <v>850.67712401999995</v>
      </c>
      <c r="E543">
        <v>2024.2351074000001</v>
      </c>
      <c r="F543">
        <v>1832.1804199000001</v>
      </c>
      <c r="G543">
        <v>80</v>
      </c>
      <c r="H543">
        <v>73.734336853000002</v>
      </c>
      <c r="I543">
        <v>50</v>
      </c>
      <c r="J543">
        <v>49.941200256000002</v>
      </c>
      <c r="K543">
        <v>0</v>
      </c>
      <c r="L543">
        <v>2400</v>
      </c>
      <c r="M543">
        <v>2400</v>
      </c>
      <c r="N543">
        <v>0</v>
      </c>
    </row>
    <row r="544" spans="1:14" x14ac:dyDescent="0.25">
      <c r="A544">
        <v>214.896243</v>
      </c>
      <c r="B544" s="1">
        <f>DATE(2010,12,1) + TIME(21,30,35)</f>
        <v>40513.896238425928</v>
      </c>
      <c r="C544">
        <v>978.42358397999999</v>
      </c>
      <c r="D544">
        <v>850.37200928000004</v>
      </c>
      <c r="E544">
        <v>2023.6883545000001</v>
      </c>
      <c r="F544">
        <v>1831.6365966999999</v>
      </c>
      <c r="G544">
        <v>80</v>
      </c>
      <c r="H544">
        <v>73.594665527000004</v>
      </c>
      <c r="I544">
        <v>50</v>
      </c>
      <c r="J544">
        <v>49.941364288000003</v>
      </c>
      <c r="K544">
        <v>0</v>
      </c>
      <c r="L544">
        <v>2400</v>
      </c>
      <c r="M544">
        <v>2400</v>
      </c>
      <c r="N544">
        <v>0</v>
      </c>
    </row>
    <row r="545" spans="1:14" x14ac:dyDescent="0.25">
      <c r="A545">
        <v>215.80358799999999</v>
      </c>
      <c r="B545" s="1">
        <f>DATE(2010,12,2) + TIME(19,17,9)</f>
        <v>40514.803576388891</v>
      </c>
      <c r="C545">
        <v>977.96447753999996</v>
      </c>
      <c r="D545">
        <v>849.84545897999999</v>
      </c>
      <c r="E545">
        <v>2022.5839844</v>
      </c>
      <c r="F545">
        <v>1830.5383300999999</v>
      </c>
      <c r="G545">
        <v>80</v>
      </c>
      <c r="H545">
        <v>73.447212218999994</v>
      </c>
      <c r="I545">
        <v>50</v>
      </c>
      <c r="J545">
        <v>49.941459655999999</v>
      </c>
      <c r="K545">
        <v>0</v>
      </c>
      <c r="L545">
        <v>2400</v>
      </c>
      <c r="M545">
        <v>2400</v>
      </c>
      <c r="N545">
        <v>0</v>
      </c>
    </row>
    <row r="546" spans="1:14" x14ac:dyDescent="0.25">
      <c r="A546">
        <v>216.723669</v>
      </c>
      <c r="B546" s="1">
        <f>DATE(2010,12,3) + TIME(17,22,5)</f>
        <v>40515.723668981482</v>
      </c>
      <c r="C546">
        <v>977.48974609000004</v>
      </c>
      <c r="D546">
        <v>849.29760741999996</v>
      </c>
      <c r="E546">
        <v>2021.4932861</v>
      </c>
      <c r="F546">
        <v>1829.4537353999999</v>
      </c>
      <c r="G546">
        <v>80</v>
      </c>
      <c r="H546">
        <v>73.295211792000003</v>
      </c>
      <c r="I546">
        <v>50</v>
      </c>
      <c r="J546">
        <v>49.941562652999998</v>
      </c>
      <c r="K546">
        <v>0</v>
      </c>
      <c r="L546">
        <v>2400</v>
      </c>
      <c r="M546">
        <v>2400</v>
      </c>
      <c r="N546">
        <v>0</v>
      </c>
    </row>
    <row r="547" spans="1:14" x14ac:dyDescent="0.25">
      <c r="A547">
        <v>217.66084499999999</v>
      </c>
      <c r="B547" s="1">
        <f>DATE(2010,12,4) + TIME(15,51,36)</f>
        <v>40516.660833333335</v>
      </c>
      <c r="C547">
        <v>977.00384521000001</v>
      </c>
      <c r="D547">
        <v>848.73406981999995</v>
      </c>
      <c r="E547">
        <v>2020.4216309000001</v>
      </c>
      <c r="F547">
        <v>1828.3883057</v>
      </c>
      <c r="G547">
        <v>80</v>
      </c>
      <c r="H547">
        <v>73.139892578000001</v>
      </c>
      <c r="I547">
        <v>50</v>
      </c>
      <c r="J547">
        <v>49.941665649000001</v>
      </c>
      <c r="K547">
        <v>0</v>
      </c>
      <c r="L547">
        <v>2400</v>
      </c>
      <c r="M547">
        <v>2400</v>
      </c>
      <c r="N547">
        <v>0</v>
      </c>
    </row>
    <row r="548" spans="1:14" x14ac:dyDescent="0.25">
      <c r="A548">
        <v>218.61972600000001</v>
      </c>
      <c r="B548" s="1">
        <f>DATE(2010,12,5) + TIME(14,52,24)</f>
        <v>40517.619722222225</v>
      </c>
      <c r="C548">
        <v>976.50451659999999</v>
      </c>
      <c r="D548">
        <v>848.15307616999996</v>
      </c>
      <c r="E548">
        <v>2019.3643798999999</v>
      </c>
      <c r="F548">
        <v>1827.3371582</v>
      </c>
      <c r="G548">
        <v>80</v>
      </c>
      <c r="H548">
        <v>72.981475829999994</v>
      </c>
      <c r="I548">
        <v>50</v>
      </c>
      <c r="J548">
        <v>49.941772460999999</v>
      </c>
      <c r="K548">
        <v>0</v>
      </c>
      <c r="L548">
        <v>2400</v>
      </c>
      <c r="M548">
        <v>2400</v>
      </c>
      <c r="N548">
        <v>0</v>
      </c>
    </row>
    <row r="549" spans="1:14" x14ac:dyDescent="0.25">
      <c r="A549">
        <v>219.605546</v>
      </c>
      <c r="B549" s="1">
        <f>DATE(2010,12,6) + TIME(14,31,59)</f>
        <v>40518.605543981481</v>
      </c>
      <c r="C549">
        <v>975.98883057</v>
      </c>
      <c r="D549">
        <v>847.55145263999998</v>
      </c>
      <c r="E549">
        <v>2018.3164062000001</v>
      </c>
      <c r="F549">
        <v>1826.2955322</v>
      </c>
      <c r="G549">
        <v>80</v>
      </c>
      <c r="H549">
        <v>72.819633483999993</v>
      </c>
      <c r="I549">
        <v>50</v>
      </c>
      <c r="J549">
        <v>49.941879272000001</v>
      </c>
      <c r="K549">
        <v>0</v>
      </c>
      <c r="L549">
        <v>2400</v>
      </c>
      <c r="M549">
        <v>2400</v>
      </c>
      <c r="N549">
        <v>0</v>
      </c>
    </row>
    <row r="550" spans="1:14" x14ac:dyDescent="0.25">
      <c r="A550">
        <v>220.624289</v>
      </c>
      <c r="B550" s="1">
        <f>DATE(2010,12,7) + TIME(14,58,58)</f>
        <v>40519.624282407407</v>
      </c>
      <c r="C550">
        <v>975.45330810999997</v>
      </c>
      <c r="D550">
        <v>846.92529296999999</v>
      </c>
      <c r="E550">
        <v>2017.2727050999999</v>
      </c>
      <c r="F550">
        <v>1825.2581786999999</v>
      </c>
      <c r="G550">
        <v>80</v>
      </c>
      <c r="H550">
        <v>72.653701781999999</v>
      </c>
      <c r="I550">
        <v>50</v>
      </c>
      <c r="J550">
        <v>49.941989898999999</v>
      </c>
      <c r="K550">
        <v>0</v>
      </c>
      <c r="L550">
        <v>2400</v>
      </c>
      <c r="M550">
        <v>2400</v>
      </c>
      <c r="N550">
        <v>0</v>
      </c>
    </row>
    <row r="551" spans="1:14" x14ac:dyDescent="0.25">
      <c r="A551">
        <v>221.68276399999999</v>
      </c>
      <c r="B551" s="1">
        <f>DATE(2010,12,8) + TIME(16,23,10)</f>
        <v>40520.682754629626</v>
      </c>
      <c r="C551">
        <v>974.89398193</v>
      </c>
      <c r="D551">
        <v>846.26983643000005</v>
      </c>
      <c r="E551">
        <v>2016.2279053</v>
      </c>
      <c r="F551">
        <v>1824.2199707</v>
      </c>
      <c r="G551">
        <v>80</v>
      </c>
      <c r="H551">
        <v>72.482795714999995</v>
      </c>
      <c r="I551">
        <v>50</v>
      </c>
      <c r="J551">
        <v>49.942108154000003</v>
      </c>
      <c r="K551">
        <v>0</v>
      </c>
      <c r="L551">
        <v>2400</v>
      </c>
      <c r="M551">
        <v>2400</v>
      </c>
      <c r="N551">
        <v>0</v>
      </c>
    </row>
    <row r="552" spans="1:14" x14ac:dyDescent="0.25">
      <c r="A552">
        <v>222.75367600000001</v>
      </c>
      <c r="B552" s="1">
        <f>DATE(2010,12,9) + TIME(18,5,17)</f>
        <v>40521.753668981481</v>
      </c>
      <c r="C552">
        <v>974.30529784999999</v>
      </c>
      <c r="D552">
        <v>845.58123779000005</v>
      </c>
      <c r="E552">
        <v>2015.177124</v>
      </c>
      <c r="F552">
        <v>1823.1757812000001</v>
      </c>
      <c r="G552">
        <v>80</v>
      </c>
      <c r="H552">
        <v>72.308372497999997</v>
      </c>
      <c r="I552">
        <v>50</v>
      </c>
      <c r="J552">
        <v>49.942222594999997</v>
      </c>
      <c r="K552">
        <v>0</v>
      </c>
      <c r="L552">
        <v>2400</v>
      </c>
      <c r="M552">
        <v>2400</v>
      </c>
      <c r="N552">
        <v>0</v>
      </c>
    </row>
    <row r="553" spans="1:14" x14ac:dyDescent="0.25">
      <c r="A553">
        <v>223.82820000000001</v>
      </c>
      <c r="B553" s="1">
        <f>DATE(2010,12,10) + TIME(19,52,36)</f>
        <v>40522.828194444446</v>
      </c>
      <c r="C553">
        <v>973.70202637</v>
      </c>
      <c r="D553">
        <v>844.87353515999996</v>
      </c>
      <c r="E553">
        <v>2014.1468506000001</v>
      </c>
      <c r="F553">
        <v>1822.1523437999999</v>
      </c>
      <c r="G553">
        <v>80</v>
      </c>
      <c r="H553">
        <v>72.132164001000007</v>
      </c>
      <c r="I553">
        <v>50</v>
      </c>
      <c r="J553">
        <v>49.942337035999998</v>
      </c>
      <c r="K553">
        <v>0</v>
      </c>
      <c r="L553">
        <v>2400</v>
      </c>
      <c r="M553">
        <v>2400</v>
      </c>
      <c r="N553">
        <v>0</v>
      </c>
    </row>
    <row r="554" spans="1:14" x14ac:dyDescent="0.25">
      <c r="A554">
        <v>224.91213500000001</v>
      </c>
      <c r="B554" s="1">
        <f>DATE(2010,12,11) + TIME(21,53,28)</f>
        <v>40523.912129629629</v>
      </c>
      <c r="C554">
        <v>973.08929443</v>
      </c>
      <c r="D554">
        <v>844.15155029000005</v>
      </c>
      <c r="E554">
        <v>2013.1450195</v>
      </c>
      <c r="F554">
        <v>1821.1569824000001</v>
      </c>
      <c r="G554">
        <v>80</v>
      </c>
      <c r="H554">
        <v>71.954650878999999</v>
      </c>
      <c r="I554">
        <v>50</v>
      </c>
      <c r="J554">
        <v>49.942451476999999</v>
      </c>
      <c r="K554">
        <v>0</v>
      </c>
      <c r="L554">
        <v>2400</v>
      </c>
      <c r="M554">
        <v>2400</v>
      </c>
      <c r="N554">
        <v>0</v>
      </c>
    </row>
    <row r="555" spans="1:14" x14ac:dyDescent="0.25">
      <c r="A555">
        <v>226.01082500000001</v>
      </c>
      <c r="B555" s="1">
        <f>DATE(2010,12,13) + TIME(0,15,35)</f>
        <v>40525.010821759257</v>
      </c>
      <c r="C555">
        <v>972.46356201000003</v>
      </c>
      <c r="D555">
        <v>843.41156006000006</v>
      </c>
      <c r="E555">
        <v>2012.1651611</v>
      </c>
      <c r="F555">
        <v>1820.1837158000001</v>
      </c>
      <c r="G555">
        <v>80</v>
      </c>
      <c r="H555">
        <v>71.775505065999994</v>
      </c>
      <c r="I555">
        <v>50</v>
      </c>
      <c r="J555">
        <v>49.942569732999999</v>
      </c>
      <c r="K555">
        <v>0</v>
      </c>
      <c r="L555">
        <v>2400</v>
      </c>
      <c r="M555">
        <v>2400</v>
      </c>
      <c r="N555">
        <v>0</v>
      </c>
    </row>
    <row r="556" spans="1:14" x14ac:dyDescent="0.25">
      <c r="A556">
        <v>227.129648</v>
      </c>
      <c r="B556" s="1">
        <f>DATE(2010,12,14) + TIME(3,6,41)</f>
        <v>40526.129641203705</v>
      </c>
      <c r="C556">
        <v>971.82110595999995</v>
      </c>
      <c r="D556">
        <v>842.64923095999995</v>
      </c>
      <c r="E556">
        <v>2011.2016602000001</v>
      </c>
      <c r="F556">
        <v>1819.2268065999999</v>
      </c>
      <c r="G556">
        <v>80</v>
      </c>
      <c r="H556">
        <v>71.594078064000001</v>
      </c>
      <c r="I556">
        <v>50</v>
      </c>
      <c r="J556">
        <v>49.942687988000003</v>
      </c>
      <c r="K556">
        <v>0</v>
      </c>
      <c r="L556">
        <v>2400</v>
      </c>
      <c r="M556">
        <v>2400</v>
      </c>
      <c r="N556">
        <v>0</v>
      </c>
    </row>
    <row r="557" spans="1:14" x14ac:dyDescent="0.25">
      <c r="A557">
        <v>228.274742</v>
      </c>
      <c r="B557" s="1">
        <f>DATE(2010,12,15) + TIME(6,35,37)</f>
        <v>40527.274733796294</v>
      </c>
      <c r="C557">
        <v>971.15802001999998</v>
      </c>
      <c r="D557">
        <v>841.85986328000001</v>
      </c>
      <c r="E557">
        <v>2010.2497559000001</v>
      </c>
      <c r="F557">
        <v>1818.2814940999999</v>
      </c>
      <c r="G557">
        <v>80</v>
      </c>
      <c r="H557">
        <v>71.409492493000002</v>
      </c>
      <c r="I557">
        <v>50</v>
      </c>
      <c r="J557">
        <v>49.942810059000003</v>
      </c>
      <c r="K557">
        <v>0</v>
      </c>
      <c r="L557">
        <v>2400</v>
      </c>
      <c r="M557">
        <v>2400</v>
      </c>
      <c r="N557">
        <v>0</v>
      </c>
    </row>
    <row r="558" spans="1:14" x14ac:dyDescent="0.25">
      <c r="A558">
        <v>229.45273700000001</v>
      </c>
      <c r="B558" s="1">
        <f>DATE(2010,12,16) + TIME(10,51,56)</f>
        <v>40528.452731481484</v>
      </c>
      <c r="C558">
        <v>970.46978760000002</v>
      </c>
      <c r="D558">
        <v>841.03784180000002</v>
      </c>
      <c r="E558">
        <v>2009.3043213000001</v>
      </c>
      <c r="F558">
        <v>1817.3426514</v>
      </c>
      <c r="G558">
        <v>80</v>
      </c>
      <c r="H558">
        <v>71.220726013000004</v>
      </c>
      <c r="I558">
        <v>50</v>
      </c>
      <c r="J558">
        <v>49.942932128999999</v>
      </c>
      <c r="K558">
        <v>0</v>
      </c>
      <c r="L558">
        <v>2400</v>
      </c>
      <c r="M558">
        <v>2400</v>
      </c>
      <c r="N558">
        <v>0</v>
      </c>
    </row>
    <row r="559" spans="1:14" x14ac:dyDescent="0.25">
      <c r="A559">
        <v>230.666776</v>
      </c>
      <c r="B559" s="1">
        <f>DATE(2010,12,17) + TIME(16,0,9)</f>
        <v>40529.666770833333</v>
      </c>
      <c r="C559">
        <v>969.75134276999995</v>
      </c>
      <c r="D559">
        <v>840.17700194999998</v>
      </c>
      <c r="E559">
        <v>2008.3605957</v>
      </c>
      <c r="F559">
        <v>1816.4056396000001</v>
      </c>
      <c r="G559">
        <v>80</v>
      </c>
      <c r="H559">
        <v>71.026924132999994</v>
      </c>
      <c r="I559">
        <v>50</v>
      </c>
      <c r="J559">
        <v>49.943061829000001</v>
      </c>
      <c r="K559">
        <v>0</v>
      </c>
      <c r="L559">
        <v>2400</v>
      </c>
      <c r="M559">
        <v>2400</v>
      </c>
      <c r="N559">
        <v>0</v>
      </c>
    </row>
    <row r="560" spans="1:14" x14ac:dyDescent="0.25">
      <c r="A560">
        <v>231.91620800000001</v>
      </c>
      <c r="B560" s="1">
        <f>DATE(2010,12,18) + TIME(21,59,20)</f>
        <v>40530.916203703702</v>
      </c>
      <c r="C560">
        <v>968.99932861000002</v>
      </c>
      <c r="D560">
        <v>839.27307128999996</v>
      </c>
      <c r="E560">
        <v>2007.4168701000001</v>
      </c>
      <c r="F560">
        <v>1815.46875</v>
      </c>
      <c r="G560">
        <v>80</v>
      </c>
      <c r="H560">
        <v>70.827598571999999</v>
      </c>
      <c r="I560">
        <v>50</v>
      </c>
      <c r="J560">
        <v>49.943187713999997</v>
      </c>
      <c r="K560">
        <v>0</v>
      </c>
      <c r="L560">
        <v>2400</v>
      </c>
      <c r="M560">
        <v>2400</v>
      </c>
      <c r="N560">
        <v>0</v>
      </c>
    </row>
    <row r="561" spans="1:14" x14ac:dyDescent="0.25">
      <c r="A561">
        <v>233.18335400000001</v>
      </c>
      <c r="B561" s="1">
        <f>DATE(2010,12,20) + TIME(4,24,1)</f>
        <v>40532.183344907404</v>
      </c>
      <c r="C561">
        <v>968.21240234000004</v>
      </c>
      <c r="D561">
        <v>838.32507324000005</v>
      </c>
      <c r="E561">
        <v>2006.4746094</v>
      </c>
      <c r="F561">
        <v>1814.5333252</v>
      </c>
      <c r="G561">
        <v>80</v>
      </c>
      <c r="H561">
        <v>70.623657226999995</v>
      </c>
      <c r="I561">
        <v>50</v>
      </c>
      <c r="J561">
        <v>49.943321228000002</v>
      </c>
      <c r="K561">
        <v>0</v>
      </c>
      <c r="L561">
        <v>2400</v>
      </c>
      <c r="M561">
        <v>2400</v>
      </c>
      <c r="N561">
        <v>0</v>
      </c>
    </row>
    <row r="562" spans="1:14" x14ac:dyDescent="0.25">
      <c r="A562">
        <v>234.456965</v>
      </c>
      <c r="B562" s="1">
        <f>DATE(2010,12,21) + TIME(10,58,1)</f>
        <v>40533.456956018519</v>
      </c>
      <c r="C562">
        <v>967.40057373000002</v>
      </c>
      <c r="D562">
        <v>837.34307861000002</v>
      </c>
      <c r="E562">
        <v>2005.5472411999999</v>
      </c>
      <c r="F562">
        <v>1813.6126709</v>
      </c>
      <c r="G562">
        <v>80</v>
      </c>
      <c r="H562">
        <v>70.416641235</v>
      </c>
      <c r="I562">
        <v>50</v>
      </c>
      <c r="J562">
        <v>49.943450927999997</v>
      </c>
      <c r="K562">
        <v>0</v>
      </c>
      <c r="L562">
        <v>2400</v>
      </c>
      <c r="M562">
        <v>2400</v>
      </c>
      <c r="N562">
        <v>0</v>
      </c>
    </row>
    <row r="563" spans="1:14" x14ac:dyDescent="0.25">
      <c r="A563">
        <v>235.74367100000001</v>
      </c>
      <c r="B563" s="1">
        <f>DATE(2010,12,22) + TIME(17,50,53)</f>
        <v>40534.743668981479</v>
      </c>
      <c r="C563">
        <v>966.57067871000004</v>
      </c>
      <c r="D563">
        <v>836.33337401999995</v>
      </c>
      <c r="E563">
        <v>2004.6420897999999</v>
      </c>
      <c r="F563">
        <v>1812.7143555</v>
      </c>
      <c r="G563">
        <v>80</v>
      </c>
      <c r="H563">
        <v>70.207038878999995</v>
      </c>
      <c r="I563">
        <v>50</v>
      </c>
      <c r="J563">
        <v>49.943580627000003</v>
      </c>
      <c r="K563">
        <v>0</v>
      </c>
      <c r="L563">
        <v>2400</v>
      </c>
      <c r="M563">
        <v>2400</v>
      </c>
      <c r="N563">
        <v>0</v>
      </c>
    </row>
    <row r="564" spans="1:14" x14ac:dyDescent="0.25">
      <c r="A564">
        <v>237.04989800000001</v>
      </c>
      <c r="B564" s="1">
        <f>DATE(2010,12,24) + TIME(1,11,51)</f>
        <v>40536.049895833334</v>
      </c>
      <c r="C564">
        <v>965.71771239999998</v>
      </c>
      <c r="D564">
        <v>835.29046631000006</v>
      </c>
      <c r="E564">
        <v>2003.7540283000001</v>
      </c>
      <c r="F564">
        <v>1811.8328856999999</v>
      </c>
      <c r="G564">
        <v>80</v>
      </c>
      <c r="H564">
        <v>69.994361877000003</v>
      </c>
      <c r="I564">
        <v>50</v>
      </c>
      <c r="J564">
        <v>49.943714141999997</v>
      </c>
      <c r="K564">
        <v>0</v>
      </c>
      <c r="L564">
        <v>2400</v>
      </c>
      <c r="M564">
        <v>2400</v>
      </c>
      <c r="N564">
        <v>0</v>
      </c>
    </row>
    <row r="565" spans="1:14" x14ac:dyDescent="0.25">
      <c r="A565">
        <v>238.37862899999999</v>
      </c>
      <c r="B565" s="1">
        <f>DATE(2010,12,25) + TIME(9,5,13)</f>
        <v>40537.378622685188</v>
      </c>
      <c r="C565">
        <v>964.83654784999999</v>
      </c>
      <c r="D565">
        <v>834.20788574000005</v>
      </c>
      <c r="E565">
        <v>2002.8781738</v>
      </c>
      <c r="F565">
        <v>1810.9637451000001</v>
      </c>
      <c r="G565">
        <v>80</v>
      </c>
      <c r="H565">
        <v>69.777633667000003</v>
      </c>
      <c r="I565">
        <v>50</v>
      </c>
      <c r="J565">
        <v>49.943847656000003</v>
      </c>
      <c r="K565">
        <v>0</v>
      </c>
      <c r="L565">
        <v>2400</v>
      </c>
      <c r="M565">
        <v>2400</v>
      </c>
      <c r="N565">
        <v>0</v>
      </c>
    </row>
    <row r="566" spans="1:14" x14ac:dyDescent="0.25">
      <c r="A566">
        <v>239.732438</v>
      </c>
      <c r="B566" s="1">
        <f>DATE(2010,12,26) + TIME(17,34,42)</f>
        <v>40538.732430555552</v>
      </c>
      <c r="C566">
        <v>963.92376708999996</v>
      </c>
      <c r="D566">
        <v>833.08129883000004</v>
      </c>
      <c r="E566">
        <v>2002.0125731999999</v>
      </c>
      <c r="F566">
        <v>1810.1047363</v>
      </c>
      <c r="G566">
        <v>80</v>
      </c>
      <c r="H566">
        <v>69.556373596</v>
      </c>
      <c r="I566">
        <v>50</v>
      </c>
      <c r="J566">
        <v>49.943984985</v>
      </c>
      <c r="K566">
        <v>0</v>
      </c>
      <c r="L566">
        <v>2400</v>
      </c>
      <c r="M566">
        <v>2400</v>
      </c>
      <c r="N566">
        <v>0</v>
      </c>
    </row>
    <row r="567" spans="1:14" x14ac:dyDescent="0.25">
      <c r="A567">
        <v>241.11863399999999</v>
      </c>
      <c r="B567" s="1">
        <f>DATE(2010,12,28) + TIME(2,50,49)</f>
        <v>40540.118622685186</v>
      </c>
      <c r="C567">
        <v>962.97637939000003</v>
      </c>
      <c r="D567">
        <v>831.90576171999999</v>
      </c>
      <c r="E567">
        <v>2001.1553954999999</v>
      </c>
      <c r="F567">
        <v>1809.2541504000001</v>
      </c>
      <c r="G567">
        <v>80</v>
      </c>
      <c r="H567">
        <v>69.329605103000006</v>
      </c>
      <c r="I567">
        <v>50</v>
      </c>
      <c r="J567">
        <v>49.944122313999998</v>
      </c>
      <c r="K567">
        <v>0</v>
      </c>
      <c r="L567">
        <v>2400</v>
      </c>
      <c r="M567">
        <v>2400</v>
      </c>
      <c r="N567">
        <v>0</v>
      </c>
    </row>
    <row r="568" spans="1:14" x14ac:dyDescent="0.25">
      <c r="A568">
        <v>242.54527200000001</v>
      </c>
      <c r="B568" s="1">
        <f>DATE(2010,12,29) + TIME(13,5,11)</f>
        <v>40541.545266203706</v>
      </c>
      <c r="C568">
        <v>961.98773193</v>
      </c>
      <c r="D568">
        <v>830.67260741999996</v>
      </c>
      <c r="E568">
        <v>2000.3023682</v>
      </c>
      <c r="F568">
        <v>1808.4077147999999</v>
      </c>
      <c r="G568">
        <v>80</v>
      </c>
      <c r="H568">
        <v>69.096031189000001</v>
      </c>
      <c r="I568">
        <v>50</v>
      </c>
      <c r="J568">
        <v>49.944263458000002</v>
      </c>
      <c r="K568">
        <v>0</v>
      </c>
      <c r="L568">
        <v>2400</v>
      </c>
      <c r="M568">
        <v>2400</v>
      </c>
      <c r="N568">
        <v>0</v>
      </c>
    </row>
    <row r="569" spans="1:14" x14ac:dyDescent="0.25">
      <c r="A569">
        <v>243.28210799999999</v>
      </c>
      <c r="B569" s="1">
        <f>DATE(2010,12,30) + TIME(6,46,14)</f>
        <v>40542.282106481478</v>
      </c>
      <c r="C569">
        <v>960.94189453000001</v>
      </c>
      <c r="D569">
        <v>829.45275878999996</v>
      </c>
      <c r="E569">
        <v>1999.4592285000001</v>
      </c>
      <c r="F569">
        <v>1807.5709228999999</v>
      </c>
      <c r="G569">
        <v>80</v>
      </c>
      <c r="H569">
        <v>68.920959472999996</v>
      </c>
      <c r="I569">
        <v>50</v>
      </c>
      <c r="J569">
        <v>49.944309234999999</v>
      </c>
      <c r="K569">
        <v>0</v>
      </c>
      <c r="L569">
        <v>2400</v>
      </c>
      <c r="M569">
        <v>2400</v>
      </c>
      <c r="N569">
        <v>0</v>
      </c>
    </row>
    <row r="570" spans="1:14" x14ac:dyDescent="0.25">
      <c r="A570">
        <v>244.018944</v>
      </c>
      <c r="B570" s="1">
        <f>DATE(2010,12,31) + TIME(0,27,16)</f>
        <v>40543.018935185188</v>
      </c>
      <c r="C570">
        <v>960.38287353999999</v>
      </c>
      <c r="D570">
        <v>828.71325683999999</v>
      </c>
      <c r="E570">
        <v>1999.012207</v>
      </c>
      <c r="F570">
        <v>1807.1273193</v>
      </c>
      <c r="G570">
        <v>80</v>
      </c>
      <c r="H570">
        <v>68.767822265999996</v>
      </c>
      <c r="I570">
        <v>50</v>
      </c>
      <c r="J570">
        <v>49.944393157999997</v>
      </c>
      <c r="K570">
        <v>0</v>
      </c>
      <c r="L570">
        <v>2400</v>
      </c>
      <c r="M570">
        <v>2400</v>
      </c>
      <c r="N570">
        <v>0</v>
      </c>
    </row>
    <row r="571" spans="1:14" x14ac:dyDescent="0.25">
      <c r="A571">
        <v>245</v>
      </c>
      <c r="B571" s="1">
        <f>DATE(2011,1,1) + TIME(0,0,0)</f>
        <v>40544</v>
      </c>
      <c r="C571">
        <v>959.83575439000003</v>
      </c>
      <c r="D571">
        <v>827.96887206999997</v>
      </c>
      <c r="E571">
        <v>1998.5826416</v>
      </c>
      <c r="F571">
        <v>1806.7014160000001</v>
      </c>
      <c r="G571">
        <v>80</v>
      </c>
      <c r="H571">
        <v>68.603965759000005</v>
      </c>
      <c r="I571">
        <v>50</v>
      </c>
      <c r="J571">
        <v>49.944507598999998</v>
      </c>
      <c r="K571">
        <v>0</v>
      </c>
      <c r="L571">
        <v>2400</v>
      </c>
      <c r="M571">
        <v>2400</v>
      </c>
      <c r="N571">
        <v>0</v>
      </c>
    </row>
    <row r="572" spans="1:14" x14ac:dyDescent="0.25">
      <c r="A572">
        <v>246.47367199999999</v>
      </c>
      <c r="B572" s="1">
        <f>DATE(2011,1,2) + TIME(11,22,5)</f>
        <v>40545.473668981482</v>
      </c>
      <c r="C572">
        <v>959.10620116999996</v>
      </c>
      <c r="D572">
        <v>826.99981689000003</v>
      </c>
      <c r="E572">
        <v>1998.0283202999999</v>
      </c>
      <c r="F572">
        <v>1806.1514893000001</v>
      </c>
      <c r="G572">
        <v>80</v>
      </c>
      <c r="H572">
        <v>68.405166625999996</v>
      </c>
      <c r="I572">
        <v>50</v>
      </c>
      <c r="J572">
        <v>49.944664001</v>
      </c>
      <c r="K572">
        <v>0</v>
      </c>
      <c r="L572">
        <v>2400</v>
      </c>
      <c r="M572">
        <v>2400</v>
      </c>
      <c r="N572">
        <v>0</v>
      </c>
    </row>
    <row r="573" spans="1:14" x14ac:dyDescent="0.25">
      <c r="A573">
        <v>247.95643200000001</v>
      </c>
      <c r="B573" s="1">
        <f>DATE(2011,1,3) + TIME(22,57,15)</f>
        <v>40546.956423611111</v>
      </c>
      <c r="C573">
        <v>957.97766113</v>
      </c>
      <c r="D573">
        <v>825.59240723000005</v>
      </c>
      <c r="E573">
        <v>1997.2178954999999</v>
      </c>
      <c r="F573">
        <v>1805.3475341999999</v>
      </c>
      <c r="G573">
        <v>80</v>
      </c>
      <c r="H573">
        <v>68.170578003000003</v>
      </c>
      <c r="I573">
        <v>50</v>
      </c>
      <c r="J573">
        <v>49.944797516000001</v>
      </c>
      <c r="K573">
        <v>0</v>
      </c>
      <c r="L573">
        <v>2400</v>
      </c>
      <c r="M573">
        <v>2400</v>
      </c>
      <c r="N573">
        <v>0</v>
      </c>
    </row>
    <row r="574" spans="1:14" x14ac:dyDescent="0.25">
      <c r="A574">
        <v>249.46077199999999</v>
      </c>
      <c r="B574" s="1">
        <f>DATE(2011,1,5) + TIME(11,3,30)</f>
        <v>40548.460763888892</v>
      </c>
      <c r="C574">
        <v>956.81219481999995</v>
      </c>
      <c r="D574">
        <v>824.11169433999999</v>
      </c>
      <c r="E574">
        <v>1996.4185791</v>
      </c>
      <c r="F574">
        <v>1804.5545654</v>
      </c>
      <c r="G574">
        <v>80</v>
      </c>
      <c r="H574">
        <v>67.919044494999994</v>
      </c>
      <c r="I574">
        <v>50</v>
      </c>
      <c r="J574">
        <v>49.944942474000001</v>
      </c>
      <c r="K574">
        <v>0</v>
      </c>
      <c r="L574">
        <v>2400</v>
      </c>
      <c r="M574">
        <v>2400</v>
      </c>
      <c r="N574">
        <v>0</v>
      </c>
    </row>
    <row r="575" spans="1:14" x14ac:dyDescent="0.25">
      <c r="A575">
        <v>250.99455800000001</v>
      </c>
      <c r="B575" s="1">
        <f>DATE(2011,1,6) + TIME(23,52,9)</f>
        <v>40549.99454861111</v>
      </c>
      <c r="C575">
        <v>955.60498046999999</v>
      </c>
      <c r="D575">
        <v>822.56182861000002</v>
      </c>
      <c r="E575">
        <v>1995.6286620999999</v>
      </c>
      <c r="F575">
        <v>1803.7709961</v>
      </c>
      <c r="G575">
        <v>80</v>
      </c>
      <c r="H575">
        <v>67.656517029</v>
      </c>
      <c r="I575">
        <v>50</v>
      </c>
      <c r="J575">
        <v>49.945087432999998</v>
      </c>
      <c r="K575">
        <v>0</v>
      </c>
      <c r="L575">
        <v>2400</v>
      </c>
      <c r="M575">
        <v>2400</v>
      </c>
      <c r="N575">
        <v>0</v>
      </c>
    </row>
    <row r="576" spans="1:14" x14ac:dyDescent="0.25">
      <c r="A576">
        <v>252.56623099999999</v>
      </c>
      <c r="B576" s="1">
        <f>DATE(2011,1,8) + TIME(13,35,22)</f>
        <v>40551.56622685185</v>
      </c>
      <c r="C576">
        <v>954.34814453000001</v>
      </c>
      <c r="D576">
        <v>820.93603515999996</v>
      </c>
      <c r="E576">
        <v>1994.8448486</v>
      </c>
      <c r="F576">
        <v>1802.9934082</v>
      </c>
      <c r="G576">
        <v>80</v>
      </c>
      <c r="H576">
        <v>67.384178161999998</v>
      </c>
      <c r="I576">
        <v>50</v>
      </c>
      <c r="J576">
        <v>49.945240020999996</v>
      </c>
      <c r="K576">
        <v>0</v>
      </c>
      <c r="L576">
        <v>2400</v>
      </c>
      <c r="M576">
        <v>2400</v>
      </c>
      <c r="N576">
        <v>0</v>
      </c>
    </row>
    <row r="577" spans="1:14" x14ac:dyDescent="0.25">
      <c r="A577">
        <v>254.184426</v>
      </c>
      <c r="B577" s="1">
        <f>DATE(2011,1,10) + TIME(4,25,34)</f>
        <v>40553.184421296297</v>
      </c>
      <c r="C577">
        <v>953.03240966999999</v>
      </c>
      <c r="D577">
        <v>819.22283935999997</v>
      </c>
      <c r="E577">
        <v>1994.0629882999999</v>
      </c>
      <c r="F577">
        <v>1802.2180175999999</v>
      </c>
      <c r="G577">
        <v>80</v>
      </c>
      <c r="H577">
        <v>67.101295471</v>
      </c>
      <c r="I577">
        <v>50</v>
      </c>
      <c r="J577">
        <v>49.945392609000002</v>
      </c>
      <c r="K577">
        <v>0</v>
      </c>
      <c r="L577">
        <v>2400</v>
      </c>
      <c r="M577">
        <v>2400</v>
      </c>
      <c r="N577">
        <v>0</v>
      </c>
    </row>
    <row r="578" spans="1:14" x14ac:dyDescent="0.25">
      <c r="A578">
        <v>255.85359199999999</v>
      </c>
      <c r="B578" s="1">
        <f>DATE(2011,1,11) + TIME(20,29,10)</f>
        <v>40554.853587962964</v>
      </c>
      <c r="C578">
        <v>951.64752196999996</v>
      </c>
      <c r="D578">
        <v>817.40893555000002</v>
      </c>
      <c r="E578">
        <v>1993.2796631000001</v>
      </c>
      <c r="F578">
        <v>1801.4410399999999</v>
      </c>
      <c r="G578">
        <v>80</v>
      </c>
      <c r="H578">
        <v>66.806602478000002</v>
      </c>
      <c r="I578">
        <v>50</v>
      </c>
      <c r="J578">
        <v>49.945549010999997</v>
      </c>
      <c r="K578">
        <v>0</v>
      </c>
      <c r="L578">
        <v>2400</v>
      </c>
      <c r="M578">
        <v>2400</v>
      </c>
      <c r="N578">
        <v>0</v>
      </c>
    </row>
    <row r="579" spans="1:14" x14ac:dyDescent="0.25">
      <c r="A579">
        <v>257.53108800000001</v>
      </c>
      <c r="B579" s="1">
        <f>DATE(2011,1,13) + TIME(12,44,45)</f>
        <v>40556.531076388892</v>
      </c>
      <c r="C579">
        <v>950.18572998000002</v>
      </c>
      <c r="D579">
        <v>815.48754883000004</v>
      </c>
      <c r="E579">
        <v>1992.4935303</v>
      </c>
      <c r="F579">
        <v>1800.6612548999999</v>
      </c>
      <c r="G579">
        <v>80</v>
      </c>
      <c r="H579">
        <v>66.501747131000002</v>
      </c>
      <c r="I579">
        <v>50</v>
      </c>
      <c r="J579">
        <v>49.945705414000003</v>
      </c>
      <c r="K579">
        <v>0</v>
      </c>
      <c r="L579">
        <v>2400</v>
      </c>
      <c r="M579">
        <v>2400</v>
      </c>
      <c r="N579">
        <v>0</v>
      </c>
    </row>
    <row r="580" spans="1:14" x14ac:dyDescent="0.25">
      <c r="A580">
        <v>259.21596499999998</v>
      </c>
      <c r="B580" s="1">
        <f>DATE(2011,1,15) + TIME(5,10,59)</f>
        <v>40558.215960648151</v>
      </c>
      <c r="C580">
        <v>948.68188477000001</v>
      </c>
      <c r="D580">
        <v>813.49591064000003</v>
      </c>
      <c r="E580">
        <v>1991.7241211</v>
      </c>
      <c r="F580">
        <v>1799.8980713000001</v>
      </c>
      <c r="G580">
        <v>80</v>
      </c>
      <c r="H580">
        <v>66.189514160000002</v>
      </c>
      <c r="I580">
        <v>50</v>
      </c>
      <c r="J580">
        <v>49.945861815999997</v>
      </c>
      <c r="K580">
        <v>0</v>
      </c>
      <c r="L580">
        <v>2400</v>
      </c>
      <c r="M580">
        <v>2400</v>
      </c>
      <c r="N580">
        <v>0</v>
      </c>
    </row>
    <row r="581" spans="1:14" x14ac:dyDescent="0.25">
      <c r="A581">
        <v>260.91742599999998</v>
      </c>
      <c r="B581" s="1">
        <f>DATE(2011,1,16) + TIME(22,1,5)</f>
        <v>40559.91741898148</v>
      </c>
      <c r="C581">
        <v>947.13659668000003</v>
      </c>
      <c r="D581">
        <v>811.43463135000002</v>
      </c>
      <c r="E581">
        <v>1990.9714355000001</v>
      </c>
      <c r="F581">
        <v>1799.1516113</v>
      </c>
      <c r="G581">
        <v>80</v>
      </c>
      <c r="H581">
        <v>65.870185852000006</v>
      </c>
      <c r="I581">
        <v>50</v>
      </c>
      <c r="J581">
        <v>49.946022034000002</v>
      </c>
      <c r="K581">
        <v>0</v>
      </c>
      <c r="L581">
        <v>2400</v>
      </c>
      <c r="M581">
        <v>2400</v>
      </c>
      <c r="N581">
        <v>0</v>
      </c>
    </row>
    <row r="582" spans="1:14" x14ac:dyDescent="0.25">
      <c r="A582">
        <v>262.64293300000003</v>
      </c>
      <c r="B582" s="1">
        <f>DATE(2011,1,18) + TIME(15,25,49)</f>
        <v>40561.642928240741</v>
      </c>
      <c r="C582">
        <v>945.54040526999995</v>
      </c>
      <c r="D582">
        <v>809.29168701000003</v>
      </c>
      <c r="E582">
        <v>1990.2312012</v>
      </c>
      <c r="F582">
        <v>1798.4173584</v>
      </c>
      <c r="G582">
        <v>80</v>
      </c>
      <c r="H582">
        <v>65.542640685999999</v>
      </c>
      <c r="I582">
        <v>50</v>
      </c>
      <c r="J582">
        <v>49.946178435999997</v>
      </c>
      <c r="K582">
        <v>0</v>
      </c>
      <c r="L582">
        <v>2400</v>
      </c>
      <c r="M582">
        <v>2400</v>
      </c>
      <c r="N582">
        <v>0</v>
      </c>
    </row>
    <row r="583" spans="1:14" x14ac:dyDescent="0.25">
      <c r="A583">
        <v>264.40195499999999</v>
      </c>
      <c r="B583" s="1">
        <f>DATE(2011,1,20) + TIME(9,38,48)</f>
        <v>40563.401944444442</v>
      </c>
      <c r="C583">
        <v>943.88476562000005</v>
      </c>
      <c r="D583">
        <v>807.05480956999997</v>
      </c>
      <c r="E583">
        <v>1989.4997559000001</v>
      </c>
      <c r="F583">
        <v>1797.6920166</v>
      </c>
      <c r="G583">
        <v>80</v>
      </c>
      <c r="H583">
        <v>65.205184936999999</v>
      </c>
      <c r="I583">
        <v>50</v>
      </c>
      <c r="J583">
        <v>49.946342467999997</v>
      </c>
      <c r="K583">
        <v>0</v>
      </c>
      <c r="L583">
        <v>2400</v>
      </c>
      <c r="M583">
        <v>2400</v>
      </c>
      <c r="N583">
        <v>0</v>
      </c>
    </row>
    <row r="584" spans="1:14" x14ac:dyDescent="0.25">
      <c r="A584">
        <v>266.20442600000001</v>
      </c>
      <c r="B584" s="1">
        <f>DATE(2011,1,22) + TIME(4,54,22)</f>
        <v>40565.204421296294</v>
      </c>
      <c r="C584">
        <v>942.15844727000001</v>
      </c>
      <c r="D584">
        <v>804.70788574000005</v>
      </c>
      <c r="E584">
        <v>1988.7730713000001</v>
      </c>
      <c r="F584">
        <v>1796.9713135</v>
      </c>
      <c r="G584">
        <v>80</v>
      </c>
      <c r="H584">
        <v>64.855781554999993</v>
      </c>
      <c r="I584">
        <v>50</v>
      </c>
      <c r="J584">
        <v>49.946506499999998</v>
      </c>
      <c r="K584">
        <v>0</v>
      </c>
      <c r="L584">
        <v>2400</v>
      </c>
      <c r="M584">
        <v>2400</v>
      </c>
      <c r="N584">
        <v>0</v>
      </c>
    </row>
    <row r="585" spans="1:14" x14ac:dyDescent="0.25">
      <c r="A585">
        <v>268.045547</v>
      </c>
      <c r="B585" s="1">
        <f>DATE(2011,1,24) + TIME(1,5,35)</f>
        <v>40567.045543981483</v>
      </c>
      <c r="C585">
        <v>940.34851074000005</v>
      </c>
      <c r="D585">
        <v>802.23400878999996</v>
      </c>
      <c r="E585">
        <v>1988.0474853999999</v>
      </c>
      <c r="F585">
        <v>1796.2515868999999</v>
      </c>
      <c r="G585">
        <v>80</v>
      </c>
      <c r="H585">
        <v>64.493103027000004</v>
      </c>
      <c r="I585">
        <v>50</v>
      </c>
      <c r="J585">
        <v>49.946670531999999</v>
      </c>
      <c r="K585">
        <v>0</v>
      </c>
      <c r="L585">
        <v>2400</v>
      </c>
      <c r="M585">
        <v>2400</v>
      </c>
      <c r="N585">
        <v>0</v>
      </c>
    </row>
    <row r="586" spans="1:14" x14ac:dyDescent="0.25">
      <c r="A586">
        <v>269.93503199999998</v>
      </c>
      <c r="B586" s="1">
        <f>DATE(2011,1,25) + TIME(22,26,26)</f>
        <v>40568.935023148151</v>
      </c>
      <c r="C586">
        <v>938.45660399999997</v>
      </c>
      <c r="D586">
        <v>799.63098145000004</v>
      </c>
      <c r="E586">
        <v>1987.3248291</v>
      </c>
      <c r="F586">
        <v>1795.5349120999999</v>
      </c>
      <c r="G586">
        <v>80</v>
      </c>
      <c r="H586">
        <v>64.115921021000005</v>
      </c>
      <c r="I586">
        <v>50</v>
      </c>
      <c r="J586">
        <v>49.946842193999998</v>
      </c>
      <c r="K586">
        <v>0</v>
      </c>
      <c r="L586">
        <v>2400</v>
      </c>
      <c r="M586">
        <v>2400</v>
      </c>
      <c r="N586">
        <v>0</v>
      </c>
    </row>
    <row r="587" spans="1:14" x14ac:dyDescent="0.25">
      <c r="A587">
        <v>271.83241700000002</v>
      </c>
      <c r="B587" s="1">
        <f>DATE(2011,1,27) + TIME(19,58,40)</f>
        <v>40570.832407407404</v>
      </c>
      <c r="C587">
        <v>936.46929932</v>
      </c>
      <c r="D587">
        <v>796.88549805000002</v>
      </c>
      <c r="E587">
        <v>1986.6020507999999</v>
      </c>
      <c r="F587">
        <v>1794.8179932</v>
      </c>
      <c r="G587">
        <v>80</v>
      </c>
      <c r="H587">
        <v>63.725486754999999</v>
      </c>
      <c r="I587">
        <v>50</v>
      </c>
      <c r="J587">
        <v>49.947010040000002</v>
      </c>
      <c r="K587">
        <v>0</v>
      </c>
      <c r="L587">
        <v>2400</v>
      </c>
      <c r="M587">
        <v>2400</v>
      </c>
      <c r="N587">
        <v>0</v>
      </c>
    </row>
    <row r="588" spans="1:14" x14ac:dyDescent="0.25">
      <c r="A588">
        <v>273.74403899999999</v>
      </c>
      <c r="B588" s="1">
        <f>DATE(2011,1,29) + TIME(17,51,24)</f>
        <v>40572.744027777779</v>
      </c>
      <c r="C588">
        <v>934.42639159999999</v>
      </c>
      <c r="D588">
        <v>794.04156493999994</v>
      </c>
      <c r="E588">
        <v>1985.8939209</v>
      </c>
      <c r="F588">
        <v>1794.1157227000001</v>
      </c>
      <c r="G588">
        <v>80</v>
      </c>
      <c r="H588">
        <v>63.324539184999999</v>
      </c>
      <c r="I588">
        <v>50</v>
      </c>
      <c r="J588">
        <v>49.947177887000002</v>
      </c>
      <c r="K588">
        <v>0</v>
      </c>
      <c r="L588">
        <v>2400</v>
      </c>
      <c r="M588">
        <v>2400</v>
      </c>
      <c r="N588">
        <v>0</v>
      </c>
    </row>
    <row r="589" spans="1:14" x14ac:dyDescent="0.25">
      <c r="A589">
        <v>275.67879099999999</v>
      </c>
      <c r="B589" s="1">
        <f>DATE(2011,1,31) + TIME(16,17,27)</f>
        <v>40574.678784722222</v>
      </c>
      <c r="C589">
        <v>932.32104491999996</v>
      </c>
      <c r="D589">
        <v>791.09088135000002</v>
      </c>
      <c r="E589">
        <v>1985.1979980000001</v>
      </c>
      <c r="F589">
        <v>1793.4255370999999</v>
      </c>
      <c r="G589">
        <v>80</v>
      </c>
      <c r="H589">
        <v>62.912761688000003</v>
      </c>
      <c r="I589">
        <v>50</v>
      </c>
      <c r="J589">
        <v>49.947349547999998</v>
      </c>
      <c r="K589">
        <v>0</v>
      </c>
      <c r="L589">
        <v>2400</v>
      </c>
      <c r="M589">
        <v>2400</v>
      </c>
      <c r="N589">
        <v>0</v>
      </c>
    </row>
    <row r="590" spans="1:14" x14ac:dyDescent="0.25">
      <c r="A590">
        <v>276</v>
      </c>
      <c r="B590" s="1">
        <f>DATE(2011,2,1) + TIME(0,0,0)</f>
        <v>40575</v>
      </c>
      <c r="C590">
        <v>930.20965576000003</v>
      </c>
      <c r="D590">
        <v>788.60620116999996</v>
      </c>
      <c r="E590">
        <v>1984.5635986</v>
      </c>
      <c r="F590">
        <v>1792.7962646000001</v>
      </c>
      <c r="G590">
        <v>80</v>
      </c>
      <c r="H590">
        <v>62.751430511000002</v>
      </c>
      <c r="I590">
        <v>50</v>
      </c>
      <c r="J590">
        <v>49.947330475000001</v>
      </c>
      <c r="K590">
        <v>0</v>
      </c>
      <c r="L590">
        <v>2400</v>
      </c>
      <c r="M590">
        <v>2400</v>
      </c>
      <c r="N590">
        <v>0</v>
      </c>
    </row>
    <row r="591" spans="1:14" x14ac:dyDescent="0.25">
      <c r="A591">
        <v>277.96174200000002</v>
      </c>
      <c r="B591" s="1">
        <f>DATE(2011,2,2) + TIME(23,4,54)</f>
        <v>40576.961736111109</v>
      </c>
      <c r="C591">
        <v>929.75079345999995</v>
      </c>
      <c r="D591">
        <v>787.40881348000005</v>
      </c>
      <c r="E591">
        <v>1984.3878173999999</v>
      </c>
      <c r="F591">
        <v>1792.6218262</v>
      </c>
      <c r="G591">
        <v>80</v>
      </c>
      <c r="H591">
        <v>62.388252258000001</v>
      </c>
      <c r="I591">
        <v>50</v>
      </c>
      <c r="J591">
        <v>49.947555542000003</v>
      </c>
      <c r="K591">
        <v>0</v>
      </c>
      <c r="L591">
        <v>2400</v>
      </c>
      <c r="M591">
        <v>2400</v>
      </c>
      <c r="N591">
        <v>0</v>
      </c>
    </row>
    <row r="592" spans="1:14" x14ac:dyDescent="0.25">
      <c r="A592">
        <v>279.96353699999997</v>
      </c>
      <c r="B592" s="1">
        <f>DATE(2011,2,4) + TIME(23,7,29)</f>
        <v>40578.963530092595</v>
      </c>
      <c r="C592">
        <v>927.50598145000004</v>
      </c>
      <c r="D592">
        <v>784.25573729999996</v>
      </c>
      <c r="E592">
        <v>1983.7193603999999</v>
      </c>
      <c r="F592">
        <v>1791.9588623</v>
      </c>
      <c r="G592">
        <v>80</v>
      </c>
      <c r="H592">
        <v>61.969261168999999</v>
      </c>
      <c r="I592">
        <v>50</v>
      </c>
      <c r="J592">
        <v>49.947723388999997</v>
      </c>
      <c r="K592">
        <v>0</v>
      </c>
      <c r="L592">
        <v>2400</v>
      </c>
      <c r="M592">
        <v>2400</v>
      </c>
      <c r="N592">
        <v>0</v>
      </c>
    </row>
    <row r="593" spans="1:14" x14ac:dyDescent="0.25">
      <c r="A593">
        <v>282.00822399999998</v>
      </c>
      <c r="B593" s="1">
        <f>DATE(2011,2,7) + TIME(0,11,50)</f>
        <v>40581.008217592593</v>
      </c>
      <c r="C593">
        <v>925.14520263999998</v>
      </c>
      <c r="D593">
        <v>780.89587401999995</v>
      </c>
      <c r="E593">
        <v>1983.0444336</v>
      </c>
      <c r="F593">
        <v>1791.2894286999999</v>
      </c>
      <c r="G593">
        <v>80</v>
      </c>
      <c r="H593">
        <v>61.520954132</v>
      </c>
      <c r="I593">
        <v>50</v>
      </c>
      <c r="J593">
        <v>49.947898864999999</v>
      </c>
      <c r="K593">
        <v>0</v>
      </c>
      <c r="L593">
        <v>2400</v>
      </c>
      <c r="M593">
        <v>2400</v>
      </c>
      <c r="N593">
        <v>0</v>
      </c>
    </row>
    <row r="594" spans="1:14" x14ac:dyDescent="0.25">
      <c r="A594">
        <v>284.10757999999998</v>
      </c>
      <c r="B594" s="1">
        <f>DATE(2011,2,9) + TIME(2,34,54)</f>
        <v>40583.107569444444</v>
      </c>
      <c r="C594">
        <v>922.67950439000003</v>
      </c>
      <c r="D594">
        <v>777.35540771000001</v>
      </c>
      <c r="E594">
        <v>1982.3703613</v>
      </c>
      <c r="F594">
        <v>1790.6208495999999</v>
      </c>
      <c r="G594">
        <v>80</v>
      </c>
      <c r="H594">
        <v>61.050941467000001</v>
      </c>
      <c r="I594">
        <v>50</v>
      </c>
      <c r="J594">
        <v>49.948078156000001</v>
      </c>
      <c r="K594">
        <v>0</v>
      </c>
      <c r="L594">
        <v>2400</v>
      </c>
      <c r="M594">
        <v>2400</v>
      </c>
      <c r="N594">
        <v>0</v>
      </c>
    </row>
    <row r="595" spans="1:14" x14ac:dyDescent="0.25">
      <c r="A595">
        <v>286.23795100000001</v>
      </c>
      <c r="B595" s="1">
        <f>DATE(2011,2,11) + TIME(5,42,38)</f>
        <v>40585.237939814811</v>
      </c>
      <c r="C595">
        <v>920.09277343999997</v>
      </c>
      <c r="D595">
        <v>773.62133788999995</v>
      </c>
      <c r="E595">
        <v>1981.6942139</v>
      </c>
      <c r="F595">
        <v>1789.9501952999999</v>
      </c>
      <c r="G595">
        <v>80</v>
      </c>
      <c r="H595">
        <v>60.562236786</v>
      </c>
      <c r="I595">
        <v>50</v>
      </c>
      <c r="J595">
        <v>49.948257446</v>
      </c>
      <c r="K595">
        <v>0</v>
      </c>
      <c r="L595">
        <v>2400</v>
      </c>
      <c r="M595">
        <v>2400</v>
      </c>
      <c r="N595">
        <v>0</v>
      </c>
    </row>
    <row r="596" spans="1:14" x14ac:dyDescent="0.25">
      <c r="A596">
        <v>288.372432</v>
      </c>
      <c r="B596" s="1">
        <f>DATE(2011,2,13) + TIME(8,56,18)</f>
        <v>40587.372430555559</v>
      </c>
      <c r="C596">
        <v>917.41021728999999</v>
      </c>
      <c r="D596">
        <v>769.72808838000003</v>
      </c>
      <c r="E596">
        <v>1981.0233154</v>
      </c>
      <c r="F596">
        <v>1789.284668</v>
      </c>
      <c r="G596">
        <v>80</v>
      </c>
      <c r="H596">
        <v>60.059707641999999</v>
      </c>
      <c r="I596">
        <v>50</v>
      </c>
      <c r="J596">
        <v>49.948436737000002</v>
      </c>
      <c r="K596">
        <v>0</v>
      </c>
      <c r="L596">
        <v>2400</v>
      </c>
      <c r="M596">
        <v>2400</v>
      </c>
      <c r="N596">
        <v>0</v>
      </c>
    </row>
    <row r="597" spans="1:14" x14ac:dyDescent="0.25">
      <c r="A597">
        <v>290.52270900000002</v>
      </c>
      <c r="B597" s="1">
        <f>DATE(2011,2,15) + TIME(12,32,42)</f>
        <v>40589.52270833333</v>
      </c>
      <c r="C597">
        <v>914.66546631000006</v>
      </c>
      <c r="D597">
        <v>765.71533203000001</v>
      </c>
      <c r="E597">
        <v>1980.3657227000001</v>
      </c>
      <c r="F597">
        <v>1788.6322021000001</v>
      </c>
      <c r="G597">
        <v>80</v>
      </c>
      <c r="H597">
        <v>59.545814514</v>
      </c>
      <c r="I597">
        <v>50</v>
      </c>
      <c r="J597">
        <v>49.948616028000004</v>
      </c>
      <c r="K597">
        <v>0</v>
      </c>
      <c r="L597">
        <v>2400</v>
      </c>
      <c r="M597">
        <v>2400</v>
      </c>
      <c r="N597">
        <v>0</v>
      </c>
    </row>
    <row r="598" spans="1:14" x14ac:dyDescent="0.25">
      <c r="A598">
        <v>292.700378</v>
      </c>
      <c r="B598" s="1">
        <f>DATE(2011,2,17) + TIME(16,48,32)</f>
        <v>40591.700370370374</v>
      </c>
      <c r="C598">
        <v>911.84399413999995</v>
      </c>
      <c r="D598">
        <v>761.56530762</v>
      </c>
      <c r="E598">
        <v>1979.7172852000001</v>
      </c>
      <c r="F598">
        <v>1787.9891356999999</v>
      </c>
      <c r="G598">
        <v>80</v>
      </c>
      <c r="H598">
        <v>59.019874573000003</v>
      </c>
      <c r="I598">
        <v>50</v>
      </c>
      <c r="J598">
        <v>49.948799133000001</v>
      </c>
      <c r="K598">
        <v>0</v>
      </c>
      <c r="L598">
        <v>2400</v>
      </c>
      <c r="M598">
        <v>2400</v>
      </c>
      <c r="N598">
        <v>0</v>
      </c>
    </row>
    <row r="599" spans="1:14" x14ac:dyDescent="0.25">
      <c r="A599">
        <v>294.916292</v>
      </c>
      <c r="B599" s="1">
        <f>DATE(2011,2,19) + TIME(21,59,27)</f>
        <v>40593.916284722225</v>
      </c>
      <c r="C599">
        <v>908.93029784999999</v>
      </c>
      <c r="D599">
        <v>757.25543213000003</v>
      </c>
      <c r="E599">
        <v>1979.0744629000001</v>
      </c>
      <c r="F599">
        <v>1787.3513184000001</v>
      </c>
      <c r="G599">
        <v>80</v>
      </c>
      <c r="H599">
        <v>58.479606627999999</v>
      </c>
      <c r="I599">
        <v>50</v>
      </c>
      <c r="J599">
        <v>49.948982239000003</v>
      </c>
      <c r="K599">
        <v>0</v>
      </c>
      <c r="L599">
        <v>2400</v>
      </c>
      <c r="M599">
        <v>2400</v>
      </c>
      <c r="N599">
        <v>0</v>
      </c>
    </row>
    <row r="600" spans="1:14" x14ac:dyDescent="0.25">
      <c r="A600">
        <v>297.17999900000001</v>
      </c>
      <c r="B600" s="1">
        <f>DATE(2011,2,22) + TIME(4,19,11)</f>
        <v>40596.179988425924</v>
      </c>
      <c r="C600">
        <v>905.90875243999994</v>
      </c>
      <c r="D600">
        <v>752.76153564000003</v>
      </c>
      <c r="E600">
        <v>1978.4335937999999</v>
      </c>
      <c r="F600">
        <v>1786.7154541</v>
      </c>
      <c r="G600">
        <v>80</v>
      </c>
      <c r="H600">
        <v>57.922435759999999</v>
      </c>
      <c r="I600">
        <v>50</v>
      </c>
      <c r="J600">
        <v>49.949165344000001</v>
      </c>
      <c r="K600">
        <v>0</v>
      </c>
      <c r="L600">
        <v>2400</v>
      </c>
      <c r="M600">
        <v>2400</v>
      </c>
      <c r="N600">
        <v>0</v>
      </c>
    </row>
    <row r="601" spans="1:14" x14ac:dyDescent="0.25">
      <c r="A601">
        <v>299.50484399999999</v>
      </c>
      <c r="B601" s="1">
        <f>DATE(2011,2,24) + TIME(12,6,58)</f>
        <v>40598.504837962966</v>
      </c>
      <c r="C601">
        <v>902.76440430000002</v>
      </c>
      <c r="D601">
        <v>748.05871581999997</v>
      </c>
      <c r="E601">
        <v>1977.7918701000001</v>
      </c>
      <c r="F601">
        <v>1786.0788574000001</v>
      </c>
      <c r="G601">
        <v>80</v>
      </c>
      <c r="H601">
        <v>57.345542907999999</v>
      </c>
      <c r="I601">
        <v>50</v>
      </c>
      <c r="J601">
        <v>49.949352263999998</v>
      </c>
      <c r="K601">
        <v>0</v>
      </c>
      <c r="L601">
        <v>2400</v>
      </c>
      <c r="M601">
        <v>2400</v>
      </c>
      <c r="N601">
        <v>0</v>
      </c>
    </row>
    <row r="602" spans="1:14" x14ac:dyDescent="0.25">
      <c r="A602">
        <v>301.84698600000002</v>
      </c>
      <c r="B602" s="1">
        <f>DATE(2011,2,26) + TIME(20,19,39)</f>
        <v>40600.846979166665</v>
      </c>
      <c r="C602">
        <v>899.47625731999995</v>
      </c>
      <c r="D602">
        <v>743.12384033000001</v>
      </c>
      <c r="E602">
        <v>1977.1456298999999</v>
      </c>
      <c r="F602">
        <v>1785.4376221</v>
      </c>
      <c r="G602">
        <v>80</v>
      </c>
      <c r="H602">
        <v>56.749599457000002</v>
      </c>
      <c r="I602">
        <v>50</v>
      </c>
      <c r="J602">
        <v>49.949542999000002</v>
      </c>
      <c r="K602">
        <v>0</v>
      </c>
      <c r="L602">
        <v>2400</v>
      </c>
      <c r="M602">
        <v>2400</v>
      </c>
      <c r="N602">
        <v>0</v>
      </c>
    </row>
    <row r="603" spans="1:14" x14ac:dyDescent="0.25">
      <c r="A603">
        <v>304</v>
      </c>
      <c r="B603" s="1">
        <f>DATE(2011,3,1) + TIME(0,0,0)</f>
        <v>40603</v>
      </c>
      <c r="C603">
        <v>896.10412598000005</v>
      </c>
      <c r="D603">
        <v>738.07006836000005</v>
      </c>
      <c r="E603">
        <v>1976.5068358999999</v>
      </c>
      <c r="F603">
        <v>1784.8037108999999</v>
      </c>
      <c r="G603">
        <v>80</v>
      </c>
      <c r="H603">
        <v>56.155750275000003</v>
      </c>
      <c r="I603">
        <v>50</v>
      </c>
      <c r="J603">
        <v>49.949710846000002</v>
      </c>
      <c r="K603">
        <v>0</v>
      </c>
      <c r="L603">
        <v>2400</v>
      </c>
      <c r="M603">
        <v>2400</v>
      </c>
      <c r="N603">
        <v>0</v>
      </c>
    </row>
    <row r="604" spans="1:14" x14ac:dyDescent="0.25">
      <c r="A604">
        <v>306.35679399999998</v>
      </c>
      <c r="B604" s="1">
        <f>DATE(2011,3,3) + TIME(8,33,46)</f>
        <v>40605.356782407405</v>
      </c>
      <c r="C604">
        <v>892.94757079999999</v>
      </c>
      <c r="D604">
        <v>733.21337890999996</v>
      </c>
      <c r="E604">
        <v>1975.9278564000001</v>
      </c>
      <c r="F604">
        <v>1784.2292480000001</v>
      </c>
      <c r="G604">
        <v>80</v>
      </c>
      <c r="H604">
        <v>55.563110352000002</v>
      </c>
      <c r="I604">
        <v>50</v>
      </c>
      <c r="J604">
        <v>49.949901580999999</v>
      </c>
      <c r="K604">
        <v>0</v>
      </c>
      <c r="L604">
        <v>2400</v>
      </c>
      <c r="M604">
        <v>2400</v>
      </c>
      <c r="N604">
        <v>0</v>
      </c>
    </row>
    <row r="605" spans="1:14" x14ac:dyDescent="0.25">
      <c r="A605">
        <v>308.73888599999998</v>
      </c>
      <c r="B605" s="1">
        <f>DATE(2011,3,5) + TIME(17,43,59)</f>
        <v>40607.738877314812</v>
      </c>
      <c r="C605">
        <v>889.45172118999994</v>
      </c>
      <c r="D605">
        <v>727.89221191000001</v>
      </c>
      <c r="E605">
        <v>1975.3074951000001</v>
      </c>
      <c r="F605">
        <v>1783.6135254000001</v>
      </c>
      <c r="G605">
        <v>80</v>
      </c>
      <c r="H605">
        <v>54.941802979000002</v>
      </c>
      <c r="I605">
        <v>50</v>
      </c>
      <c r="J605">
        <v>49.950084685999997</v>
      </c>
      <c r="K605">
        <v>0</v>
      </c>
      <c r="L605">
        <v>2400</v>
      </c>
      <c r="M605">
        <v>2400</v>
      </c>
      <c r="N605">
        <v>0</v>
      </c>
    </row>
    <row r="606" spans="1:14" x14ac:dyDescent="0.25">
      <c r="A606">
        <v>311.135289</v>
      </c>
      <c r="B606" s="1">
        <f>DATE(2011,3,8) + TIME(3,14,48)</f>
        <v>40610.135277777779</v>
      </c>
      <c r="C606">
        <v>885.86096191000001</v>
      </c>
      <c r="D606">
        <v>722.38958739999998</v>
      </c>
      <c r="E606">
        <v>1974.6898193</v>
      </c>
      <c r="F606">
        <v>1783.0004882999999</v>
      </c>
      <c r="G606">
        <v>80</v>
      </c>
      <c r="H606">
        <v>54.304164886000002</v>
      </c>
      <c r="I606">
        <v>50</v>
      </c>
      <c r="J606">
        <v>49.950271606000001</v>
      </c>
      <c r="K606">
        <v>0</v>
      </c>
      <c r="L606">
        <v>2400</v>
      </c>
      <c r="M606">
        <v>2400</v>
      </c>
      <c r="N606">
        <v>0</v>
      </c>
    </row>
    <row r="607" spans="1:14" x14ac:dyDescent="0.25">
      <c r="A607">
        <v>313.54442299999999</v>
      </c>
      <c r="B607" s="1">
        <f>DATE(2011,3,10) + TIME(13,3,58)</f>
        <v>40612.544421296298</v>
      </c>
      <c r="C607">
        <v>882.19659423999997</v>
      </c>
      <c r="D607">
        <v>716.74108887</v>
      </c>
      <c r="E607">
        <v>1974.0778809000001</v>
      </c>
      <c r="F607">
        <v>1782.3931885</v>
      </c>
      <c r="G607">
        <v>80</v>
      </c>
      <c r="H607">
        <v>53.655494689999998</v>
      </c>
      <c r="I607">
        <v>50</v>
      </c>
      <c r="J607">
        <v>49.950458527000002</v>
      </c>
      <c r="K607">
        <v>0</v>
      </c>
      <c r="L607">
        <v>2400</v>
      </c>
      <c r="M607">
        <v>2400</v>
      </c>
      <c r="N607">
        <v>0</v>
      </c>
    </row>
    <row r="608" spans="1:14" x14ac:dyDescent="0.25">
      <c r="A608">
        <v>315.96657699999997</v>
      </c>
      <c r="B608" s="1">
        <f>DATE(2011,3,12) + TIME(23,11,52)</f>
        <v>40614.966574074075</v>
      </c>
      <c r="C608">
        <v>878.46386718999997</v>
      </c>
      <c r="D608">
        <v>710.95690918000003</v>
      </c>
      <c r="E608">
        <v>1973.4719238</v>
      </c>
      <c r="F608">
        <v>1781.791626</v>
      </c>
      <c r="G608">
        <v>80</v>
      </c>
      <c r="H608">
        <v>52.997894287000001</v>
      </c>
      <c r="I608">
        <v>50</v>
      </c>
      <c r="J608">
        <v>49.950641632</v>
      </c>
      <c r="K608">
        <v>0</v>
      </c>
      <c r="L608">
        <v>2400</v>
      </c>
      <c r="M608">
        <v>2400</v>
      </c>
      <c r="N608">
        <v>0</v>
      </c>
    </row>
    <row r="609" spans="1:14" x14ac:dyDescent="0.25">
      <c r="A609">
        <v>318.39941700000003</v>
      </c>
      <c r="B609" s="1">
        <f>DATE(2011,3,15) + TIME(9,35,9)</f>
        <v>40617.399409722224</v>
      </c>
      <c r="C609">
        <v>874.66473388999998</v>
      </c>
      <c r="D609">
        <v>705.04046631000006</v>
      </c>
      <c r="E609">
        <v>1972.8710937999999</v>
      </c>
      <c r="F609">
        <v>1781.1951904</v>
      </c>
      <c r="G609">
        <v>80</v>
      </c>
      <c r="H609">
        <v>52.332588196000003</v>
      </c>
      <c r="I609">
        <v>50</v>
      </c>
      <c r="J609">
        <v>49.950828551999997</v>
      </c>
      <c r="K609">
        <v>0</v>
      </c>
      <c r="L609">
        <v>2400</v>
      </c>
      <c r="M609">
        <v>2400</v>
      </c>
      <c r="N609">
        <v>0</v>
      </c>
    </row>
    <row r="610" spans="1:14" x14ac:dyDescent="0.25">
      <c r="A610">
        <v>320.84353299999998</v>
      </c>
      <c r="B610" s="1">
        <f>DATE(2011,3,17) + TIME(20,14,41)</f>
        <v>40619.843530092592</v>
      </c>
      <c r="C610">
        <v>870.80487060999997</v>
      </c>
      <c r="D610">
        <v>698.99945068</v>
      </c>
      <c r="E610">
        <v>1972.2756348</v>
      </c>
      <c r="F610">
        <v>1780.6040039</v>
      </c>
      <c r="G610">
        <v>80</v>
      </c>
      <c r="H610">
        <v>51.660705565999997</v>
      </c>
      <c r="I610">
        <v>50</v>
      </c>
      <c r="J610">
        <v>49.951011657999999</v>
      </c>
      <c r="K610">
        <v>0</v>
      </c>
      <c r="L610">
        <v>2400</v>
      </c>
      <c r="M610">
        <v>2400</v>
      </c>
      <c r="N610">
        <v>0</v>
      </c>
    </row>
    <row r="611" spans="1:14" x14ac:dyDescent="0.25">
      <c r="A611">
        <v>323.30381599999998</v>
      </c>
      <c r="B611" s="1">
        <f>DATE(2011,3,20) + TIME(7,17,29)</f>
        <v>40622.303807870368</v>
      </c>
      <c r="C611">
        <v>866.88629149999997</v>
      </c>
      <c r="D611">
        <v>692.83538818</v>
      </c>
      <c r="E611">
        <v>1971.6848144999999</v>
      </c>
      <c r="F611">
        <v>1780.0174560999999</v>
      </c>
      <c r="G611">
        <v>80</v>
      </c>
      <c r="H611">
        <v>50.982707976999997</v>
      </c>
      <c r="I611">
        <v>50</v>
      </c>
      <c r="J611">
        <v>49.951194762999997</v>
      </c>
      <c r="K611">
        <v>0</v>
      </c>
      <c r="L611">
        <v>2400</v>
      </c>
      <c r="M611">
        <v>2400</v>
      </c>
      <c r="N611">
        <v>0</v>
      </c>
    </row>
    <row r="612" spans="1:14" x14ac:dyDescent="0.25">
      <c r="A612">
        <v>325.78200900000002</v>
      </c>
      <c r="B612" s="1">
        <f>DATE(2011,3,22) + TIME(18,46,5)</f>
        <v>40624.782002314816</v>
      </c>
      <c r="C612">
        <v>862.90454102000001</v>
      </c>
      <c r="D612">
        <v>686.54241943</v>
      </c>
      <c r="E612">
        <v>1971.097168</v>
      </c>
      <c r="F612">
        <v>1779.4338379000001</v>
      </c>
      <c r="G612">
        <v>80</v>
      </c>
      <c r="H612">
        <v>50.298683167</v>
      </c>
      <c r="I612">
        <v>50</v>
      </c>
      <c r="J612">
        <v>49.951377868999998</v>
      </c>
      <c r="K612">
        <v>0</v>
      </c>
      <c r="L612">
        <v>2400</v>
      </c>
      <c r="M612">
        <v>2400</v>
      </c>
      <c r="N612">
        <v>0</v>
      </c>
    </row>
    <row r="613" spans="1:14" x14ac:dyDescent="0.25">
      <c r="A613">
        <v>328.27211</v>
      </c>
      <c r="B613" s="1">
        <f>DATE(2011,3,25) + TIME(6,31,50)</f>
        <v>40627.272106481483</v>
      </c>
      <c r="C613">
        <v>858.86016845999995</v>
      </c>
      <c r="D613">
        <v>680.12213135000002</v>
      </c>
      <c r="E613">
        <v>1970.5117187999999</v>
      </c>
      <c r="F613">
        <v>1778.8524170000001</v>
      </c>
      <c r="G613">
        <v>80</v>
      </c>
      <c r="H613">
        <v>49.609306334999999</v>
      </c>
      <c r="I613">
        <v>50</v>
      </c>
      <c r="J613">
        <v>49.951560974000003</v>
      </c>
      <c r="K613">
        <v>0</v>
      </c>
      <c r="L613">
        <v>2400</v>
      </c>
      <c r="M613">
        <v>2400</v>
      </c>
      <c r="N613">
        <v>0</v>
      </c>
    </row>
    <row r="614" spans="1:14" x14ac:dyDescent="0.25">
      <c r="A614">
        <v>330.78019999999998</v>
      </c>
      <c r="B614" s="1">
        <f>DATE(2011,3,27) + TIME(18,43,29)</f>
        <v>40629.78019675926</v>
      </c>
      <c r="C614">
        <v>854.76684569999998</v>
      </c>
      <c r="D614">
        <v>673.59075928000004</v>
      </c>
      <c r="E614">
        <v>1969.9293213000001</v>
      </c>
      <c r="F614">
        <v>1778.2741699000001</v>
      </c>
      <c r="G614">
        <v>80</v>
      </c>
      <c r="H614">
        <v>48.915451050000001</v>
      </c>
      <c r="I614">
        <v>50</v>
      </c>
      <c r="J614">
        <v>49.951744079999997</v>
      </c>
      <c r="K614">
        <v>0</v>
      </c>
      <c r="L614">
        <v>2400</v>
      </c>
      <c r="M614">
        <v>2400</v>
      </c>
      <c r="N614">
        <v>0</v>
      </c>
    </row>
    <row r="615" spans="1:14" x14ac:dyDescent="0.25">
      <c r="A615">
        <v>333.309482</v>
      </c>
      <c r="B615" s="1">
        <f>DATE(2011,3,30) + TIME(7,25,39)</f>
        <v>40632.309479166666</v>
      </c>
      <c r="C615">
        <v>850.61883545000001</v>
      </c>
      <c r="D615">
        <v>666.94110106999995</v>
      </c>
      <c r="E615">
        <v>1969.3485106999999</v>
      </c>
      <c r="F615">
        <v>1777.6971435999999</v>
      </c>
      <c r="G615">
        <v>80</v>
      </c>
      <c r="H615">
        <v>48.217227936</v>
      </c>
      <c r="I615">
        <v>50</v>
      </c>
      <c r="J615">
        <v>49.951923370000003</v>
      </c>
      <c r="K615">
        <v>0</v>
      </c>
      <c r="L615">
        <v>2400</v>
      </c>
      <c r="M615">
        <v>2400</v>
      </c>
      <c r="N615">
        <v>0</v>
      </c>
    </row>
    <row r="616" spans="1:14" x14ac:dyDescent="0.25">
      <c r="A616">
        <v>335</v>
      </c>
      <c r="B616" s="1">
        <f>DATE(2011,4,1) + TIME(0,0,0)</f>
        <v>40634</v>
      </c>
      <c r="C616">
        <v>846.42614746000004</v>
      </c>
      <c r="D616">
        <v>660.45379638999998</v>
      </c>
      <c r="E616">
        <v>1968.7727050999999</v>
      </c>
      <c r="F616">
        <v>1777.1251221</v>
      </c>
      <c r="G616">
        <v>80</v>
      </c>
      <c r="H616">
        <v>47.597209929999998</v>
      </c>
      <c r="I616">
        <v>50</v>
      </c>
      <c r="J616">
        <v>49.952037810999997</v>
      </c>
      <c r="K616">
        <v>0</v>
      </c>
      <c r="L616">
        <v>2400</v>
      </c>
      <c r="M616">
        <v>2400</v>
      </c>
      <c r="N616">
        <v>0</v>
      </c>
    </row>
    <row r="617" spans="1:14" x14ac:dyDescent="0.25">
      <c r="A617">
        <v>337.55186700000002</v>
      </c>
      <c r="B617" s="1">
        <f>DATE(2011,4,3) + TIME(13,14,41)</f>
        <v>40636.551863425928</v>
      </c>
      <c r="C617">
        <v>843.57958984000004</v>
      </c>
      <c r="D617">
        <v>655.45770263999998</v>
      </c>
      <c r="E617">
        <v>1968.3758545000001</v>
      </c>
      <c r="F617">
        <v>1776.7308350000001</v>
      </c>
      <c r="G617">
        <v>80</v>
      </c>
      <c r="H617">
        <v>47.007579802999999</v>
      </c>
      <c r="I617">
        <v>50</v>
      </c>
      <c r="J617">
        <v>49.952232361</v>
      </c>
      <c r="K617">
        <v>0</v>
      </c>
      <c r="L617">
        <v>2400</v>
      </c>
      <c r="M617">
        <v>2400</v>
      </c>
      <c r="N617">
        <v>0</v>
      </c>
    </row>
    <row r="618" spans="1:14" x14ac:dyDescent="0.25">
      <c r="A618">
        <v>340.156182</v>
      </c>
      <c r="B618" s="1">
        <f>DATE(2011,4,6) + TIME(3,44,54)</f>
        <v>40639.156180555554</v>
      </c>
      <c r="C618">
        <v>839.33575439000003</v>
      </c>
      <c r="D618">
        <v>648.65655518000005</v>
      </c>
      <c r="E618">
        <v>1967.8027344</v>
      </c>
      <c r="F618">
        <v>1776.1613769999999</v>
      </c>
      <c r="G618">
        <v>80</v>
      </c>
      <c r="H618">
        <v>46.331165314000003</v>
      </c>
      <c r="I618">
        <v>50</v>
      </c>
      <c r="J618">
        <v>49.952411652000002</v>
      </c>
      <c r="K618">
        <v>0</v>
      </c>
      <c r="L618">
        <v>2400</v>
      </c>
      <c r="M618">
        <v>2400</v>
      </c>
      <c r="N618">
        <v>0</v>
      </c>
    </row>
    <row r="619" spans="1:14" x14ac:dyDescent="0.25">
      <c r="A619">
        <v>342.79885300000001</v>
      </c>
      <c r="B619" s="1">
        <f>DATE(2011,4,8) + TIME(19,10,20)</f>
        <v>40641.798842592594</v>
      </c>
      <c r="C619">
        <v>834.97943114999998</v>
      </c>
      <c r="D619">
        <v>641.58166503999996</v>
      </c>
      <c r="E619">
        <v>1967.2170410000001</v>
      </c>
      <c r="F619">
        <v>1775.5794678</v>
      </c>
      <c r="G619">
        <v>80</v>
      </c>
      <c r="H619">
        <v>45.625892639</v>
      </c>
      <c r="I619">
        <v>50</v>
      </c>
      <c r="J619">
        <v>49.952594757</v>
      </c>
      <c r="K619">
        <v>0</v>
      </c>
      <c r="L619">
        <v>2400</v>
      </c>
      <c r="M619">
        <v>2400</v>
      </c>
      <c r="N619">
        <v>0</v>
      </c>
    </row>
    <row r="620" spans="1:14" x14ac:dyDescent="0.25">
      <c r="A620">
        <v>345.48885200000001</v>
      </c>
      <c r="B620" s="1">
        <f>DATE(2011,4,11) + TIME(11,43,56)</f>
        <v>40644.488842592589</v>
      </c>
      <c r="C620">
        <v>830.55346680000002</v>
      </c>
      <c r="D620">
        <v>634.33856201000003</v>
      </c>
      <c r="E620">
        <v>1966.6263428</v>
      </c>
      <c r="F620">
        <v>1774.9923096</v>
      </c>
      <c r="G620">
        <v>80</v>
      </c>
      <c r="H620">
        <v>44.909259796000001</v>
      </c>
      <c r="I620">
        <v>50</v>
      </c>
      <c r="J620">
        <v>49.952781676999997</v>
      </c>
      <c r="K620">
        <v>0</v>
      </c>
      <c r="L620">
        <v>2400</v>
      </c>
      <c r="M620">
        <v>2400</v>
      </c>
      <c r="N620">
        <v>0</v>
      </c>
    </row>
    <row r="621" spans="1:14" x14ac:dyDescent="0.25">
      <c r="A621">
        <v>348.23353500000002</v>
      </c>
      <c r="B621" s="1">
        <f>DATE(2011,4,14) + TIME(5,36,17)</f>
        <v>40647.233530092592</v>
      </c>
      <c r="C621">
        <v>826.05126953000001</v>
      </c>
      <c r="D621">
        <v>626.93109131000006</v>
      </c>
      <c r="E621">
        <v>1966.0286865</v>
      </c>
      <c r="F621">
        <v>1774.3983154</v>
      </c>
      <c r="G621">
        <v>80</v>
      </c>
      <c r="H621">
        <v>44.185138702000003</v>
      </c>
      <c r="I621">
        <v>50</v>
      </c>
      <c r="J621">
        <v>49.952972412000001</v>
      </c>
      <c r="K621">
        <v>0</v>
      </c>
      <c r="L621">
        <v>2400</v>
      </c>
      <c r="M621">
        <v>2400</v>
      </c>
      <c r="N621">
        <v>0</v>
      </c>
    </row>
    <row r="622" spans="1:14" x14ac:dyDescent="0.25">
      <c r="A622">
        <v>351.03617800000001</v>
      </c>
      <c r="B622" s="1">
        <f>DATE(2011,4,17) + TIME(0,52,5)</f>
        <v>40650.036168981482</v>
      </c>
      <c r="C622">
        <v>821.46740723000005</v>
      </c>
      <c r="D622">
        <v>619.35345458999996</v>
      </c>
      <c r="E622">
        <v>1965.4223632999999</v>
      </c>
      <c r="F622">
        <v>1773.7955322</v>
      </c>
      <c r="G622">
        <v>80</v>
      </c>
      <c r="H622">
        <v>43.454437255999999</v>
      </c>
      <c r="I622">
        <v>50</v>
      </c>
      <c r="J622">
        <v>49.953159331999998</v>
      </c>
      <c r="K622">
        <v>0</v>
      </c>
      <c r="L622">
        <v>2400</v>
      </c>
      <c r="M622">
        <v>2400</v>
      </c>
      <c r="N622">
        <v>0</v>
      </c>
    </row>
    <row r="623" spans="1:14" x14ac:dyDescent="0.25">
      <c r="A623">
        <v>353.897088</v>
      </c>
      <c r="B623" s="1">
        <f>DATE(2011,4,19) + TIME(21,31,48)</f>
        <v>40652.897083333337</v>
      </c>
      <c r="C623">
        <v>816.80456543000003</v>
      </c>
      <c r="D623">
        <v>611.60919189000003</v>
      </c>
      <c r="E623">
        <v>1964.8062743999999</v>
      </c>
      <c r="F623">
        <v>1773.1831055</v>
      </c>
      <c r="G623">
        <v>80</v>
      </c>
      <c r="H623">
        <v>42.718151093000003</v>
      </c>
      <c r="I623">
        <v>50</v>
      </c>
      <c r="J623">
        <v>49.953353882000002</v>
      </c>
      <c r="K623">
        <v>0</v>
      </c>
      <c r="L623">
        <v>2400</v>
      </c>
      <c r="M623">
        <v>2400</v>
      </c>
      <c r="N623">
        <v>0</v>
      </c>
    </row>
    <row r="624" spans="1:14" x14ac:dyDescent="0.25">
      <c r="A624">
        <v>356.82397900000001</v>
      </c>
      <c r="B624" s="1">
        <f>DATE(2011,4,22) + TIME(19,46,31)</f>
        <v>40655.823969907404</v>
      </c>
      <c r="C624">
        <v>812.07122803000004</v>
      </c>
      <c r="D624">
        <v>603.70880126999998</v>
      </c>
      <c r="E624">
        <v>1964.1802978999999</v>
      </c>
      <c r="F624">
        <v>1772.5605469</v>
      </c>
      <c r="G624">
        <v>80</v>
      </c>
      <c r="H624">
        <v>41.977329253999997</v>
      </c>
      <c r="I624">
        <v>50</v>
      </c>
      <c r="J624">
        <v>49.953548431000002</v>
      </c>
      <c r="K624">
        <v>0</v>
      </c>
      <c r="L624">
        <v>2400</v>
      </c>
      <c r="M624">
        <v>2400</v>
      </c>
      <c r="N624">
        <v>0</v>
      </c>
    </row>
    <row r="625" spans="1:14" x14ac:dyDescent="0.25">
      <c r="A625">
        <v>359.82529699999998</v>
      </c>
      <c r="B625" s="1">
        <f>DATE(2011,4,25) + TIME(19,48,25)</f>
        <v>40658.825289351851</v>
      </c>
      <c r="C625">
        <v>807.26507568</v>
      </c>
      <c r="D625">
        <v>595.64770508000004</v>
      </c>
      <c r="E625">
        <v>1963.5423584</v>
      </c>
      <c r="F625">
        <v>1771.9262695</v>
      </c>
      <c r="G625">
        <v>80</v>
      </c>
      <c r="H625">
        <v>41.232131957999997</v>
      </c>
      <c r="I625">
        <v>50</v>
      </c>
      <c r="J625">
        <v>49.953746795999997</v>
      </c>
      <c r="K625">
        <v>0</v>
      </c>
      <c r="L625">
        <v>2400</v>
      </c>
      <c r="M625">
        <v>2400</v>
      </c>
      <c r="N625">
        <v>0</v>
      </c>
    </row>
    <row r="626" spans="1:14" x14ac:dyDescent="0.25">
      <c r="A626">
        <v>362.91056800000001</v>
      </c>
      <c r="B626" s="1">
        <f>DATE(2011,4,28) + TIME(21,51,13)</f>
        <v>40661.910567129627</v>
      </c>
      <c r="C626">
        <v>802.38409423999997</v>
      </c>
      <c r="D626">
        <v>587.42065430000002</v>
      </c>
      <c r="E626">
        <v>1962.8907471</v>
      </c>
      <c r="F626">
        <v>1771.2780762</v>
      </c>
      <c r="G626">
        <v>80</v>
      </c>
      <c r="H626">
        <v>40.482490540000001</v>
      </c>
      <c r="I626">
        <v>50</v>
      </c>
      <c r="J626">
        <v>49.953948975000003</v>
      </c>
      <c r="K626">
        <v>0</v>
      </c>
      <c r="L626">
        <v>2400</v>
      </c>
      <c r="M626">
        <v>2400</v>
      </c>
      <c r="N626">
        <v>0</v>
      </c>
    </row>
    <row r="627" spans="1:14" x14ac:dyDescent="0.25">
      <c r="A627">
        <v>365</v>
      </c>
      <c r="B627" s="1">
        <f>DATE(2011,5,1) + TIME(0,0,0)</f>
        <v>40664</v>
      </c>
      <c r="C627">
        <v>797.43853760000002</v>
      </c>
      <c r="D627">
        <v>579.36163329999999</v>
      </c>
      <c r="E627">
        <v>1962.2312012</v>
      </c>
      <c r="F627">
        <v>1770.6219481999999</v>
      </c>
      <c r="G627">
        <v>80</v>
      </c>
      <c r="H627">
        <v>39.805641174000002</v>
      </c>
      <c r="I627">
        <v>50</v>
      </c>
      <c r="J627">
        <v>49.954074859999999</v>
      </c>
      <c r="K627">
        <v>0</v>
      </c>
      <c r="L627">
        <v>2400</v>
      </c>
      <c r="M627">
        <v>2400</v>
      </c>
      <c r="N627">
        <v>0</v>
      </c>
    </row>
    <row r="628" spans="1:14" x14ac:dyDescent="0.25">
      <c r="A628">
        <v>365.000001</v>
      </c>
      <c r="B628" s="1">
        <f>DATE(2011,5,1) + TIME(0,0,0)</f>
        <v>40664</v>
      </c>
      <c r="C628">
        <v>1016.8674316</v>
      </c>
      <c r="D628">
        <v>798.30065918000003</v>
      </c>
      <c r="E628">
        <v>1769.7139893000001</v>
      </c>
      <c r="F628">
        <v>1577.9090576000001</v>
      </c>
      <c r="G628">
        <v>80</v>
      </c>
      <c r="H628">
        <v>39.805786132999998</v>
      </c>
      <c r="I628">
        <v>50</v>
      </c>
      <c r="J628">
        <v>49.953960418999998</v>
      </c>
      <c r="K628">
        <v>2400</v>
      </c>
      <c r="L628">
        <v>0</v>
      </c>
      <c r="M628">
        <v>0</v>
      </c>
      <c r="N628">
        <v>2400</v>
      </c>
    </row>
    <row r="629" spans="1:14" x14ac:dyDescent="0.25">
      <c r="A629">
        <v>365.00000399999999</v>
      </c>
      <c r="B629" s="1">
        <f>DATE(2011,5,1) + TIME(0,0,0)</f>
        <v>40664</v>
      </c>
      <c r="C629">
        <v>1019.5492554</v>
      </c>
      <c r="D629">
        <v>800.86041260000002</v>
      </c>
      <c r="E629">
        <v>1767.0253906</v>
      </c>
      <c r="F629">
        <v>1575.2177733999999</v>
      </c>
      <c r="G629">
        <v>80</v>
      </c>
      <c r="H629">
        <v>39.806228638</v>
      </c>
      <c r="I629">
        <v>50</v>
      </c>
      <c r="J629">
        <v>49.953620911000002</v>
      </c>
      <c r="K629">
        <v>2400</v>
      </c>
      <c r="L629">
        <v>0</v>
      </c>
      <c r="M629">
        <v>0</v>
      </c>
      <c r="N629">
        <v>2400</v>
      </c>
    </row>
    <row r="630" spans="1:14" x14ac:dyDescent="0.25">
      <c r="A630">
        <v>365.00001300000002</v>
      </c>
      <c r="B630" s="1">
        <f>DATE(2011,5,1) + TIME(0,0,1)</f>
        <v>40664.000011574077</v>
      </c>
      <c r="C630">
        <v>1027.3336182</v>
      </c>
      <c r="D630">
        <v>808.30914307</v>
      </c>
      <c r="E630">
        <v>1759.260376</v>
      </c>
      <c r="F630">
        <v>1567.4453125</v>
      </c>
      <c r="G630">
        <v>80</v>
      </c>
      <c r="H630">
        <v>39.807518004999999</v>
      </c>
      <c r="I630">
        <v>50</v>
      </c>
      <c r="J630">
        <v>49.952640533</v>
      </c>
      <c r="K630">
        <v>2400</v>
      </c>
      <c r="L630">
        <v>0</v>
      </c>
      <c r="M630">
        <v>0</v>
      </c>
      <c r="N630">
        <v>2400</v>
      </c>
    </row>
    <row r="631" spans="1:14" x14ac:dyDescent="0.25">
      <c r="A631">
        <v>365.00004000000001</v>
      </c>
      <c r="B631" s="1">
        <f>DATE(2011,5,1) + TIME(0,0,3)</f>
        <v>40664.000034722223</v>
      </c>
      <c r="C631">
        <v>1048.6126709</v>
      </c>
      <c r="D631">
        <v>828.80255126999998</v>
      </c>
      <c r="E631">
        <v>1738.3129882999999</v>
      </c>
      <c r="F631">
        <v>1546.4793701000001</v>
      </c>
      <c r="G631">
        <v>80</v>
      </c>
      <c r="H631">
        <v>39.8111763</v>
      </c>
      <c r="I631">
        <v>50</v>
      </c>
      <c r="J631">
        <v>49.949989318999997</v>
      </c>
      <c r="K631">
        <v>2400</v>
      </c>
      <c r="L631">
        <v>0</v>
      </c>
      <c r="M631">
        <v>0</v>
      </c>
      <c r="N631">
        <v>2400</v>
      </c>
    </row>
    <row r="632" spans="1:14" x14ac:dyDescent="0.25">
      <c r="A632">
        <v>365.00012099999998</v>
      </c>
      <c r="B632" s="1">
        <f>DATE(2011,5,1) + TIME(0,0,10)</f>
        <v>40664.000115740739</v>
      </c>
      <c r="C632">
        <v>1098.9328613</v>
      </c>
      <c r="D632">
        <v>877.89965819999998</v>
      </c>
      <c r="E632">
        <v>1690.1832274999999</v>
      </c>
      <c r="F632">
        <v>1498.3164062000001</v>
      </c>
      <c r="G632">
        <v>80</v>
      </c>
      <c r="H632">
        <v>39.820732116999999</v>
      </c>
      <c r="I632">
        <v>50</v>
      </c>
      <c r="J632">
        <v>49.943901062000002</v>
      </c>
      <c r="K632">
        <v>2400</v>
      </c>
      <c r="L632">
        <v>0</v>
      </c>
      <c r="M632">
        <v>0</v>
      </c>
      <c r="N632">
        <v>2400</v>
      </c>
    </row>
    <row r="633" spans="1:14" x14ac:dyDescent="0.25">
      <c r="A633">
        <v>365.00036399999999</v>
      </c>
      <c r="B633" s="1">
        <f>DATE(2011,5,1) + TIME(0,0,31)</f>
        <v>40664.000358796293</v>
      </c>
      <c r="C633">
        <v>1189.8359375</v>
      </c>
      <c r="D633">
        <v>968.15002441000001</v>
      </c>
      <c r="E633">
        <v>1606.8376464999999</v>
      </c>
      <c r="F633">
        <v>1414.9523925999999</v>
      </c>
      <c r="G633">
        <v>80</v>
      </c>
      <c r="H633">
        <v>39.842720032000003</v>
      </c>
      <c r="I633">
        <v>50</v>
      </c>
      <c r="J633">
        <v>49.933349608999997</v>
      </c>
      <c r="K633">
        <v>2400</v>
      </c>
      <c r="L633">
        <v>0</v>
      </c>
      <c r="M633">
        <v>0</v>
      </c>
      <c r="N633">
        <v>2400</v>
      </c>
    </row>
    <row r="634" spans="1:14" x14ac:dyDescent="0.25">
      <c r="A634">
        <v>365.00109300000003</v>
      </c>
      <c r="B634" s="1">
        <f>DATE(2011,5,1) + TIME(0,1,34)</f>
        <v>40664.001087962963</v>
      </c>
      <c r="C634">
        <v>1308.5216064000001</v>
      </c>
      <c r="D634">
        <v>1087.4666748</v>
      </c>
      <c r="E634">
        <v>1501.8618164</v>
      </c>
      <c r="F634">
        <v>1310.0229492000001</v>
      </c>
      <c r="G634">
        <v>80</v>
      </c>
      <c r="H634">
        <v>39.890502929999997</v>
      </c>
      <c r="I634">
        <v>50</v>
      </c>
      <c r="J634">
        <v>49.920001984000002</v>
      </c>
      <c r="K634">
        <v>2400</v>
      </c>
      <c r="L634">
        <v>0</v>
      </c>
      <c r="M634">
        <v>0</v>
      </c>
      <c r="N634">
        <v>2400</v>
      </c>
    </row>
    <row r="635" spans="1:14" x14ac:dyDescent="0.25">
      <c r="A635">
        <v>365.00328000000002</v>
      </c>
      <c r="B635" s="1">
        <f>DATE(2011,5,1) + TIME(0,4,43)</f>
        <v>40664.003275462965</v>
      </c>
      <c r="C635">
        <v>1435.2696533000001</v>
      </c>
      <c r="D635">
        <v>1215.4886475000001</v>
      </c>
      <c r="E635">
        <v>1392.2706298999999</v>
      </c>
      <c r="F635">
        <v>1200.5598144999999</v>
      </c>
      <c r="G635">
        <v>80</v>
      </c>
      <c r="H635">
        <v>40.005722046000002</v>
      </c>
      <c r="I635">
        <v>50</v>
      </c>
      <c r="J635">
        <v>49.905834198000001</v>
      </c>
      <c r="K635">
        <v>2400</v>
      </c>
      <c r="L635">
        <v>0</v>
      </c>
      <c r="M635">
        <v>0</v>
      </c>
      <c r="N635">
        <v>2400</v>
      </c>
    </row>
    <row r="636" spans="1:14" x14ac:dyDescent="0.25">
      <c r="A636">
        <v>365.00984099999999</v>
      </c>
      <c r="B636" s="1">
        <f>DATE(2011,5,1) + TIME(0,14,10)</f>
        <v>40664.009837962964</v>
      </c>
      <c r="C636">
        <v>1565.8608397999999</v>
      </c>
      <c r="D636">
        <v>1348.0102539</v>
      </c>
      <c r="E636">
        <v>1282.1889647999999</v>
      </c>
      <c r="F636">
        <v>1090.6954346</v>
      </c>
      <c r="G636">
        <v>80</v>
      </c>
      <c r="H636">
        <v>40.318099975999999</v>
      </c>
      <c r="I636">
        <v>50</v>
      </c>
      <c r="J636">
        <v>49.890884399000001</v>
      </c>
      <c r="K636">
        <v>2400</v>
      </c>
      <c r="L636">
        <v>0</v>
      </c>
      <c r="M636">
        <v>0</v>
      </c>
      <c r="N636">
        <v>2400</v>
      </c>
    </row>
    <row r="637" spans="1:14" x14ac:dyDescent="0.25">
      <c r="A637">
        <v>365.02952399999998</v>
      </c>
      <c r="B637" s="1">
        <f>DATE(2011,5,1) + TIME(0,42,30)</f>
        <v>40664.029513888891</v>
      </c>
      <c r="C637">
        <v>1702.9772949000001</v>
      </c>
      <c r="D637">
        <v>1488.9812012</v>
      </c>
      <c r="E637">
        <v>1169.2888184000001</v>
      </c>
      <c r="F637">
        <v>978.01391602000001</v>
      </c>
      <c r="G637">
        <v>80</v>
      </c>
      <c r="H637">
        <v>41.203460692999997</v>
      </c>
      <c r="I637">
        <v>50</v>
      </c>
      <c r="J637">
        <v>49.873451232999997</v>
      </c>
      <c r="K637">
        <v>2400</v>
      </c>
      <c r="L637">
        <v>0</v>
      </c>
      <c r="M637">
        <v>0</v>
      </c>
      <c r="N637">
        <v>2400</v>
      </c>
    </row>
    <row r="638" spans="1:14" x14ac:dyDescent="0.25">
      <c r="A638">
        <v>365.05146500000001</v>
      </c>
      <c r="B638" s="1">
        <f>DATE(2011,5,1) + TIME(1,14,6)</f>
        <v>40664.051458333335</v>
      </c>
      <c r="C638">
        <v>1781.6226807</v>
      </c>
      <c r="D638">
        <v>1571.2852783000001</v>
      </c>
      <c r="E638">
        <v>1103.3446045000001</v>
      </c>
      <c r="F638">
        <v>912.14721680000002</v>
      </c>
      <c r="G638">
        <v>80</v>
      </c>
      <c r="H638">
        <v>42.158279419000003</v>
      </c>
      <c r="I638">
        <v>50</v>
      </c>
      <c r="J638">
        <v>49.861431121999999</v>
      </c>
      <c r="K638">
        <v>2400</v>
      </c>
      <c r="L638">
        <v>0</v>
      </c>
      <c r="M638">
        <v>0</v>
      </c>
      <c r="N638">
        <v>2400</v>
      </c>
    </row>
    <row r="639" spans="1:14" x14ac:dyDescent="0.25">
      <c r="A639">
        <v>365.07413300000002</v>
      </c>
      <c r="B639" s="1">
        <f>DATE(2011,5,1) + TIME(1,46,45)</f>
        <v>40664.074131944442</v>
      </c>
      <c r="C639">
        <v>1832.1391602000001</v>
      </c>
      <c r="D639">
        <v>1625.253418</v>
      </c>
      <c r="E639">
        <v>1059.0708007999999</v>
      </c>
      <c r="F639">
        <v>867.89636229999996</v>
      </c>
      <c r="G639">
        <v>80</v>
      </c>
      <c r="H639">
        <v>43.117652892999999</v>
      </c>
      <c r="I639">
        <v>50</v>
      </c>
      <c r="J639">
        <v>49.851959229000002</v>
      </c>
      <c r="K639">
        <v>2400</v>
      </c>
      <c r="L639">
        <v>0</v>
      </c>
      <c r="M639">
        <v>0</v>
      </c>
      <c r="N639">
        <v>2400</v>
      </c>
    </row>
    <row r="640" spans="1:14" x14ac:dyDescent="0.25">
      <c r="A640">
        <v>365.097419</v>
      </c>
      <c r="B640" s="1">
        <f>DATE(2011,5,1) + TIME(2,20,17)</f>
        <v>40664.097418981481</v>
      </c>
      <c r="C640">
        <v>1867.4671631000001</v>
      </c>
      <c r="D640">
        <v>1663.8875731999999</v>
      </c>
      <c r="E640">
        <v>1026.3992920000001</v>
      </c>
      <c r="F640">
        <v>835.22930908000001</v>
      </c>
      <c r="G640">
        <v>80</v>
      </c>
      <c r="H640">
        <v>44.077362061000002</v>
      </c>
      <c r="I640">
        <v>50</v>
      </c>
      <c r="J640">
        <v>49.843822479000004</v>
      </c>
      <c r="K640">
        <v>2400</v>
      </c>
      <c r="L640">
        <v>0</v>
      </c>
      <c r="M640">
        <v>0</v>
      </c>
      <c r="N640">
        <v>2400</v>
      </c>
    </row>
    <row r="641" spans="1:14" x14ac:dyDescent="0.25">
      <c r="A641">
        <v>365.12130999999999</v>
      </c>
      <c r="B641" s="1">
        <f>DATE(2011,5,1) + TIME(2,54,41)</f>
        <v>40664.121307870373</v>
      </c>
      <c r="C641">
        <v>1893.3895264</v>
      </c>
      <c r="D641">
        <v>1692.9971923999999</v>
      </c>
      <c r="E641">
        <v>1001.0414429</v>
      </c>
      <c r="F641">
        <v>809.86950683999999</v>
      </c>
      <c r="G641">
        <v>80</v>
      </c>
      <c r="H641">
        <v>45.036315918</v>
      </c>
      <c r="I641">
        <v>50</v>
      </c>
      <c r="J641">
        <v>49.836502074999999</v>
      </c>
      <c r="K641">
        <v>2400</v>
      </c>
      <c r="L641">
        <v>0</v>
      </c>
      <c r="M641">
        <v>0</v>
      </c>
      <c r="N641">
        <v>2400</v>
      </c>
    </row>
    <row r="642" spans="1:14" x14ac:dyDescent="0.25">
      <c r="A642">
        <v>365.14581299999998</v>
      </c>
      <c r="B642" s="1">
        <f>DATE(2011,5,1) + TIME(3,29,58)</f>
        <v>40664.145810185182</v>
      </c>
      <c r="C642">
        <v>1912.9808350000001</v>
      </c>
      <c r="D642">
        <v>1715.6707764</v>
      </c>
      <c r="E642">
        <v>980.75598145000004</v>
      </c>
      <c r="F642">
        <v>789.57995604999996</v>
      </c>
      <c r="G642">
        <v>80</v>
      </c>
      <c r="H642">
        <v>45.994007111000002</v>
      </c>
      <c r="I642">
        <v>50</v>
      </c>
      <c r="J642">
        <v>49.829719543000003</v>
      </c>
      <c r="K642">
        <v>2400</v>
      </c>
      <c r="L642">
        <v>0</v>
      </c>
      <c r="M642">
        <v>0</v>
      </c>
      <c r="N642">
        <v>2400</v>
      </c>
    </row>
    <row r="643" spans="1:14" x14ac:dyDescent="0.25">
      <c r="A643">
        <v>365.17095</v>
      </c>
      <c r="B643" s="1">
        <f>DATE(2011,5,1) + TIME(4,6,10)</f>
        <v>40664.170949074076</v>
      </c>
      <c r="C643">
        <v>1928.0732422000001</v>
      </c>
      <c r="D643">
        <v>1733.7484131000001</v>
      </c>
      <c r="E643">
        <v>964.20025635000002</v>
      </c>
      <c r="F643">
        <v>773.01940918000003</v>
      </c>
      <c r="G643">
        <v>80</v>
      </c>
      <c r="H643">
        <v>46.950149535999998</v>
      </c>
      <c r="I643">
        <v>50</v>
      </c>
      <c r="J643">
        <v>49.823310851999999</v>
      </c>
      <c r="K643">
        <v>2400</v>
      </c>
      <c r="L643">
        <v>0</v>
      </c>
      <c r="M643">
        <v>0</v>
      </c>
      <c r="N643">
        <v>2400</v>
      </c>
    </row>
    <row r="644" spans="1:14" x14ac:dyDescent="0.25">
      <c r="A644">
        <v>365.19674800000001</v>
      </c>
      <c r="B644" s="1">
        <f>DATE(2011,5,1) + TIME(4,43,19)</f>
        <v>40664.196747685186</v>
      </c>
      <c r="C644">
        <v>1939.8428954999999</v>
      </c>
      <c r="D644">
        <v>1748.4118652</v>
      </c>
      <c r="E644">
        <v>950.49951171999999</v>
      </c>
      <c r="F644">
        <v>759.31359863</v>
      </c>
      <c r="G644">
        <v>80</v>
      </c>
      <c r="H644">
        <v>47.904544829999999</v>
      </c>
      <c r="I644">
        <v>50</v>
      </c>
      <c r="J644">
        <v>49.817169188999998</v>
      </c>
      <c r="K644">
        <v>2400</v>
      </c>
      <c r="L644">
        <v>0</v>
      </c>
      <c r="M644">
        <v>0</v>
      </c>
      <c r="N644">
        <v>2400</v>
      </c>
    </row>
    <row r="645" spans="1:14" x14ac:dyDescent="0.25">
      <c r="A645">
        <v>365.22323899999998</v>
      </c>
      <c r="B645" s="1">
        <f>DATE(2011,5,1) + TIME(5,21,27)</f>
        <v>40664.223229166666</v>
      </c>
      <c r="C645">
        <v>1949.0839844</v>
      </c>
      <c r="D645">
        <v>1760.4603271000001</v>
      </c>
      <c r="E645">
        <v>939.05169678000004</v>
      </c>
      <c r="F645">
        <v>747.86077881000006</v>
      </c>
      <c r="G645">
        <v>80</v>
      </c>
      <c r="H645">
        <v>48.857048034999998</v>
      </c>
      <c r="I645">
        <v>50</v>
      </c>
      <c r="J645">
        <v>49.811206818000002</v>
      </c>
      <c r="K645">
        <v>2400</v>
      </c>
      <c r="L645">
        <v>0</v>
      </c>
      <c r="M645">
        <v>0</v>
      </c>
      <c r="N645">
        <v>2400</v>
      </c>
    </row>
    <row r="646" spans="1:14" x14ac:dyDescent="0.25">
      <c r="A646">
        <v>365.25045899999998</v>
      </c>
      <c r="B646" s="1">
        <f>DATE(2011,5,1) + TIME(6,0,39)</f>
        <v>40664.250451388885</v>
      </c>
      <c r="C646">
        <v>1956.3543701000001</v>
      </c>
      <c r="D646">
        <v>1770.4550781</v>
      </c>
      <c r="E646">
        <v>929.42559814000003</v>
      </c>
      <c r="F646">
        <v>738.22967529000005</v>
      </c>
      <c r="G646">
        <v>80</v>
      </c>
      <c r="H646">
        <v>49.807533264</v>
      </c>
      <c r="I646">
        <v>50</v>
      </c>
      <c r="J646">
        <v>49.805377960000001</v>
      </c>
      <c r="K646">
        <v>2400</v>
      </c>
      <c r="L646">
        <v>0</v>
      </c>
      <c r="M646">
        <v>0</v>
      </c>
      <c r="N646">
        <v>2400</v>
      </c>
    </row>
    <row r="647" spans="1:14" x14ac:dyDescent="0.25">
      <c r="A647">
        <v>365.27845100000002</v>
      </c>
      <c r="B647" s="1">
        <f>DATE(2011,5,1) + TIME(6,40,58)</f>
        <v>40664.278449074074</v>
      </c>
      <c r="C647">
        <v>1962.0570068</v>
      </c>
      <c r="D647">
        <v>1778.8024902</v>
      </c>
      <c r="E647">
        <v>921.30151366999996</v>
      </c>
      <c r="F647">
        <v>730.10070800999995</v>
      </c>
      <c r="G647">
        <v>80</v>
      </c>
      <c r="H647">
        <v>50.755523682000003</v>
      </c>
      <c r="I647">
        <v>50</v>
      </c>
      <c r="J647">
        <v>49.799633026000002</v>
      </c>
      <c r="K647">
        <v>2400</v>
      </c>
      <c r="L647">
        <v>0</v>
      </c>
      <c r="M647">
        <v>0</v>
      </c>
      <c r="N647">
        <v>2400</v>
      </c>
    </row>
    <row r="648" spans="1:14" x14ac:dyDescent="0.25">
      <c r="A648">
        <v>365.30725899999999</v>
      </c>
      <c r="B648" s="1">
        <f>DATE(2011,5,1) + TIME(7,22,27)</f>
        <v>40664.307256944441</v>
      </c>
      <c r="C648">
        <v>1966.4912108999999</v>
      </c>
      <c r="D648">
        <v>1785.8050536999999</v>
      </c>
      <c r="E648">
        <v>914.43518066000001</v>
      </c>
      <c r="F648">
        <v>723.22961425999995</v>
      </c>
      <c r="G648">
        <v>80</v>
      </c>
      <c r="H648">
        <v>51.701168060000001</v>
      </c>
      <c r="I648">
        <v>50</v>
      </c>
      <c r="J648">
        <v>49.793937683000003</v>
      </c>
      <c r="K648">
        <v>2400</v>
      </c>
      <c r="L648">
        <v>0</v>
      </c>
      <c r="M648">
        <v>0</v>
      </c>
      <c r="N648">
        <v>2400</v>
      </c>
    </row>
    <row r="649" spans="1:14" x14ac:dyDescent="0.25">
      <c r="A649">
        <v>365.33693499999998</v>
      </c>
      <c r="B649" s="1">
        <f>DATE(2011,5,1) + TIME(8,5,11)</f>
        <v>40664.33693287037</v>
      </c>
      <c r="C649">
        <v>1969.8837891000001</v>
      </c>
      <c r="D649">
        <v>1791.6925048999999</v>
      </c>
      <c r="E649">
        <v>908.63507079999999</v>
      </c>
      <c r="F649">
        <v>717.42480468999997</v>
      </c>
      <c r="G649">
        <v>80</v>
      </c>
      <c r="H649">
        <v>52.644447327000002</v>
      </c>
      <c r="I649">
        <v>50</v>
      </c>
      <c r="J649">
        <v>49.788257598999998</v>
      </c>
      <c r="K649">
        <v>2400</v>
      </c>
      <c r="L649">
        <v>0</v>
      </c>
      <c r="M649">
        <v>0</v>
      </c>
      <c r="N649">
        <v>2400</v>
      </c>
    </row>
    <row r="650" spans="1:14" x14ac:dyDescent="0.25">
      <c r="A650">
        <v>365.36754200000001</v>
      </c>
      <c r="B650" s="1">
        <f>DATE(2011,5,1) + TIME(8,49,15)</f>
        <v>40664.367534722223</v>
      </c>
      <c r="C650">
        <v>1972.4105225000001</v>
      </c>
      <c r="D650">
        <v>1796.6441649999999</v>
      </c>
      <c r="E650">
        <v>903.74560546999999</v>
      </c>
      <c r="F650">
        <v>712.53070068</v>
      </c>
      <c r="G650">
        <v>80</v>
      </c>
      <c r="H650">
        <v>53.585491179999998</v>
      </c>
      <c r="I650">
        <v>50</v>
      </c>
      <c r="J650">
        <v>49.7825737</v>
      </c>
      <c r="K650">
        <v>2400</v>
      </c>
      <c r="L650">
        <v>0</v>
      </c>
      <c r="M650">
        <v>0</v>
      </c>
      <c r="N650">
        <v>2400</v>
      </c>
    </row>
    <row r="651" spans="1:14" x14ac:dyDescent="0.25">
      <c r="A651">
        <v>365.39914199999998</v>
      </c>
      <c r="B651" s="1">
        <f>DATE(2011,5,1) + TIME(9,34,45)</f>
        <v>40664.399131944447</v>
      </c>
      <c r="C651">
        <v>1974.2097168</v>
      </c>
      <c r="D651">
        <v>1800.800293</v>
      </c>
      <c r="E651">
        <v>899.64031981999995</v>
      </c>
      <c r="F651">
        <v>708.42083739999998</v>
      </c>
      <c r="G651">
        <v>80</v>
      </c>
      <c r="H651">
        <v>54.524158477999997</v>
      </c>
      <c r="I651">
        <v>50</v>
      </c>
      <c r="J651">
        <v>49.776859283</v>
      </c>
      <c r="K651">
        <v>2400</v>
      </c>
      <c r="L651">
        <v>0</v>
      </c>
      <c r="M651">
        <v>0</v>
      </c>
      <c r="N651">
        <v>2400</v>
      </c>
    </row>
    <row r="652" spans="1:14" x14ac:dyDescent="0.25">
      <c r="A652">
        <v>365.43179600000002</v>
      </c>
      <c r="B652" s="1">
        <f>DATE(2011,5,1) + TIME(10,21,47)</f>
        <v>40664.431793981479</v>
      </c>
      <c r="C652">
        <v>1975.3919678</v>
      </c>
      <c r="D652">
        <v>1804.2734375</v>
      </c>
      <c r="E652">
        <v>896.21331786999997</v>
      </c>
      <c r="F652">
        <v>704.98925781000003</v>
      </c>
      <c r="G652">
        <v>80</v>
      </c>
      <c r="H652">
        <v>55.460136413999997</v>
      </c>
      <c r="I652">
        <v>50</v>
      </c>
      <c r="J652">
        <v>49.771091460999997</v>
      </c>
      <c r="K652">
        <v>2400</v>
      </c>
      <c r="L652">
        <v>0</v>
      </c>
      <c r="M652">
        <v>0</v>
      </c>
      <c r="N652">
        <v>2400</v>
      </c>
    </row>
    <row r="653" spans="1:14" x14ac:dyDescent="0.25">
      <c r="A653">
        <v>365.46558099999999</v>
      </c>
      <c r="B653" s="1">
        <f>DATE(2011,5,1) + TIME(11,10,26)</f>
        <v>40664.465578703705</v>
      </c>
      <c r="C653">
        <v>1976.0482178</v>
      </c>
      <c r="D653">
        <v>1807.1567382999999</v>
      </c>
      <c r="E653">
        <v>893.37329102000001</v>
      </c>
      <c r="F653">
        <v>702.14459228999999</v>
      </c>
      <c r="G653">
        <v>80</v>
      </c>
      <c r="H653">
        <v>56.393299102999997</v>
      </c>
      <c r="I653">
        <v>50</v>
      </c>
      <c r="J653">
        <v>49.765251159999998</v>
      </c>
      <c r="K653">
        <v>2400</v>
      </c>
      <c r="L653">
        <v>0</v>
      </c>
      <c r="M653">
        <v>0</v>
      </c>
      <c r="N653">
        <v>2400</v>
      </c>
    </row>
    <row r="654" spans="1:14" x14ac:dyDescent="0.25">
      <c r="A654">
        <v>365.50058000000001</v>
      </c>
      <c r="B654" s="1">
        <f>DATE(2011,5,1) + TIME(12,0,50)</f>
        <v>40664.500578703701</v>
      </c>
      <c r="C654">
        <v>1976.2539062000001</v>
      </c>
      <c r="D654">
        <v>1809.5275879000001</v>
      </c>
      <c r="E654">
        <v>891.04119873000002</v>
      </c>
      <c r="F654">
        <v>699.80798340000001</v>
      </c>
      <c r="G654">
        <v>80</v>
      </c>
      <c r="H654">
        <v>57.323505402000002</v>
      </c>
      <c r="I654">
        <v>50</v>
      </c>
      <c r="J654">
        <v>49.759315491000002</v>
      </c>
      <c r="K654">
        <v>2400</v>
      </c>
      <c r="L654">
        <v>0</v>
      </c>
      <c r="M654">
        <v>0</v>
      </c>
      <c r="N654">
        <v>2400</v>
      </c>
    </row>
    <row r="655" spans="1:14" x14ac:dyDescent="0.25">
      <c r="A655">
        <v>365.53688899999997</v>
      </c>
      <c r="B655" s="1">
        <f>DATE(2011,5,1) + TIME(12,53,7)</f>
        <v>40664.536886574075</v>
      </c>
      <c r="C655">
        <v>1976.0727539</v>
      </c>
      <c r="D655">
        <v>1811.4514160000001</v>
      </c>
      <c r="E655">
        <v>889.14801024999997</v>
      </c>
      <c r="F655">
        <v>697.91015625</v>
      </c>
      <c r="G655">
        <v>80</v>
      </c>
      <c r="H655">
        <v>58.250614165999998</v>
      </c>
      <c r="I655">
        <v>50</v>
      </c>
      <c r="J655">
        <v>49.753273010000001</v>
      </c>
      <c r="K655">
        <v>2400</v>
      </c>
      <c r="L655">
        <v>0</v>
      </c>
      <c r="M655">
        <v>0</v>
      </c>
      <c r="N655">
        <v>2400</v>
      </c>
    </row>
    <row r="656" spans="1:14" x14ac:dyDescent="0.25">
      <c r="A656">
        <v>365.57461000000001</v>
      </c>
      <c r="B656" s="1">
        <f>DATE(2011,5,1) + TIME(13,47,26)</f>
        <v>40664.574606481481</v>
      </c>
      <c r="C656">
        <v>1975.5581055</v>
      </c>
      <c r="D656">
        <v>1812.9835204999999</v>
      </c>
      <c r="E656">
        <v>887.6328125</v>
      </c>
      <c r="F656">
        <v>696.39031981999995</v>
      </c>
      <c r="G656">
        <v>80</v>
      </c>
      <c r="H656">
        <v>59.174453735</v>
      </c>
      <c r="I656">
        <v>50</v>
      </c>
      <c r="J656">
        <v>49.747093200999998</v>
      </c>
      <c r="K656">
        <v>2400</v>
      </c>
      <c r="L656">
        <v>0</v>
      </c>
      <c r="M656">
        <v>0</v>
      </c>
      <c r="N656">
        <v>2400</v>
      </c>
    </row>
    <row r="657" spans="1:14" x14ac:dyDescent="0.25">
      <c r="A657">
        <v>365.61386299999998</v>
      </c>
      <c r="B657" s="1">
        <f>DATE(2011,5,1) + TIME(14,43,57)</f>
        <v>40664.613854166666</v>
      </c>
      <c r="C657">
        <v>1974.7557373</v>
      </c>
      <c r="D657">
        <v>1814.1715088000001</v>
      </c>
      <c r="E657">
        <v>886.44183350000003</v>
      </c>
      <c r="F657">
        <v>695.19458008000004</v>
      </c>
      <c r="G657">
        <v>80</v>
      </c>
      <c r="H657">
        <v>60.094768524000003</v>
      </c>
      <c r="I657">
        <v>50</v>
      </c>
      <c r="J657">
        <v>49.740760803000001</v>
      </c>
      <c r="K657">
        <v>2400</v>
      </c>
      <c r="L657">
        <v>0</v>
      </c>
      <c r="M657">
        <v>0</v>
      </c>
      <c r="N657">
        <v>2400</v>
      </c>
    </row>
    <row r="658" spans="1:14" x14ac:dyDescent="0.25">
      <c r="A658">
        <v>365.65478100000001</v>
      </c>
      <c r="B658" s="1">
        <f>DATE(2011,5,1) + TIME(15,42,53)</f>
        <v>40664.654780092591</v>
      </c>
      <c r="C658">
        <v>1973.7050781</v>
      </c>
      <c r="D658">
        <v>1815.0559082</v>
      </c>
      <c r="E658">
        <v>885.52722168000003</v>
      </c>
      <c r="F658">
        <v>694.27514647999999</v>
      </c>
      <c r="G658">
        <v>80</v>
      </c>
      <c r="H658">
        <v>61.010826111</v>
      </c>
      <c r="I658">
        <v>50</v>
      </c>
      <c r="J658">
        <v>49.734252929999997</v>
      </c>
      <c r="K658">
        <v>2400</v>
      </c>
      <c r="L658">
        <v>0</v>
      </c>
      <c r="M658">
        <v>0</v>
      </c>
      <c r="N658">
        <v>2400</v>
      </c>
    </row>
    <row r="659" spans="1:14" x14ac:dyDescent="0.25">
      <c r="A659">
        <v>365.69751500000001</v>
      </c>
      <c r="B659" s="1">
        <f>DATE(2011,5,1) + TIME(16,44,25)</f>
        <v>40664.697511574072</v>
      </c>
      <c r="C659">
        <v>1972.4403076000001</v>
      </c>
      <c r="D659">
        <v>1815.6730957</v>
      </c>
      <c r="E659">
        <v>884.84649658000001</v>
      </c>
      <c r="F659">
        <v>693.58941649999997</v>
      </c>
      <c r="G659">
        <v>80</v>
      </c>
      <c r="H659">
        <v>61.922969817999999</v>
      </c>
      <c r="I659">
        <v>50</v>
      </c>
      <c r="J659">
        <v>49.727542876999998</v>
      </c>
      <c r="K659">
        <v>2400</v>
      </c>
      <c r="L659">
        <v>0</v>
      </c>
      <c r="M659">
        <v>0</v>
      </c>
      <c r="N659">
        <v>2400</v>
      </c>
    </row>
    <row r="660" spans="1:14" x14ac:dyDescent="0.25">
      <c r="A660">
        <v>365.74224199999998</v>
      </c>
      <c r="B660" s="1">
        <f>DATE(2011,5,1) + TIME(17,48,49)</f>
        <v>40664.7422337963</v>
      </c>
      <c r="C660">
        <v>1970.9908447</v>
      </c>
      <c r="D660">
        <v>1816.0540771000001</v>
      </c>
      <c r="E660">
        <v>884.36181640999996</v>
      </c>
      <c r="F660">
        <v>693.09960937999995</v>
      </c>
      <c r="G660">
        <v>80</v>
      </c>
      <c r="H660">
        <v>62.831058501999998</v>
      </c>
      <c r="I660">
        <v>50</v>
      </c>
      <c r="J660">
        <v>49.720607758</v>
      </c>
      <c r="K660">
        <v>2400</v>
      </c>
      <c r="L660">
        <v>0</v>
      </c>
      <c r="M660">
        <v>0</v>
      </c>
      <c r="N660">
        <v>2400</v>
      </c>
    </row>
    <row r="661" spans="1:14" x14ac:dyDescent="0.25">
      <c r="A661">
        <v>365.78918399999998</v>
      </c>
      <c r="B661" s="1">
        <f>DATE(2011,5,1) + TIME(18,56,25)</f>
        <v>40664.789178240739</v>
      </c>
      <c r="C661">
        <v>1969.3814697</v>
      </c>
      <c r="D661">
        <v>1816.2255858999999</v>
      </c>
      <c r="E661">
        <v>884.03967284999999</v>
      </c>
      <c r="F661">
        <v>692.77221680000002</v>
      </c>
      <c r="G661">
        <v>80</v>
      </c>
      <c r="H661">
        <v>63.735229492000002</v>
      </c>
      <c r="I661">
        <v>50</v>
      </c>
      <c r="J661">
        <v>49.713417053000001</v>
      </c>
      <c r="K661">
        <v>2400</v>
      </c>
      <c r="L661">
        <v>0</v>
      </c>
      <c r="M661">
        <v>0</v>
      </c>
      <c r="N661">
        <v>2400</v>
      </c>
    </row>
    <row r="662" spans="1:14" x14ac:dyDescent="0.25">
      <c r="A662">
        <v>365.83854500000001</v>
      </c>
      <c r="B662" s="1">
        <f>DATE(2011,5,1) + TIME(20,7,30)</f>
        <v>40664.838541666664</v>
      </c>
      <c r="C662">
        <v>1967.6350098</v>
      </c>
      <c r="D662">
        <v>1816.2106934000001</v>
      </c>
      <c r="E662">
        <v>883.85070800999995</v>
      </c>
      <c r="F662">
        <v>692.57775878999996</v>
      </c>
      <c r="G662">
        <v>80</v>
      </c>
      <c r="H662">
        <v>64.634666443</v>
      </c>
      <c r="I662">
        <v>50</v>
      </c>
      <c r="J662">
        <v>49.705936432000001</v>
      </c>
      <c r="K662">
        <v>2400</v>
      </c>
      <c r="L662">
        <v>0</v>
      </c>
      <c r="M662">
        <v>0</v>
      </c>
      <c r="N662">
        <v>2400</v>
      </c>
    </row>
    <row r="663" spans="1:14" x14ac:dyDescent="0.25">
      <c r="A663">
        <v>365.89058899999998</v>
      </c>
      <c r="B663" s="1">
        <f>DATE(2011,5,1) + TIME(21,22,26)</f>
        <v>40664.8905787037</v>
      </c>
      <c r="C663">
        <v>1965.7706298999999</v>
      </c>
      <c r="D663">
        <v>1816.0297852000001</v>
      </c>
      <c r="E663">
        <v>883.76879883000004</v>
      </c>
      <c r="F663">
        <v>692.49011229999996</v>
      </c>
      <c r="G663">
        <v>80</v>
      </c>
      <c r="H663">
        <v>65.529151916999993</v>
      </c>
      <c r="I663">
        <v>50</v>
      </c>
      <c r="J663">
        <v>49.698139191000003</v>
      </c>
      <c r="K663">
        <v>2400</v>
      </c>
      <c r="L663">
        <v>0</v>
      </c>
      <c r="M663">
        <v>0</v>
      </c>
      <c r="N663">
        <v>2400</v>
      </c>
    </row>
    <row r="664" spans="1:14" x14ac:dyDescent="0.25">
      <c r="A664">
        <v>365.945628</v>
      </c>
      <c r="B664" s="1">
        <f>DATE(2011,5,1) + TIME(22,41,42)</f>
        <v>40664.945625</v>
      </c>
      <c r="C664">
        <v>1963.8049315999999</v>
      </c>
      <c r="D664">
        <v>1815.6999512</v>
      </c>
      <c r="E664">
        <v>883.77099609000004</v>
      </c>
      <c r="F664">
        <v>692.48638916000004</v>
      </c>
      <c r="G664">
        <v>80</v>
      </c>
      <c r="H664">
        <v>66.418235779</v>
      </c>
      <c r="I664">
        <v>50</v>
      </c>
      <c r="J664">
        <v>49.689979553000001</v>
      </c>
      <c r="K664">
        <v>2400</v>
      </c>
      <c r="L664">
        <v>0</v>
      </c>
      <c r="M664">
        <v>0</v>
      </c>
      <c r="N664">
        <v>2400</v>
      </c>
    </row>
    <row r="665" spans="1:14" x14ac:dyDescent="0.25">
      <c r="A665">
        <v>366.00402800000001</v>
      </c>
      <c r="B665" s="1">
        <f>DATE(2011,5,2) + TIME(0,5,48)</f>
        <v>40665.004027777781</v>
      </c>
      <c r="C665">
        <v>1961.7517089999999</v>
      </c>
      <c r="D665">
        <v>1815.2359618999999</v>
      </c>
      <c r="E665">
        <v>883.83740234000004</v>
      </c>
      <c r="F665">
        <v>692.54656981999995</v>
      </c>
      <c r="G665">
        <v>80</v>
      </c>
      <c r="H665">
        <v>67.301368713000002</v>
      </c>
      <c r="I665">
        <v>50</v>
      </c>
      <c r="J665">
        <v>49.681415557999998</v>
      </c>
      <c r="K665">
        <v>2400</v>
      </c>
      <c r="L665">
        <v>0</v>
      </c>
      <c r="M665">
        <v>0</v>
      </c>
      <c r="N665">
        <v>2400</v>
      </c>
    </row>
    <row r="666" spans="1:14" x14ac:dyDescent="0.25">
      <c r="A666">
        <v>366.06621000000001</v>
      </c>
      <c r="B666" s="1">
        <f>DATE(2011,5,2) + TIME(1,35,20)</f>
        <v>40665.066203703704</v>
      </c>
      <c r="C666">
        <v>1959.6228027</v>
      </c>
      <c r="D666">
        <v>1814.6499022999999</v>
      </c>
      <c r="E666">
        <v>883.95068359000004</v>
      </c>
      <c r="F666">
        <v>692.65325928000004</v>
      </c>
      <c r="G666">
        <v>80</v>
      </c>
      <c r="H666">
        <v>68.177825928000004</v>
      </c>
      <c r="I666">
        <v>50</v>
      </c>
      <c r="J666">
        <v>49.672389983999999</v>
      </c>
      <c r="K666">
        <v>2400</v>
      </c>
      <c r="L666">
        <v>0</v>
      </c>
      <c r="M666">
        <v>0</v>
      </c>
      <c r="N666">
        <v>2400</v>
      </c>
    </row>
    <row r="667" spans="1:14" x14ac:dyDescent="0.25">
      <c r="A667">
        <v>366.13270899999998</v>
      </c>
      <c r="B667" s="1">
        <f>DATE(2011,5,2) + TIME(3,11,6)</f>
        <v>40665.132708333331</v>
      </c>
      <c r="C667">
        <v>1957.4277344</v>
      </c>
      <c r="D667">
        <v>1813.9516602000001</v>
      </c>
      <c r="E667">
        <v>884.09600829999999</v>
      </c>
      <c r="F667">
        <v>692.79168701000003</v>
      </c>
      <c r="G667">
        <v>80</v>
      </c>
      <c r="H667">
        <v>69.047142029</v>
      </c>
      <c r="I667">
        <v>50</v>
      </c>
      <c r="J667">
        <v>49.662845611999998</v>
      </c>
      <c r="K667">
        <v>2400</v>
      </c>
      <c r="L667">
        <v>0</v>
      </c>
      <c r="M667">
        <v>0</v>
      </c>
      <c r="N667">
        <v>2400</v>
      </c>
    </row>
    <row r="668" spans="1:14" x14ac:dyDescent="0.25">
      <c r="A668">
        <v>366.20416299999999</v>
      </c>
      <c r="B668" s="1">
        <f>DATE(2011,5,2) + TIME(4,53,59)</f>
        <v>40665.204155092593</v>
      </c>
      <c r="C668">
        <v>1955.1735839999999</v>
      </c>
      <c r="D668">
        <v>1813.1488036999999</v>
      </c>
      <c r="E668">
        <v>884.26086425999995</v>
      </c>
      <c r="F668">
        <v>692.94909668000003</v>
      </c>
      <c r="G668">
        <v>80</v>
      </c>
      <c r="H668">
        <v>69.908592224000003</v>
      </c>
      <c r="I668">
        <v>50</v>
      </c>
      <c r="J668">
        <v>49.652702331999997</v>
      </c>
      <c r="K668">
        <v>2400</v>
      </c>
      <c r="L668">
        <v>0</v>
      </c>
      <c r="M668">
        <v>0</v>
      </c>
      <c r="N668">
        <v>2400</v>
      </c>
    </row>
    <row r="669" spans="1:14" x14ac:dyDescent="0.25">
      <c r="A669">
        <v>366.28135700000001</v>
      </c>
      <c r="B669" s="1">
        <f>DATE(2011,5,2) + TIME(6,45,9)</f>
        <v>40665.281354166669</v>
      </c>
      <c r="C669">
        <v>1952.8654785000001</v>
      </c>
      <c r="D669">
        <v>1812.2460937999999</v>
      </c>
      <c r="E669">
        <v>884.43457031000003</v>
      </c>
      <c r="F669">
        <v>693.11492920000001</v>
      </c>
      <c r="G669">
        <v>80</v>
      </c>
      <c r="H669">
        <v>70.760719299000002</v>
      </c>
      <c r="I669">
        <v>50</v>
      </c>
      <c r="J669">
        <v>49.641868590999998</v>
      </c>
      <c r="K669">
        <v>2400</v>
      </c>
      <c r="L669">
        <v>0</v>
      </c>
      <c r="M669">
        <v>0</v>
      </c>
      <c r="N669">
        <v>2400</v>
      </c>
    </row>
    <row r="670" spans="1:14" x14ac:dyDescent="0.25">
      <c r="A670">
        <v>366.365272</v>
      </c>
      <c r="B670" s="1">
        <f>DATE(2011,5,2) + TIME(8,45,59)</f>
        <v>40665.365266203706</v>
      </c>
      <c r="C670">
        <v>1950.5068358999999</v>
      </c>
      <c r="D670">
        <v>1811.2470702999999</v>
      </c>
      <c r="E670">
        <v>884.60839843999997</v>
      </c>
      <c r="F670">
        <v>693.28027343999997</v>
      </c>
      <c r="G670">
        <v>80</v>
      </c>
      <c r="H670">
        <v>71.602943420000003</v>
      </c>
      <c r="I670">
        <v>50</v>
      </c>
      <c r="J670">
        <v>49.630237579000003</v>
      </c>
      <c r="K670">
        <v>2400</v>
      </c>
      <c r="L670">
        <v>0</v>
      </c>
      <c r="M670">
        <v>0</v>
      </c>
      <c r="N670">
        <v>2400</v>
      </c>
    </row>
    <row r="671" spans="1:14" x14ac:dyDescent="0.25">
      <c r="A671">
        <v>366.45719000000003</v>
      </c>
      <c r="B671" s="1">
        <f>DATE(2011,5,2) + TIME(10,58,21)</f>
        <v>40665.457187499997</v>
      </c>
      <c r="C671">
        <v>1948.0977783000001</v>
      </c>
      <c r="D671">
        <v>1810.1522216999999</v>
      </c>
      <c r="E671">
        <v>884.77532958999996</v>
      </c>
      <c r="F671">
        <v>693.43792725000003</v>
      </c>
      <c r="G671">
        <v>80</v>
      </c>
      <c r="H671">
        <v>72.434349060000002</v>
      </c>
      <c r="I671">
        <v>50</v>
      </c>
      <c r="J671">
        <v>49.617660522000001</v>
      </c>
      <c r="K671">
        <v>2400</v>
      </c>
      <c r="L671">
        <v>0</v>
      </c>
      <c r="M671">
        <v>0</v>
      </c>
      <c r="N671">
        <v>2400</v>
      </c>
    </row>
    <row r="672" spans="1:14" x14ac:dyDescent="0.25">
      <c r="A672">
        <v>366.55392499999999</v>
      </c>
      <c r="B672" s="1">
        <f>DATE(2011,5,2) + TIME(13,17,39)</f>
        <v>40665.553923611114</v>
      </c>
      <c r="C672">
        <v>1945.7131348</v>
      </c>
      <c r="D672">
        <v>1808.9790039</v>
      </c>
      <c r="E672">
        <v>884.92199706999997</v>
      </c>
      <c r="F672">
        <v>693.57556151999995</v>
      </c>
      <c r="G672">
        <v>80</v>
      </c>
      <c r="H672">
        <v>73.218582153</v>
      </c>
      <c r="I672">
        <v>50</v>
      </c>
      <c r="J672">
        <v>49.604541779000002</v>
      </c>
      <c r="K672">
        <v>2400</v>
      </c>
      <c r="L672">
        <v>0</v>
      </c>
      <c r="M672">
        <v>0</v>
      </c>
      <c r="N672">
        <v>2400</v>
      </c>
    </row>
    <row r="673" spans="1:14" x14ac:dyDescent="0.25">
      <c r="A673">
        <v>366.65084100000001</v>
      </c>
      <c r="B673" s="1">
        <f>DATE(2011,5,2) + TIME(15,37,12)</f>
        <v>40665.650833333333</v>
      </c>
      <c r="C673">
        <v>1943.4545897999999</v>
      </c>
      <c r="D673">
        <v>1807.7841797000001</v>
      </c>
      <c r="E673">
        <v>885.04071045000001</v>
      </c>
      <c r="F673">
        <v>693.68585204999999</v>
      </c>
      <c r="G673">
        <v>80</v>
      </c>
      <c r="H673">
        <v>73.922470093000001</v>
      </c>
      <c r="I673">
        <v>50</v>
      </c>
      <c r="J673">
        <v>49.591442108000003</v>
      </c>
      <c r="K673">
        <v>2400</v>
      </c>
      <c r="L673">
        <v>0</v>
      </c>
      <c r="M673">
        <v>0</v>
      </c>
      <c r="N673">
        <v>2400</v>
      </c>
    </row>
    <row r="674" spans="1:14" x14ac:dyDescent="0.25">
      <c r="A674">
        <v>366.74848100000003</v>
      </c>
      <c r="B674" s="1">
        <f>DATE(2011,5,2) + TIME(17,57,48)</f>
        <v>40665.748472222222</v>
      </c>
      <c r="C674">
        <v>1941.3391113</v>
      </c>
      <c r="D674">
        <v>1806.6105957</v>
      </c>
      <c r="E674">
        <v>885.13629149999997</v>
      </c>
      <c r="F674">
        <v>693.77282715000001</v>
      </c>
      <c r="G674">
        <v>80</v>
      </c>
      <c r="H674">
        <v>74.557113646999994</v>
      </c>
      <c r="I674">
        <v>50</v>
      </c>
      <c r="J674">
        <v>49.578300476000003</v>
      </c>
      <c r="K674">
        <v>2400</v>
      </c>
      <c r="L674">
        <v>0</v>
      </c>
      <c r="M674">
        <v>0</v>
      </c>
      <c r="N674">
        <v>2400</v>
      </c>
    </row>
    <row r="675" spans="1:14" x14ac:dyDescent="0.25">
      <c r="A675">
        <v>366.84718099999998</v>
      </c>
      <c r="B675" s="1">
        <f>DATE(2011,5,2) + TIME(20,19,56)</f>
        <v>40665.847175925926</v>
      </c>
      <c r="C675">
        <v>1939.3499756000001</v>
      </c>
      <c r="D675">
        <v>1805.4582519999999</v>
      </c>
      <c r="E675">
        <v>885.21160888999998</v>
      </c>
      <c r="F675">
        <v>693.83941649999997</v>
      </c>
      <c r="G675">
        <v>80</v>
      </c>
      <c r="H675">
        <v>75.130348205999994</v>
      </c>
      <c r="I675">
        <v>50</v>
      </c>
      <c r="J675">
        <v>49.565071105999998</v>
      </c>
      <c r="K675">
        <v>2400</v>
      </c>
      <c r="L675">
        <v>0</v>
      </c>
      <c r="M675">
        <v>0</v>
      </c>
      <c r="N675">
        <v>2400</v>
      </c>
    </row>
    <row r="676" spans="1:14" x14ac:dyDescent="0.25">
      <c r="A676">
        <v>366.947225</v>
      </c>
      <c r="B676" s="1">
        <f>DATE(2011,5,2) + TIME(22,44,0)</f>
        <v>40665.947222222225</v>
      </c>
      <c r="C676">
        <v>1937.4732666</v>
      </c>
      <c r="D676">
        <v>1804.3262939000001</v>
      </c>
      <c r="E676">
        <v>885.26934814000003</v>
      </c>
      <c r="F676">
        <v>693.88836670000001</v>
      </c>
      <c r="G676">
        <v>80</v>
      </c>
      <c r="H676">
        <v>75.648422241000006</v>
      </c>
      <c r="I676">
        <v>50</v>
      </c>
      <c r="J676">
        <v>49.55172348</v>
      </c>
      <c r="K676">
        <v>2400</v>
      </c>
      <c r="L676">
        <v>0</v>
      </c>
      <c r="M676">
        <v>0</v>
      </c>
      <c r="N676">
        <v>2400</v>
      </c>
    </row>
    <row r="677" spans="1:14" x14ac:dyDescent="0.25">
      <c r="A677">
        <v>367.04889500000002</v>
      </c>
      <c r="B677" s="1">
        <f>DATE(2011,5,3) + TIME(1,10,24)</f>
        <v>40666.048888888887</v>
      </c>
      <c r="C677">
        <v>1935.6968993999999</v>
      </c>
      <c r="D677">
        <v>1803.2141113</v>
      </c>
      <c r="E677">
        <v>885.31213378999996</v>
      </c>
      <c r="F677">
        <v>693.92218018000005</v>
      </c>
      <c r="G677">
        <v>80</v>
      </c>
      <c r="H677">
        <v>76.117210388000004</v>
      </c>
      <c r="I677">
        <v>50</v>
      </c>
      <c r="J677">
        <v>49.538223266999999</v>
      </c>
      <c r="K677">
        <v>2400</v>
      </c>
      <c r="L677">
        <v>0</v>
      </c>
      <c r="M677">
        <v>0</v>
      </c>
      <c r="N677">
        <v>2400</v>
      </c>
    </row>
    <row r="678" spans="1:14" x14ac:dyDescent="0.25">
      <c r="A678">
        <v>367.15248700000001</v>
      </c>
      <c r="B678" s="1">
        <f>DATE(2011,5,3) + TIME(3,39,34)</f>
        <v>40666.15247685185</v>
      </c>
      <c r="C678">
        <v>1934.0098877</v>
      </c>
      <c r="D678">
        <v>1802.1199951000001</v>
      </c>
      <c r="E678">
        <v>885.34222411999997</v>
      </c>
      <c r="F678">
        <v>693.94305420000001</v>
      </c>
      <c r="G678">
        <v>80</v>
      </c>
      <c r="H678">
        <v>76.541549683</v>
      </c>
      <c r="I678">
        <v>50</v>
      </c>
      <c r="J678">
        <v>49.524536132999998</v>
      </c>
      <c r="K678">
        <v>2400</v>
      </c>
      <c r="L678">
        <v>0</v>
      </c>
      <c r="M678">
        <v>0</v>
      </c>
      <c r="N678">
        <v>2400</v>
      </c>
    </row>
    <row r="679" spans="1:14" x14ac:dyDescent="0.25">
      <c r="A679">
        <v>367.25830400000001</v>
      </c>
      <c r="B679" s="1">
        <f>DATE(2011,5,3) + TIME(6,11,57)</f>
        <v>40666.258298611108</v>
      </c>
      <c r="C679">
        <v>1932.4025879000001</v>
      </c>
      <c r="D679">
        <v>1801.0421143000001</v>
      </c>
      <c r="E679">
        <v>885.36145020000004</v>
      </c>
      <c r="F679">
        <v>693.95294189000003</v>
      </c>
      <c r="G679">
        <v>80</v>
      </c>
      <c r="H679">
        <v>76.925636291999993</v>
      </c>
      <c r="I679">
        <v>50</v>
      </c>
      <c r="J679">
        <v>49.510623932000001</v>
      </c>
      <c r="K679">
        <v>2400</v>
      </c>
      <c r="L679">
        <v>0</v>
      </c>
      <c r="M679">
        <v>0</v>
      </c>
      <c r="N679">
        <v>2400</v>
      </c>
    </row>
    <row r="680" spans="1:14" x14ac:dyDescent="0.25">
      <c r="A680">
        <v>367.36666600000001</v>
      </c>
      <c r="B680" s="1">
        <f>DATE(2011,5,3) + TIME(8,47,59)</f>
        <v>40666.366655092592</v>
      </c>
      <c r="C680">
        <v>1930.8659668</v>
      </c>
      <c r="D680">
        <v>1799.9786377</v>
      </c>
      <c r="E680">
        <v>885.37158203000001</v>
      </c>
      <c r="F680">
        <v>693.95355225000003</v>
      </c>
      <c r="G680">
        <v>80</v>
      </c>
      <c r="H680">
        <v>77.273170471</v>
      </c>
      <c r="I680">
        <v>50</v>
      </c>
      <c r="J680">
        <v>49.496452331999997</v>
      </c>
      <c r="K680">
        <v>2400</v>
      </c>
      <c r="L680">
        <v>0</v>
      </c>
      <c r="M680">
        <v>0</v>
      </c>
      <c r="N680">
        <v>2400</v>
      </c>
    </row>
    <row r="681" spans="1:14" x14ac:dyDescent="0.25">
      <c r="A681">
        <v>367.47790800000001</v>
      </c>
      <c r="B681" s="1">
        <f>DATE(2011,5,3) + TIME(11,28,11)</f>
        <v>40666.477905092594</v>
      </c>
      <c r="C681">
        <v>1929.3923339999999</v>
      </c>
      <c r="D681">
        <v>1798.9272461</v>
      </c>
      <c r="E681">
        <v>885.37402343999997</v>
      </c>
      <c r="F681">
        <v>693.94610595999995</v>
      </c>
      <c r="G681">
        <v>80</v>
      </c>
      <c r="H681">
        <v>77.587394713999998</v>
      </c>
      <c r="I681">
        <v>50</v>
      </c>
      <c r="J681">
        <v>49.481983184999997</v>
      </c>
      <c r="K681">
        <v>2400</v>
      </c>
      <c r="L681">
        <v>0</v>
      </c>
      <c r="M681">
        <v>0</v>
      </c>
      <c r="N681">
        <v>2400</v>
      </c>
    </row>
    <row r="682" spans="1:14" x14ac:dyDescent="0.25">
      <c r="A682">
        <v>367.59239300000002</v>
      </c>
      <c r="B682" s="1">
        <f>DATE(2011,5,3) + TIME(14,13,2)</f>
        <v>40666.59238425926</v>
      </c>
      <c r="C682">
        <v>1927.9743652</v>
      </c>
      <c r="D682">
        <v>1797.8857422000001</v>
      </c>
      <c r="E682">
        <v>885.36987305000002</v>
      </c>
      <c r="F682">
        <v>693.93188477000001</v>
      </c>
      <c r="G682">
        <v>80</v>
      </c>
      <c r="H682">
        <v>77.871200561999999</v>
      </c>
      <c r="I682">
        <v>50</v>
      </c>
      <c r="J682">
        <v>49.467170715000002</v>
      </c>
      <c r="K682">
        <v>2400</v>
      </c>
      <c r="L682">
        <v>0</v>
      </c>
      <c r="M682">
        <v>0</v>
      </c>
      <c r="N682">
        <v>2400</v>
      </c>
    </row>
    <row r="683" spans="1:14" x14ac:dyDescent="0.25">
      <c r="A683">
        <v>367.71051499999999</v>
      </c>
      <c r="B683" s="1">
        <f>DATE(2011,5,3) + TIME(17,3,8)</f>
        <v>40666.710509259261</v>
      </c>
      <c r="C683">
        <v>1926.6053466999999</v>
      </c>
      <c r="D683">
        <v>1796.8520507999999</v>
      </c>
      <c r="E683">
        <v>885.36010741999996</v>
      </c>
      <c r="F683">
        <v>693.91174316000001</v>
      </c>
      <c r="G683">
        <v>80</v>
      </c>
      <c r="H683">
        <v>78.127174377000003</v>
      </c>
      <c r="I683">
        <v>50</v>
      </c>
      <c r="J683">
        <v>49.451980591000002</v>
      </c>
      <c r="K683">
        <v>2400</v>
      </c>
      <c r="L683">
        <v>0</v>
      </c>
      <c r="M683">
        <v>0</v>
      </c>
      <c r="N683">
        <v>2400</v>
      </c>
    </row>
    <row r="684" spans="1:14" x14ac:dyDescent="0.25">
      <c r="A684">
        <v>367.83271000000002</v>
      </c>
      <c r="B684" s="1">
        <f>DATE(2011,5,3) + TIME(19,59,6)</f>
        <v>40666.832708333335</v>
      </c>
      <c r="C684">
        <v>1925.2789307</v>
      </c>
      <c r="D684">
        <v>1795.8236084</v>
      </c>
      <c r="E684">
        <v>885.34545897999999</v>
      </c>
      <c r="F684">
        <v>693.88641356999995</v>
      </c>
      <c r="G684">
        <v>80</v>
      </c>
      <c r="H684">
        <v>78.357627868999998</v>
      </c>
      <c r="I684">
        <v>50</v>
      </c>
      <c r="J684">
        <v>49.436355591000002</v>
      </c>
      <c r="K684">
        <v>2400</v>
      </c>
      <c r="L684">
        <v>0</v>
      </c>
      <c r="M684">
        <v>0</v>
      </c>
      <c r="N684">
        <v>2400</v>
      </c>
    </row>
    <row r="685" spans="1:14" x14ac:dyDescent="0.25">
      <c r="A685">
        <v>367.95949899999999</v>
      </c>
      <c r="B685" s="1">
        <f>DATE(2011,5,3) + TIME(23,1,40)</f>
        <v>40666.959490740737</v>
      </c>
      <c r="C685">
        <v>1923.9891356999999</v>
      </c>
      <c r="D685">
        <v>1794.7979736</v>
      </c>
      <c r="E685">
        <v>885.32666015999996</v>
      </c>
      <c r="F685">
        <v>693.85656738</v>
      </c>
      <c r="G685">
        <v>80</v>
      </c>
      <c r="H685">
        <v>78.564720154</v>
      </c>
      <c r="I685">
        <v>50</v>
      </c>
      <c r="J685">
        <v>49.420242309999999</v>
      </c>
      <c r="K685">
        <v>2400</v>
      </c>
      <c r="L685">
        <v>0</v>
      </c>
      <c r="M685">
        <v>0</v>
      </c>
      <c r="N685">
        <v>2400</v>
      </c>
    </row>
    <row r="686" spans="1:14" x14ac:dyDescent="0.25">
      <c r="A686">
        <v>368.09144400000002</v>
      </c>
      <c r="B686" s="1">
        <f>DATE(2011,5,4) + TIME(2,11,40)</f>
        <v>40667.091435185182</v>
      </c>
      <c r="C686">
        <v>1922.7298584</v>
      </c>
      <c r="D686">
        <v>1793.7722168</v>
      </c>
      <c r="E686">
        <v>885.30407715000001</v>
      </c>
      <c r="F686">
        <v>693.82250977000001</v>
      </c>
      <c r="G686">
        <v>80</v>
      </c>
      <c r="H686">
        <v>78.750366210999999</v>
      </c>
      <c r="I686">
        <v>50</v>
      </c>
      <c r="J686">
        <v>49.403579712000003</v>
      </c>
      <c r="K686">
        <v>2400</v>
      </c>
      <c r="L686">
        <v>0</v>
      </c>
      <c r="M686">
        <v>0</v>
      </c>
      <c r="N686">
        <v>2400</v>
      </c>
    </row>
    <row r="687" spans="1:14" x14ac:dyDescent="0.25">
      <c r="A687">
        <v>368.22912000000002</v>
      </c>
      <c r="B687" s="1">
        <f>DATE(2011,5,4) + TIME(5,29,55)</f>
        <v>40667.229108796295</v>
      </c>
      <c r="C687">
        <v>1921.4957274999999</v>
      </c>
      <c r="D687">
        <v>1792.7434082</v>
      </c>
      <c r="E687">
        <v>885.27807616999996</v>
      </c>
      <c r="F687">
        <v>693.78460693</v>
      </c>
      <c r="G687">
        <v>80</v>
      </c>
      <c r="H687">
        <v>78.916229247999993</v>
      </c>
      <c r="I687">
        <v>50</v>
      </c>
      <c r="J687">
        <v>49.386306763</v>
      </c>
      <c r="K687">
        <v>2400</v>
      </c>
      <c r="L687">
        <v>0</v>
      </c>
      <c r="M687">
        <v>0</v>
      </c>
      <c r="N687">
        <v>2400</v>
      </c>
    </row>
    <row r="688" spans="1:14" x14ac:dyDescent="0.25">
      <c r="A688">
        <v>368.37323900000001</v>
      </c>
      <c r="B688" s="1">
        <f>DATE(2011,5,4) + TIME(8,57,27)</f>
        <v>40667.373229166667</v>
      </c>
      <c r="C688">
        <v>1920.2813721</v>
      </c>
      <c r="D688">
        <v>1791.7088623</v>
      </c>
      <c r="E688">
        <v>885.24890137</v>
      </c>
      <c r="F688">
        <v>693.74298095999995</v>
      </c>
      <c r="G688">
        <v>80</v>
      </c>
      <c r="H688">
        <v>79.063919067</v>
      </c>
      <c r="I688">
        <v>50</v>
      </c>
      <c r="J688">
        <v>49.368347168</v>
      </c>
      <c r="K688">
        <v>2400</v>
      </c>
      <c r="L688">
        <v>0</v>
      </c>
      <c r="M688">
        <v>0</v>
      </c>
      <c r="N688">
        <v>2400</v>
      </c>
    </row>
    <row r="689" spans="1:14" x14ac:dyDescent="0.25">
      <c r="A689">
        <v>368.52462400000002</v>
      </c>
      <c r="B689" s="1">
        <f>DATE(2011,5,4) + TIME(12,35,27)</f>
        <v>40667.524618055555</v>
      </c>
      <c r="C689">
        <v>1919.081543</v>
      </c>
      <c r="D689">
        <v>1790.6652832</v>
      </c>
      <c r="E689">
        <v>885.21673583999996</v>
      </c>
      <c r="F689">
        <v>693.69781493999994</v>
      </c>
      <c r="G689">
        <v>80</v>
      </c>
      <c r="H689">
        <v>79.194908142000003</v>
      </c>
      <c r="I689">
        <v>50</v>
      </c>
      <c r="J689">
        <v>49.349613189999999</v>
      </c>
      <c r="K689">
        <v>2400</v>
      </c>
      <c r="L689">
        <v>0</v>
      </c>
      <c r="M689">
        <v>0</v>
      </c>
      <c r="N689">
        <v>2400</v>
      </c>
    </row>
    <row r="690" spans="1:14" x14ac:dyDescent="0.25">
      <c r="A690">
        <v>368.68423100000001</v>
      </c>
      <c r="B690" s="1">
        <f>DATE(2011,5,4) + TIME(16,25,17)</f>
        <v>40667.684224537035</v>
      </c>
      <c r="C690">
        <v>1917.890625</v>
      </c>
      <c r="D690">
        <v>1789.609375</v>
      </c>
      <c r="E690">
        <v>885.18151854999996</v>
      </c>
      <c r="F690">
        <v>693.64904784999999</v>
      </c>
      <c r="G690">
        <v>80</v>
      </c>
      <c r="H690">
        <v>79.310562133999994</v>
      </c>
      <c r="I690">
        <v>50</v>
      </c>
      <c r="J690">
        <v>49.330009459999999</v>
      </c>
      <c r="K690">
        <v>2400</v>
      </c>
      <c r="L690">
        <v>0</v>
      </c>
      <c r="M690">
        <v>0</v>
      </c>
      <c r="N690">
        <v>2400</v>
      </c>
    </row>
    <row r="691" spans="1:14" x14ac:dyDescent="0.25">
      <c r="A691">
        <v>368.85217799999998</v>
      </c>
      <c r="B691" s="1">
        <f>DATE(2011,5,4) + TIME(20,27,8)</f>
        <v>40667.852175925924</v>
      </c>
      <c r="C691">
        <v>1916.7042236</v>
      </c>
      <c r="D691">
        <v>1788.5377197</v>
      </c>
      <c r="E691">
        <v>885.14324951000003</v>
      </c>
      <c r="F691">
        <v>693.59661864999998</v>
      </c>
      <c r="G691">
        <v>80</v>
      </c>
      <c r="H691">
        <v>79.411643982000001</v>
      </c>
      <c r="I691">
        <v>50</v>
      </c>
      <c r="J691">
        <v>49.309520720999998</v>
      </c>
      <c r="K691">
        <v>2400</v>
      </c>
      <c r="L691">
        <v>0</v>
      </c>
      <c r="M691">
        <v>0</v>
      </c>
      <c r="N691">
        <v>2400</v>
      </c>
    </row>
    <row r="692" spans="1:14" x14ac:dyDescent="0.25">
      <c r="A692">
        <v>369.02952399999998</v>
      </c>
      <c r="B692" s="1">
        <f>DATE(2011,5,5) + TIME(0,42,30)</f>
        <v>40668.029513888891</v>
      </c>
      <c r="C692">
        <v>1915.5214844</v>
      </c>
      <c r="D692">
        <v>1787.4516602000001</v>
      </c>
      <c r="E692">
        <v>885.10205078000001</v>
      </c>
      <c r="F692">
        <v>693.54052734000004</v>
      </c>
      <c r="G692">
        <v>80</v>
      </c>
      <c r="H692">
        <v>79.499496460000003</v>
      </c>
      <c r="I692">
        <v>50</v>
      </c>
      <c r="J692">
        <v>49.288040160999998</v>
      </c>
      <c r="K692">
        <v>2400</v>
      </c>
      <c r="L692">
        <v>0</v>
      </c>
      <c r="M692">
        <v>0</v>
      </c>
      <c r="N692">
        <v>2400</v>
      </c>
    </row>
    <row r="693" spans="1:14" x14ac:dyDescent="0.25">
      <c r="A693">
        <v>369.21693499999998</v>
      </c>
      <c r="B693" s="1">
        <f>DATE(2011,5,5) + TIME(5,12,23)</f>
        <v>40668.216932870368</v>
      </c>
      <c r="C693">
        <v>1914.3376464999999</v>
      </c>
      <c r="D693">
        <v>1786.3477783000001</v>
      </c>
      <c r="E693">
        <v>885.05767821999996</v>
      </c>
      <c r="F693">
        <v>693.48065185999997</v>
      </c>
      <c r="G693">
        <v>80</v>
      </c>
      <c r="H693">
        <v>79.575195312000005</v>
      </c>
      <c r="I693">
        <v>50</v>
      </c>
      <c r="J693">
        <v>49.265502929999997</v>
      </c>
      <c r="K693">
        <v>2400</v>
      </c>
      <c r="L693">
        <v>0</v>
      </c>
      <c r="M693">
        <v>0</v>
      </c>
      <c r="N693">
        <v>2400</v>
      </c>
    </row>
    <row r="694" spans="1:14" x14ac:dyDescent="0.25">
      <c r="A694">
        <v>369.41323299999999</v>
      </c>
      <c r="B694" s="1">
        <f>DATE(2011,5,5) + TIME(9,55,3)</f>
        <v>40668.413229166668</v>
      </c>
      <c r="C694">
        <v>1913.1514893000001</v>
      </c>
      <c r="D694">
        <v>1785.2258300999999</v>
      </c>
      <c r="E694">
        <v>885.01000977000001</v>
      </c>
      <c r="F694">
        <v>693.41693114999998</v>
      </c>
      <c r="G694">
        <v>80</v>
      </c>
      <c r="H694">
        <v>79.639305114999999</v>
      </c>
      <c r="I694">
        <v>50</v>
      </c>
      <c r="J694">
        <v>49.242012023999997</v>
      </c>
      <c r="K694">
        <v>2400</v>
      </c>
      <c r="L694">
        <v>0</v>
      </c>
      <c r="M694">
        <v>0</v>
      </c>
      <c r="N694">
        <v>2400</v>
      </c>
    </row>
    <row r="695" spans="1:14" x14ac:dyDescent="0.25">
      <c r="A695">
        <v>369.60955200000001</v>
      </c>
      <c r="B695" s="1">
        <f>DATE(2011,5,5) + TIME(14,37,45)</f>
        <v>40668.609548611108</v>
      </c>
      <c r="C695">
        <v>1911.9752197</v>
      </c>
      <c r="D695">
        <v>1784.0974120999999</v>
      </c>
      <c r="E695">
        <v>884.95849609000004</v>
      </c>
      <c r="F695">
        <v>693.35034180000002</v>
      </c>
      <c r="G695">
        <v>80</v>
      </c>
      <c r="H695">
        <v>79.691192627000007</v>
      </c>
      <c r="I695">
        <v>50</v>
      </c>
      <c r="J695">
        <v>49.21843338</v>
      </c>
      <c r="K695">
        <v>2400</v>
      </c>
      <c r="L695">
        <v>0</v>
      </c>
      <c r="M695">
        <v>0</v>
      </c>
      <c r="N695">
        <v>2400</v>
      </c>
    </row>
    <row r="696" spans="1:14" x14ac:dyDescent="0.25">
      <c r="A696">
        <v>369.80664899999999</v>
      </c>
      <c r="B696" s="1">
        <f>DATE(2011,5,5) + TIME(19,21,34)</f>
        <v>40668.806643518517</v>
      </c>
      <c r="C696">
        <v>1910.8502197</v>
      </c>
      <c r="D696">
        <v>1783.0086670000001</v>
      </c>
      <c r="E696">
        <v>884.90673828000001</v>
      </c>
      <c r="F696">
        <v>693.28308104999996</v>
      </c>
      <c r="G696">
        <v>80</v>
      </c>
      <c r="H696">
        <v>79.733352660999998</v>
      </c>
      <c r="I696">
        <v>50</v>
      </c>
      <c r="J696">
        <v>49.194721221999998</v>
      </c>
      <c r="K696">
        <v>2400</v>
      </c>
      <c r="L696">
        <v>0</v>
      </c>
      <c r="M696">
        <v>0</v>
      </c>
      <c r="N696">
        <v>2400</v>
      </c>
    </row>
    <row r="697" spans="1:14" x14ac:dyDescent="0.25">
      <c r="A697">
        <v>370.00511999999998</v>
      </c>
      <c r="B697" s="1">
        <f>DATE(2011,5,6) + TIME(0,7,22)</f>
        <v>40669.005115740743</v>
      </c>
      <c r="C697">
        <v>1909.7685547000001</v>
      </c>
      <c r="D697">
        <v>1781.9537353999999</v>
      </c>
      <c r="E697">
        <v>884.85461425999995</v>
      </c>
      <c r="F697">
        <v>693.21514893000005</v>
      </c>
      <c r="G697">
        <v>80</v>
      </c>
      <c r="H697">
        <v>79.767700195000003</v>
      </c>
      <c r="I697">
        <v>50</v>
      </c>
      <c r="J697">
        <v>49.170848845999998</v>
      </c>
      <c r="K697">
        <v>2400</v>
      </c>
      <c r="L697">
        <v>0</v>
      </c>
      <c r="M697">
        <v>0</v>
      </c>
      <c r="N697">
        <v>2400</v>
      </c>
    </row>
    <row r="698" spans="1:14" x14ac:dyDescent="0.25">
      <c r="A698">
        <v>370.20559400000002</v>
      </c>
      <c r="B698" s="1">
        <f>DATE(2011,5,6) + TIME(4,56,3)</f>
        <v>40669.205590277779</v>
      </c>
      <c r="C698">
        <v>1908.7227783000001</v>
      </c>
      <c r="D698">
        <v>1780.9274902</v>
      </c>
      <c r="E698">
        <v>884.80200194999998</v>
      </c>
      <c r="F698">
        <v>693.14642333999996</v>
      </c>
      <c r="G698">
        <v>80</v>
      </c>
      <c r="H698">
        <v>79.795745850000003</v>
      </c>
      <c r="I698">
        <v>50</v>
      </c>
      <c r="J698">
        <v>49.146766663000001</v>
      </c>
      <c r="K698">
        <v>2400</v>
      </c>
      <c r="L698">
        <v>0</v>
      </c>
      <c r="M698">
        <v>0</v>
      </c>
      <c r="N698">
        <v>2400</v>
      </c>
    </row>
    <row r="699" spans="1:14" x14ac:dyDescent="0.25">
      <c r="A699">
        <v>370.40867900000001</v>
      </c>
      <c r="B699" s="1">
        <f>DATE(2011,5,6) + TIME(9,48,29)</f>
        <v>40669.408668981479</v>
      </c>
      <c r="C699">
        <v>1907.7066649999999</v>
      </c>
      <c r="D699">
        <v>1779.9248047000001</v>
      </c>
      <c r="E699">
        <v>884.74871826000003</v>
      </c>
      <c r="F699">
        <v>693.07672118999994</v>
      </c>
      <c r="G699">
        <v>80</v>
      </c>
      <c r="H699">
        <v>79.818687439000001</v>
      </c>
      <c r="I699">
        <v>50</v>
      </c>
      <c r="J699">
        <v>49.122428894000002</v>
      </c>
      <c r="K699">
        <v>2400</v>
      </c>
      <c r="L699">
        <v>0</v>
      </c>
      <c r="M699">
        <v>0</v>
      </c>
      <c r="N699">
        <v>2400</v>
      </c>
    </row>
    <row r="700" spans="1:14" x14ac:dyDescent="0.25">
      <c r="A700">
        <v>370.61498399999999</v>
      </c>
      <c r="B700" s="1">
        <f>DATE(2011,5,6) + TIME(14,45,34)</f>
        <v>40669.614976851852</v>
      </c>
      <c r="C700">
        <v>1906.7144774999999</v>
      </c>
      <c r="D700">
        <v>1778.9415283000001</v>
      </c>
      <c r="E700">
        <v>884.69464111000002</v>
      </c>
      <c r="F700">
        <v>693.00585937999995</v>
      </c>
      <c r="G700">
        <v>80</v>
      </c>
      <c r="H700">
        <v>79.837471007999994</v>
      </c>
      <c r="I700">
        <v>50</v>
      </c>
      <c r="J700">
        <v>49.097789763999998</v>
      </c>
      <c r="K700">
        <v>2400</v>
      </c>
      <c r="L700">
        <v>0</v>
      </c>
      <c r="M700">
        <v>0</v>
      </c>
      <c r="N700">
        <v>2400</v>
      </c>
    </row>
    <row r="701" spans="1:14" x14ac:dyDescent="0.25">
      <c r="A701">
        <v>370.82512600000001</v>
      </c>
      <c r="B701" s="1">
        <f>DATE(2011,5,6) + TIME(19,48,10)</f>
        <v>40669.825115740743</v>
      </c>
      <c r="C701">
        <v>1905.7418213000001</v>
      </c>
      <c r="D701">
        <v>1777.9737548999999</v>
      </c>
      <c r="E701">
        <v>884.63958739999998</v>
      </c>
      <c r="F701">
        <v>692.93365478999999</v>
      </c>
      <c r="G701">
        <v>80</v>
      </c>
      <c r="H701">
        <v>79.852874756000006</v>
      </c>
      <c r="I701">
        <v>50</v>
      </c>
      <c r="J701">
        <v>49.072788238999998</v>
      </c>
      <c r="K701">
        <v>2400</v>
      </c>
      <c r="L701">
        <v>0</v>
      </c>
      <c r="M701">
        <v>0</v>
      </c>
      <c r="N701">
        <v>2400</v>
      </c>
    </row>
    <row r="702" spans="1:14" x14ac:dyDescent="0.25">
      <c r="A702">
        <v>371.03975100000002</v>
      </c>
      <c r="B702" s="1">
        <f>DATE(2011,5,7) + TIME(0,57,14)</f>
        <v>40670.03974537037</v>
      </c>
      <c r="C702">
        <v>1904.7841797000001</v>
      </c>
      <c r="D702">
        <v>1777.0181885</v>
      </c>
      <c r="E702">
        <v>884.58337401999995</v>
      </c>
      <c r="F702">
        <v>692.85998534999999</v>
      </c>
      <c r="G702">
        <v>80</v>
      </c>
      <c r="H702">
        <v>79.865501404</v>
      </c>
      <c r="I702">
        <v>50</v>
      </c>
      <c r="J702">
        <v>49.047367096000002</v>
      </c>
      <c r="K702">
        <v>2400</v>
      </c>
      <c r="L702">
        <v>0</v>
      </c>
      <c r="M702">
        <v>0</v>
      </c>
      <c r="N702">
        <v>2400</v>
      </c>
    </row>
    <row r="703" spans="1:14" x14ac:dyDescent="0.25">
      <c r="A703">
        <v>371.25953900000002</v>
      </c>
      <c r="B703" s="1">
        <f>DATE(2011,5,7) + TIME(6,13,44)</f>
        <v>40670.25953703704</v>
      </c>
      <c r="C703">
        <v>1903.8382568</v>
      </c>
      <c r="D703">
        <v>1776.0717772999999</v>
      </c>
      <c r="E703">
        <v>884.52587890999996</v>
      </c>
      <c r="F703">
        <v>692.78454590000001</v>
      </c>
      <c r="G703">
        <v>80</v>
      </c>
      <c r="H703">
        <v>79.875869750999996</v>
      </c>
      <c r="I703">
        <v>50</v>
      </c>
      <c r="J703">
        <v>49.021465302000003</v>
      </c>
      <c r="K703">
        <v>2400</v>
      </c>
      <c r="L703">
        <v>0</v>
      </c>
      <c r="M703">
        <v>0</v>
      </c>
      <c r="N703">
        <v>2400</v>
      </c>
    </row>
    <row r="704" spans="1:14" x14ac:dyDescent="0.25">
      <c r="A704">
        <v>371.48522400000002</v>
      </c>
      <c r="B704" s="1">
        <f>DATE(2011,5,7) + TIME(11,38,43)</f>
        <v>40670.485219907408</v>
      </c>
      <c r="C704">
        <v>1902.9001464999999</v>
      </c>
      <c r="D704">
        <v>1775.1314697</v>
      </c>
      <c r="E704">
        <v>884.46685791000004</v>
      </c>
      <c r="F704">
        <v>692.70715331999997</v>
      </c>
      <c r="G704">
        <v>80</v>
      </c>
      <c r="H704">
        <v>79.884376525999997</v>
      </c>
      <c r="I704">
        <v>50</v>
      </c>
      <c r="J704">
        <v>48.995010376000003</v>
      </c>
      <c r="K704">
        <v>2400</v>
      </c>
      <c r="L704">
        <v>0</v>
      </c>
      <c r="M704">
        <v>0</v>
      </c>
      <c r="N704">
        <v>2400</v>
      </c>
    </row>
    <row r="705" spans="1:14" x14ac:dyDescent="0.25">
      <c r="A705">
        <v>371.71760599999999</v>
      </c>
      <c r="B705" s="1">
        <f>DATE(2011,5,7) + TIME(17,13,21)</f>
        <v>40670.717604166668</v>
      </c>
      <c r="C705">
        <v>1901.9667969</v>
      </c>
      <c r="D705">
        <v>1774.1942139</v>
      </c>
      <c r="E705">
        <v>884.40612793000003</v>
      </c>
      <c r="F705">
        <v>692.62756348000005</v>
      </c>
      <c r="G705">
        <v>80</v>
      </c>
      <c r="H705">
        <v>79.891365050999994</v>
      </c>
      <c r="I705">
        <v>50</v>
      </c>
      <c r="J705">
        <v>48.967922211000001</v>
      </c>
      <c r="K705">
        <v>2400</v>
      </c>
      <c r="L705">
        <v>0</v>
      </c>
      <c r="M705">
        <v>0</v>
      </c>
      <c r="N705">
        <v>2400</v>
      </c>
    </row>
    <row r="706" spans="1:14" x14ac:dyDescent="0.25">
      <c r="A706">
        <v>371.95773500000001</v>
      </c>
      <c r="B706" s="1">
        <f>DATE(2011,5,7) + TIME(22,59,8)</f>
        <v>40670.957731481481</v>
      </c>
      <c r="C706">
        <v>1901.0349120999999</v>
      </c>
      <c r="D706">
        <v>1773.2574463000001</v>
      </c>
      <c r="E706">
        <v>884.34350586000005</v>
      </c>
      <c r="F706">
        <v>692.54547118999994</v>
      </c>
      <c r="G706">
        <v>80</v>
      </c>
      <c r="H706">
        <v>79.897109985</v>
      </c>
      <c r="I706">
        <v>50</v>
      </c>
      <c r="J706">
        <v>48.940109253000003</v>
      </c>
      <c r="K706">
        <v>2400</v>
      </c>
      <c r="L706">
        <v>0</v>
      </c>
      <c r="M706">
        <v>0</v>
      </c>
      <c r="N706">
        <v>2400</v>
      </c>
    </row>
    <row r="707" spans="1:14" x14ac:dyDescent="0.25">
      <c r="A707">
        <v>372.20646299999999</v>
      </c>
      <c r="B707" s="1">
        <f>DATE(2011,5,8) + TIME(4,57,18)</f>
        <v>40671.206458333334</v>
      </c>
      <c r="C707">
        <v>1900.1010742000001</v>
      </c>
      <c r="D707">
        <v>1772.3178711</v>
      </c>
      <c r="E707">
        <v>884.27862548999997</v>
      </c>
      <c r="F707">
        <v>692.46051024999997</v>
      </c>
      <c r="G707">
        <v>80</v>
      </c>
      <c r="H707">
        <v>79.901824950999995</v>
      </c>
      <c r="I707">
        <v>50</v>
      </c>
      <c r="J707">
        <v>48.91147995</v>
      </c>
      <c r="K707">
        <v>2400</v>
      </c>
      <c r="L707">
        <v>0</v>
      </c>
      <c r="M707">
        <v>0</v>
      </c>
      <c r="N707">
        <v>2400</v>
      </c>
    </row>
    <row r="708" spans="1:14" x14ac:dyDescent="0.25">
      <c r="A708">
        <v>372.464924</v>
      </c>
      <c r="B708" s="1">
        <f>DATE(2011,5,8) + TIME(11,9,29)</f>
        <v>40671.464918981481</v>
      </c>
      <c r="C708">
        <v>1899.1625977000001</v>
      </c>
      <c r="D708">
        <v>1771.3729248</v>
      </c>
      <c r="E708">
        <v>884.21130371000004</v>
      </c>
      <c r="F708">
        <v>692.37243651999995</v>
      </c>
      <c r="G708">
        <v>80</v>
      </c>
      <c r="H708">
        <v>79.905708313000005</v>
      </c>
      <c r="I708">
        <v>50</v>
      </c>
      <c r="J708">
        <v>48.881931305000002</v>
      </c>
      <c r="K708">
        <v>2400</v>
      </c>
      <c r="L708">
        <v>0</v>
      </c>
      <c r="M708">
        <v>0</v>
      </c>
      <c r="N708">
        <v>2400</v>
      </c>
    </row>
    <row r="709" spans="1:14" x14ac:dyDescent="0.25">
      <c r="A709">
        <v>372.73441800000001</v>
      </c>
      <c r="B709" s="1">
        <f>DATE(2011,5,8) + TIME(17,37,33)</f>
        <v>40671.734409722223</v>
      </c>
      <c r="C709">
        <v>1898.2161865</v>
      </c>
      <c r="D709">
        <v>1770.4195557</v>
      </c>
      <c r="E709">
        <v>884.14123534999999</v>
      </c>
      <c r="F709">
        <v>692.28076171999999</v>
      </c>
      <c r="G709">
        <v>80</v>
      </c>
      <c r="H709">
        <v>79.908905028999996</v>
      </c>
      <c r="I709">
        <v>50</v>
      </c>
      <c r="J709">
        <v>48.851341247999997</v>
      </c>
      <c r="K709">
        <v>2400</v>
      </c>
      <c r="L709">
        <v>0</v>
      </c>
      <c r="M709">
        <v>0</v>
      </c>
      <c r="N709">
        <v>2400</v>
      </c>
    </row>
    <row r="710" spans="1:14" x14ac:dyDescent="0.25">
      <c r="A710">
        <v>373.01645300000001</v>
      </c>
      <c r="B710" s="1">
        <f>DATE(2011,5,9) + TIME(0,23,41)</f>
        <v>40672.016446759262</v>
      </c>
      <c r="C710">
        <v>1897.2585449000001</v>
      </c>
      <c r="D710">
        <v>1769.4545897999999</v>
      </c>
      <c r="E710">
        <v>884.06793213000003</v>
      </c>
      <c r="F710">
        <v>692.18505859000004</v>
      </c>
      <c r="G710">
        <v>80</v>
      </c>
      <c r="H710">
        <v>79.911537170000003</v>
      </c>
      <c r="I710">
        <v>50</v>
      </c>
      <c r="J710">
        <v>48.819561004999997</v>
      </c>
      <c r="K710">
        <v>2400</v>
      </c>
      <c r="L710">
        <v>0</v>
      </c>
      <c r="M710">
        <v>0</v>
      </c>
      <c r="N710">
        <v>2400</v>
      </c>
    </row>
    <row r="711" spans="1:14" x14ac:dyDescent="0.25">
      <c r="A711">
        <v>373.31274999999999</v>
      </c>
      <c r="B711" s="1">
        <f>DATE(2011,5,9) + TIME(7,30,21)</f>
        <v>40672.312743055554</v>
      </c>
      <c r="C711">
        <v>1896.2861327999999</v>
      </c>
      <c r="D711">
        <v>1768.4747314000001</v>
      </c>
      <c r="E711">
        <v>883.99108887</v>
      </c>
      <c r="F711">
        <v>692.08471680000002</v>
      </c>
      <c r="G711">
        <v>80</v>
      </c>
      <c r="H711">
        <v>79.913719177000004</v>
      </c>
      <c r="I711">
        <v>50</v>
      </c>
      <c r="J711">
        <v>48.786434174</v>
      </c>
      <c r="K711">
        <v>2400</v>
      </c>
      <c r="L711">
        <v>0</v>
      </c>
      <c r="M711">
        <v>0</v>
      </c>
      <c r="N711">
        <v>2400</v>
      </c>
    </row>
    <row r="712" spans="1:14" x14ac:dyDescent="0.25">
      <c r="A712">
        <v>373.46719100000001</v>
      </c>
      <c r="B712" s="1">
        <f>DATE(2011,5,9) + TIME(11,12,45)</f>
        <v>40672.467187499999</v>
      </c>
      <c r="C712">
        <v>1895.3208007999999</v>
      </c>
      <c r="D712">
        <v>1767.5015868999999</v>
      </c>
      <c r="E712">
        <v>883.89672852000001</v>
      </c>
      <c r="F712">
        <v>691.99267578000001</v>
      </c>
      <c r="G712">
        <v>80</v>
      </c>
      <c r="H712">
        <v>79.914657593000001</v>
      </c>
      <c r="I712">
        <v>50</v>
      </c>
      <c r="J712">
        <v>48.766613006999997</v>
      </c>
      <c r="K712">
        <v>2400</v>
      </c>
      <c r="L712">
        <v>0</v>
      </c>
      <c r="M712">
        <v>0</v>
      </c>
      <c r="N712">
        <v>2400</v>
      </c>
    </row>
    <row r="713" spans="1:14" x14ac:dyDescent="0.25">
      <c r="A713">
        <v>373.776072</v>
      </c>
      <c r="B713" s="1">
        <f>DATE(2011,5,9) + TIME(18,37,32)</f>
        <v>40672.776064814818</v>
      </c>
      <c r="C713">
        <v>1894.7792969</v>
      </c>
      <c r="D713">
        <v>1766.956543</v>
      </c>
      <c r="E713">
        <v>883.86712646000001</v>
      </c>
      <c r="F713">
        <v>691.92169189000003</v>
      </c>
      <c r="G713">
        <v>80</v>
      </c>
      <c r="H713">
        <v>79.916297912999994</v>
      </c>
      <c r="I713">
        <v>50</v>
      </c>
      <c r="J713">
        <v>48.732852936</v>
      </c>
      <c r="K713">
        <v>2400</v>
      </c>
      <c r="L713">
        <v>0</v>
      </c>
      <c r="M713">
        <v>0</v>
      </c>
      <c r="N713">
        <v>2400</v>
      </c>
    </row>
    <row r="714" spans="1:14" x14ac:dyDescent="0.25">
      <c r="A714">
        <v>374.08511099999998</v>
      </c>
      <c r="B714" s="1">
        <f>DATE(2011,5,10) + TIME(2,2,33)</f>
        <v>40673.085104166668</v>
      </c>
      <c r="C714">
        <v>1893.8040771000001</v>
      </c>
      <c r="D714">
        <v>1765.9738769999999</v>
      </c>
      <c r="E714">
        <v>883.78186034999999</v>
      </c>
      <c r="F714">
        <v>691.81396484000004</v>
      </c>
      <c r="G714">
        <v>80</v>
      </c>
      <c r="H714">
        <v>79.917564392000003</v>
      </c>
      <c r="I714">
        <v>50</v>
      </c>
      <c r="J714">
        <v>48.698726653999998</v>
      </c>
      <c r="K714">
        <v>2400</v>
      </c>
      <c r="L714">
        <v>0</v>
      </c>
      <c r="M714">
        <v>0</v>
      </c>
      <c r="N714">
        <v>2400</v>
      </c>
    </row>
    <row r="715" spans="1:14" x14ac:dyDescent="0.25">
      <c r="A715">
        <v>374.39559700000001</v>
      </c>
      <c r="B715" s="1">
        <f>DATE(2011,5,10) + TIME(9,29,39)</f>
        <v>40673.395590277774</v>
      </c>
      <c r="C715">
        <v>1892.8465576000001</v>
      </c>
      <c r="D715">
        <v>1765.0095214999999</v>
      </c>
      <c r="E715">
        <v>883.69537353999999</v>
      </c>
      <c r="F715">
        <v>691.70428466999999</v>
      </c>
      <c r="G715">
        <v>80</v>
      </c>
      <c r="H715">
        <v>79.918586731000005</v>
      </c>
      <c r="I715">
        <v>50</v>
      </c>
      <c r="J715">
        <v>48.664260863999999</v>
      </c>
      <c r="K715">
        <v>2400</v>
      </c>
      <c r="L715">
        <v>0</v>
      </c>
      <c r="M715">
        <v>0</v>
      </c>
      <c r="N715">
        <v>2400</v>
      </c>
    </row>
    <row r="716" spans="1:14" x14ac:dyDescent="0.25">
      <c r="A716">
        <v>374.70853399999999</v>
      </c>
      <c r="B716" s="1">
        <f>DATE(2011,5,10) + TIME(17,0,17)</f>
        <v>40673.70853009259</v>
      </c>
      <c r="C716">
        <v>1891.9107666</v>
      </c>
      <c r="D716">
        <v>1764.0673827999999</v>
      </c>
      <c r="E716">
        <v>883.60858154000005</v>
      </c>
      <c r="F716">
        <v>691.59356689000003</v>
      </c>
      <c r="G716">
        <v>80</v>
      </c>
      <c r="H716">
        <v>79.919433593999997</v>
      </c>
      <c r="I716">
        <v>50</v>
      </c>
      <c r="J716">
        <v>48.629463196000003</v>
      </c>
      <c r="K716">
        <v>2400</v>
      </c>
      <c r="L716">
        <v>0</v>
      </c>
      <c r="M716">
        <v>0</v>
      </c>
      <c r="N716">
        <v>2400</v>
      </c>
    </row>
    <row r="717" spans="1:14" x14ac:dyDescent="0.25">
      <c r="A717">
        <v>375.02490399999999</v>
      </c>
      <c r="B717" s="1">
        <f>DATE(2011,5,11) + TIME(0,35,51)</f>
        <v>40674.024895833332</v>
      </c>
      <c r="C717">
        <v>1890.9930420000001</v>
      </c>
      <c r="D717">
        <v>1763.1437988</v>
      </c>
      <c r="E717">
        <v>883.52099609000004</v>
      </c>
      <c r="F717">
        <v>691.48156738</v>
      </c>
      <c r="G717">
        <v>80</v>
      </c>
      <c r="H717">
        <v>79.920135497999993</v>
      </c>
      <c r="I717">
        <v>50</v>
      </c>
      <c r="J717">
        <v>48.594303130999997</v>
      </c>
      <c r="K717">
        <v>2400</v>
      </c>
      <c r="L717">
        <v>0</v>
      </c>
      <c r="M717">
        <v>0</v>
      </c>
      <c r="N717">
        <v>2400</v>
      </c>
    </row>
    <row r="718" spans="1:14" x14ac:dyDescent="0.25">
      <c r="A718">
        <v>375.34568300000001</v>
      </c>
      <c r="B718" s="1">
        <f>DATE(2011,5,11) + TIME(8,17,47)</f>
        <v>40674.345682870371</v>
      </c>
      <c r="C718">
        <v>1890.0900879000001</v>
      </c>
      <c r="D718">
        <v>1762.2354736</v>
      </c>
      <c r="E718">
        <v>883.43243408000001</v>
      </c>
      <c r="F718">
        <v>691.36798095999995</v>
      </c>
      <c r="G718">
        <v>80</v>
      </c>
      <c r="H718">
        <v>79.920722960999996</v>
      </c>
      <c r="I718">
        <v>50</v>
      </c>
      <c r="J718">
        <v>48.558738708</v>
      </c>
      <c r="K718">
        <v>2400</v>
      </c>
      <c r="L718">
        <v>0</v>
      </c>
      <c r="M718">
        <v>0</v>
      </c>
      <c r="N718">
        <v>2400</v>
      </c>
    </row>
    <row r="719" spans="1:14" x14ac:dyDescent="0.25">
      <c r="A719">
        <v>375.67186500000003</v>
      </c>
      <c r="B719" s="1">
        <f>DATE(2011,5,11) + TIME(16,7,29)</f>
        <v>40674.671863425923</v>
      </c>
      <c r="C719">
        <v>1889.1986084</v>
      </c>
      <c r="D719">
        <v>1761.3389893000001</v>
      </c>
      <c r="E719">
        <v>883.34252930000002</v>
      </c>
      <c r="F719">
        <v>691.25256348000005</v>
      </c>
      <c r="G719">
        <v>80</v>
      </c>
      <c r="H719">
        <v>79.921234131000006</v>
      </c>
      <c r="I719">
        <v>50</v>
      </c>
      <c r="J719">
        <v>48.522708893000001</v>
      </c>
      <c r="K719">
        <v>2400</v>
      </c>
      <c r="L719">
        <v>0</v>
      </c>
      <c r="M719">
        <v>0</v>
      </c>
      <c r="N719">
        <v>2400</v>
      </c>
    </row>
    <row r="720" spans="1:14" x14ac:dyDescent="0.25">
      <c r="A720">
        <v>376.00448899999998</v>
      </c>
      <c r="B720" s="1">
        <f>DATE(2011,5,12) + TIME(0,6,27)</f>
        <v>40675.004479166666</v>
      </c>
      <c r="C720">
        <v>1888.3153076000001</v>
      </c>
      <c r="D720">
        <v>1760.4511719</v>
      </c>
      <c r="E720">
        <v>883.25091553000004</v>
      </c>
      <c r="F720">
        <v>691.13482666000004</v>
      </c>
      <c r="G720">
        <v>80</v>
      </c>
      <c r="H720">
        <v>79.921661377000007</v>
      </c>
      <c r="I720">
        <v>50</v>
      </c>
      <c r="J720">
        <v>48.486137390000003</v>
      </c>
      <c r="K720">
        <v>2400</v>
      </c>
      <c r="L720">
        <v>0</v>
      </c>
      <c r="M720">
        <v>0</v>
      </c>
      <c r="N720">
        <v>2400</v>
      </c>
    </row>
    <row r="721" spans="1:14" x14ac:dyDescent="0.25">
      <c r="A721">
        <v>376.344652</v>
      </c>
      <c r="B721" s="1">
        <f>DATE(2011,5,12) + TIME(8,16,17)</f>
        <v>40675.344641203701</v>
      </c>
      <c r="C721">
        <v>1887.4375</v>
      </c>
      <c r="D721">
        <v>1759.5692139</v>
      </c>
      <c r="E721">
        <v>883.15734863</v>
      </c>
      <c r="F721">
        <v>691.01458739999998</v>
      </c>
      <c r="G721">
        <v>80</v>
      </c>
      <c r="H721">
        <v>79.922042847</v>
      </c>
      <c r="I721">
        <v>50</v>
      </c>
      <c r="J721">
        <v>48.448932648000003</v>
      </c>
      <c r="K721">
        <v>2400</v>
      </c>
      <c r="L721">
        <v>0</v>
      </c>
      <c r="M721">
        <v>0</v>
      </c>
      <c r="N721">
        <v>2400</v>
      </c>
    </row>
    <row r="722" spans="1:14" x14ac:dyDescent="0.25">
      <c r="A722">
        <v>376.69354299999998</v>
      </c>
      <c r="B722" s="1">
        <f>DATE(2011,5,12) + TIME(16,38,42)</f>
        <v>40675.693541666667</v>
      </c>
      <c r="C722">
        <v>1886.5625</v>
      </c>
      <c r="D722">
        <v>1758.6903076000001</v>
      </c>
      <c r="E722">
        <v>883.06146239999998</v>
      </c>
      <c r="F722">
        <v>690.89135741999996</v>
      </c>
      <c r="G722">
        <v>80</v>
      </c>
      <c r="H722">
        <v>79.922370911000002</v>
      </c>
      <c r="I722">
        <v>50</v>
      </c>
      <c r="J722">
        <v>48.410999298</v>
      </c>
      <c r="K722">
        <v>2400</v>
      </c>
      <c r="L722">
        <v>0</v>
      </c>
      <c r="M722">
        <v>0</v>
      </c>
      <c r="N722">
        <v>2400</v>
      </c>
    </row>
    <row r="723" spans="1:14" x14ac:dyDescent="0.25">
      <c r="A723">
        <v>377.05257699999999</v>
      </c>
      <c r="B723" s="1">
        <f>DATE(2011,5,13) + TIME(1,15,42)</f>
        <v>40676.052569444444</v>
      </c>
      <c r="C723">
        <v>1885.6873779</v>
      </c>
      <c r="D723">
        <v>1757.8118896000001</v>
      </c>
      <c r="E723">
        <v>882.96289062000005</v>
      </c>
      <c r="F723">
        <v>690.76464843999997</v>
      </c>
      <c r="G723">
        <v>80</v>
      </c>
      <c r="H723">
        <v>79.922660828000005</v>
      </c>
      <c r="I723">
        <v>50</v>
      </c>
      <c r="J723">
        <v>48.372215271000002</v>
      </c>
      <c r="K723">
        <v>2400</v>
      </c>
      <c r="L723">
        <v>0</v>
      </c>
      <c r="M723">
        <v>0</v>
      </c>
      <c r="N723">
        <v>2400</v>
      </c>
    </row>
    <row r="724" spans="1:14" x14ac:dyDescent="0.25">
      <c r="A724">
        <v>377.42323299999998</v>
      </c>
      <c r="B724" s="1">
        <f>DATE(2011,5,13) + TIME(10,9,27)</f>
        <v>40676.423229166663</v>
      </c>
      <c r="C724">
        <v>1884.809082</v>
      </c>
      <c r="D724">
        <v>1756.9306641000001</v>
      </c>
      <c r="E724">
        <v>882.86126708999996</v>
      </c>
      <c r="F724">
        <v>690.63403319999998</v>
      </c>
      <c r="G724">
        <v>80</v>
      </c>
      <c r="H724">
        <v>79.922920227000006</v>
      </c>
      <c r="I724">
        <v>50</v>
      </c>
      <c r="J724">
        <v>48.332447051999999</v>
      </c>
      <c r="K724">
        <v>2400</v>
      </c>
      <c r="L724">
        <v>0</v>
      </c>
      <c r="M724">
        <v>0</v>
      </c>
      <c r="N724">
        <v>2400</v>
      </c>
    </row>
    <row r="725" spans="1:14" x14ac:dyDescent="0.25">
      <c r="A725">
        <v>377.80702100000002</v>
      </c>
      <c r="B725" s="1">
        <f>DATE(2011,5,13) + TIME(19,22,6)</f>
        <v>40676.807013888887</v>
      </c>
      <c r="C725">
        <v>1883.9250488</v>
      </c>
      <c r="D725">
        <v>1756.0439452999999</v>
      </c>
      <c r="E725">
        <v>882.75604248000002</v>
      </c>
      <c r="F725">
        <v>690.49896239999998</v>
      </c>
      <c r="G725">
        <v>80</v>
      </c>
      <c r="H725">
        <v>79.923149108999993</v>
      </c>
      <c r="I725">
        <v>50</v>
      </c>
      <c r="J725">
        <v>48.291564940999997</v>
      </c>
      <c r="K725">
        <v>2400</v>
      </c>
      <c r="L725">
        <v>0</v>
      </c>
      <c r="M725">
        <v>0</v>
      </c>
      <c r="N725">
        <v>2400</v>
      </c>
    </row>
    <row r="726" spans="1:14" x14ac:dyDescent="0.25">
      <c r="A726">
        <v>378.20580100000001</v>
      </c>
      <c r="B726" s="1">
        <f>DATE(2011,5,14) + TIME(4,56,21)</f>
        <v>40677.20579861111</v>
      </c>
      <c r="C726">
        <v>1883.0323486</v>
      </c>
      <c r="D726">
        <v>1755.1490478999999</v>
      </c>
      <c r="E726">
        <v>882.64678954999999</v>
      </c>
      <c r="F726">
        <v>690.35876465000001</v>
      </c>
      <c r="G726">
        <v>80</v>
      </c>
      <c r="H726">
        <v>79.923355103000006</v>
      </c>
      <c r="I726">
        <v>50</v>
      </c>
      <c r="J726">
        <v>48.249401093000003</v>
      </c>
      <c r="K726">
        <v>2400</v>
      </c>
      <c r="L726">
        <v>0</v>
      </c>
      <c r="M726">
        <v>0</v>
      </c>
      <c r="N726">
        <v>2400</v>
      </c>
    </row>
    <row r="727" spans="1:14" x14ac:dyDescent="0.25">
      <c r="A727">
        <v>378.62171499999999</v>
      </c>
      <c r="B727" s="1">
        <f>DATE(2011,5,14) + TIME(14,55,16)</f>
        <v>40677.621712962966</v>
      </c>
      <c r="C727">
        <v>1882.1279297000001</v>
      </c>
      <c r="D727">
        <v>1754.2427978999999</v>
      </c>
      <c r="E727">
        <v>882.53295897999999</v>
      </c>
      <c r="F727">
        <v>690.21282958999996</v>
      </c>
      <c r="G727">
        <v>80</v>
      </c>
      <c r="H727">
        <v>79.923545837000006</v>
      </c>
      <c r="I727">
        <v>50</v>
      </c>
      <c r="J727">
        <v>48.205768585000001</v>
      </c>
      <c r="K727">
        <v>2400</v>
      </c>
      <c r="L727">
        <v>0</v>
      </c>
      <c r="M727">
        <v>0</v>
      </c>
      <c r="N727">
        <v>2400</v>
      </c>
    </row>
    <row r="728" spans="1:14" x14ac:dyDescent="0.25">
      <c r="A728">
        <v>379.04871000000003</v>
      </c>
      <c r="B728" s="1">
        <f>DATE(2011,5,15) + TIME(1,10,8)</f>
        <v>40678.048703703702</v>
      </c>
      <c r="C728">
        <v>1881.2089844</v>
      </c>
      <c r="D728">
        <v>1753.3223877</v>
      </c>
      <c r="E728">
        <v>882.41326904000005</v>
      </c>
      <c r="F728">
        <v>690.06072998000002</v>
      </c>
      <c r="G728">
        <v>80</v>
      </c>
      <c r="H728">
        <v>79.923713684000006</v>
      </c>
      <c r="I728">
        <v>50</v>
      </c>
      <c r="J728">
        <v>48.161052703999999</v>
      </c>
      <c r="K728">
        <v>2400</v>
      </c>
      <c r="L728">
        <v>0</v>
      </c>
      <c r="M728">
        <v>0</v>
      </c>
      <c r="N728">
        <v>2400</v>
      </c>
    </row>
    <row r="729" spans="1:14" x14ac:dyDescent="0.25">
      <c r="A729">
        <v>379.47581600000001</v>
      </c>
      <c r="B729" s="1">
        <f>DATE(2011,5,15) + TIME(11,25,10)</f>
        <v>40678.475810185184</v>
      </c>
      <c r="C729">
        <v>1880.2895507999999</v>
      </c>
      <c r="D729">
        <v>1752.4019774999999</v>
      </c>
      <c r="E729">
        <v>882.28918456999997</v>
      </c>
      <c r="F729">
        <v>689.90466308999999</v>
      </c>
      <c r="G729">
        <v>80</v>
      </c>
      <c r="H729">
        <v>79.923858643000003</v>
      </c>
      <c r="I729">
        <v>50</v>
      </c>
      <c r="J729">
        <v>48.116050719999997</v>
      </c>
      <c r="K729">
        <v>2400</v>
      </c>
      <c r="L729">
        <v>0</v>
      </c>
      <c r="M729">
        <v>0</v>
      </c>
      <c r="N729">
        <v>2400</v>
      </c>
    </row>
    <row r="730" spans="1:14" x14ac:dyDescent="0.25">
      <c r="A730">
        <v>379.90429499999999</v>
      </c>
      <c r="B730" s="1">
        <f>DATE(2011,5,15) + TIME(21,42,11)</f>
        <v>40678.904293981483</v>
      </c>
      <c r="C730">
        <v>1879.3917236</v>
      </c>
      <c r="D730">
        <v>1751.5035399999999</v>
      </c>
      <c r="E730">
        <v>882.16497803000004</v>
      </c>
      <c r="F730">
        <v>689.74768066000001</v>
      </c>
      <c r="G730">
        <v>80</v>
      </c>
      <c r="H730">
        <v>79.923988342000001</v>
      </c>
      <c r="I730">
        <v>50</v>
      </c>
      <c r="J730">
        <v>48.070838928000001</v>
      </c>
      <c r="K730">
        <v>2400</v>
      </c>
      <c r="L730">
        <v>0</v>
      </c>
      <c r="M730">
        <v>0</v>
      </c>
      <c r="N730">
        <v>2400</v>
      </c>
    </row>
    <row r="731" spans="1:14" x14ac:dyDescent="0.25">
      <c r="A731">
        <v>380.33551699999998</v>
      </c>
      <c r="B731" s="1">
        <f>DATE(2011,5,16) + TIME(8,3,8)</f>
        <v>40679.335509259261</v>
      </c>
      <c r="C731">
        <v>1878.5126952999999</v>
      </c>
      <c r="D731">
        <v>1750.6242675999999</v>
      </c>
      <c r="E731">
        <v>882.04010010000002</v>
      </c>
      <c r="F731">
        <v>689.58941649999997</v>
      </c>
      <c r="G731">
        <v>80</v>
      </c>
      <c r="H731">
        <v>79.924102782999995</v>
      </c>
      <c r="I731">
        <v>50</v>
      </c>
      <c r="J731">
        <v>48.025402069000002</v>
      </c>
      <c r="K731">
        <v>2400</v>
      </c>
      <c r="L731">
        <v>0</v>
      </c>
      <c r="M731">
        <v>0</v>
      </c>
      <c r="N731">
        <v>2400</v>
      </c>
    </row>
    <row r="732" spans="1:14" x14ac:dyDescent="0.25">
      <c r="A732">
        <v>380.77081399999997</v>
      </c>
      <c r="B732" s="1">
        <f>DATE(2011,5,16) + TIME(18,29,58)</f>
        <v>40679.770810185182</v>
      </c>
      <c r="C732">
        <v>1877.6488036999999</v>
      </c>
      <c r="D732">
        <v>1749.7604980000001</v>
      </c>
      <c r="E732">
        <v>881.91424560999997</v>
      </c>
      <c r="F732">
        <v>689.42956543000003</v>
      </c>
      <c r="G732">
        <v>80</v>
      </c>
      <c r="H732">
        <v>79.924209594999994</v>
      </c>
      <c r="I732">
        <v>50</v>
      </c>
      <c r="J732">
        <v>47.979698181000003</v>
      </c>
      <c r="K732">
        <v>2400</v>
      </c>
      <c r="L732">
        <v>0</v>
      </c>
      <c r="M732">
        <v>0</v>
      </c>
      <c r="N732">
        <v>2400</v>
      </c>
    </row>
    <row r="733" spans="1:14" x14ac:dyDescent="0.25">
      <c r="A733">
        <v>381.21151500000002</v>
      </c>
      <c r="B733" s="1">
        <f>DATE(2011,5,17) + TIME(5,4,34)</f>
        <v>40680.211504629631</v>
      </c>
      <c r="C733">
        <v>1876.7967529</v>
      </c>
      <c r="D733">
        <v>1748.9090576000001</v>
      </c>
      <c r="E733">
        <v>881.78680420000001</v>
      </c>
      <c r="F733">
        <v>689.26763916000004</v>
      </c>
      <c r="G733">
        <v>80</v>
      </c>
      <c r="H733">
        <v>79.924308776999993</v>
      </c>
      <c r="I733">
        <v>50</v>
      </c>
      <c r="J733">
        <v>47.933643341</v>
      </c>
      <c r="K733">
        <v>2400</v>
      </c>
      <c r="L733">
        <v>0</v>
      </c>
      <c r="M733">
        <v>0</v>
      </c>
      <c r="N733">
        <v>2400</v>
      </c>
    </row>
    <row r="734" spans="1:14" x14ac:dyDescent="0.25">
      <c r="A734">
        <v>381.65897200000001</v>
      </c>
      <c r="B734" s="1">
        <f>DATE(2011,5,17) + TIME(15,48,55)</f>
        <v>40680.65896990741</v>
      </c>
      <c r="C734">
        <v>1875.9537353999999</v>
      </c>
      <c r="D734">
        <v>1748.0667725000001</v>
      </c>
      <c r="E734">
        <v>881.65740966999999</v>
      </c>
      <c r="F734">
        <v>689.10314941000001</v>
      </c>
      <c r="G734">
        <v>80</v>
      </c>
      <c r="H734">
        <v>79.924400329999997</v>
      </c>
      <c r="I734">
        <v>50</v>
      </c>
      <c r="J734">
        <v>47.887145996000001</v>
      </c>
      <c r="K734">
        <v>2400</v>
      </c>
      <c r="L734">
        <v>0</v>
      </c>
      <c r="M734">
        <v>0</v>
      </c>
      <c r="N734">
        <v>2400</v>
      </c>
    </row>
    <row r="735" spans="1:14" x14ac:dyDescent="0.25">
      <c r="A735">
        <v>382.11458900000002</v>
      </c>
      <c r="B735" s="1">
        <f>DATE(2011,5,18) + TIME(2,45,0)</f>
        <v>40681.114583333336</v>
      </c>
      <c r="C735">
        <v>1875.1166992000001</v>
      </c>
      <c r="D735">
        <v>1747.230957</v>
      </c>
      <c r="E735">
        <v>881.52557373000002</v>
      </c>
      <c r="F735">
        <v>688.93548583999996</v>
      </c>
      <c r="G735">
        <v>80</v>
      </c>
      <c r="H735">
        <v>79.924484253000003</v>
      </c>
      <c r="I735">
        <v>50</v>
      </c>
      <c r="J735">
        <v>47.840091704999999</v>
      </c>
      <c r="K735">
        <v>2400</v>
      </c>
      <c r="L735">
        <v>0</v>
      </c>
      <c r="M735">
        <v>0</v>
      </c>
      <c r="N735">
        <v>2400</v>
      </c>
    </row>
    <row r="736" spans="1:14" x14ac:dyDescent="0.25">
      <c r="A736">
        <v>382.57985100000002</v>
      </c>
      <c r="B736" s="1">
        <f>DATE(2011,5,18) + TIME(13,54,59)</f>
        <v>40681.57984953704</v>
      </c>
      <c r="C736">
        <v>1874.2832031</v>
      </c>
      <c r="D736">
        <v>1746.3990478999999</v>
      </c>
      <c r="E736">
        <v>881.39080810999997</v>
      </c>
      <c r="F736">
        <v>688.76422118999994</v>
      </c>
      <c r="G736">
        <v>80</v>
      </c>
      <c r="H736">
        <v>79.924568175999994</v>
      </c>
      <c r="I736">
        <v>50</v>
      </c>
      <c r="J736">
        <v>47.792354584000002</v>
      </c>
      <c r="K736">
        <v>2400</v>
      </c>
      <c r="L736">
        <v>0</v>
      </c>
      <c r="M736">
        <v>0</v>
      </c>
      <c r="N736">
        <v>2400</v>
      </c>
    </row>
    <row r="737" spans="1:14" x14ac:dyDescent="0.25">
      <c r="A737">
        <v>383.05635799999999</v>
      </c>
      <c r="B737" s="1">
        <f>DATE(2011,5,19) + TIME(1,21,9)</f>
        <v>40682.056354166663</v>
      </c>
      <c r="C737">
        <v>1873.4506836</v>
      </c>
      <c r="D737">
        <v>1745.5682373</v>
      </c>
      <c r="E737">
        <v>881.25268555000002</v>
      </c>
      <c r="F737">
        <v>688.58862305000002</v>
      </c>
      <c r="G737">
        <v>80</v>
      </c>
      <c r="H737">
        <v>79.924644470000004</v>
      </c>
      <c r="I737">
        <v>50</v>
      </c>
      <c r="J737">
        <v>47.743797301999997</v>
      </c>
      <c r="K737">
        <v>2400</v>
      </c>
      <c r="L737">
        <v>0</v>
      </c>
      <c r="M737">
        <v>0</v>
      </c>
      <c r="N737">
        <v>2400</v>
      </c>
    </row>
    <row r="738" spans="1:14" x14ac:dyDescent="0.25">
      <c r="A738">
        <v>383.54591199999999</v>
      </c>
      <c r="B738" s="1">
        <f>DATE(2011,5,19) + TIME(13,6,6)</f>
        <v>40682.545902777776</v>
      </c>
      <c r="C738">
        <v>1872.6165771000001</v>
      </c>
      <c r="D738">
        <v>1744.7363281</v>
      </c>
      <c r="E738">
        <v>881.11059569999998</v>
      </c>
      <c r="F738">
        <v>688.40814208999996</v>
      </c>
      <c r="G738">
        <v>80</v>
      </c>
      <c r="H738">
        <v>79.924713135000005</v>
      </c>
      <c r="I738">
        <v>50</v>
      </c>
      <c r="J738">
        <v>47.694267273000001</v>
      </c>
      <c r="K738">
        <v>2400</v>
      </c>
      <c r="L738">
        <v>0</v>
      </c>
      <c r="M738">
        <v>0</v>
      </c>
      <c r="N738">
        <v>2400</v>
      </c>
    </row>
    <row r="739" spans="1:14" x14ac:dyDescent="0.25">
      <c r="A739">
        <v>384.05072100000001</v>
      </c>
      <c r="B739" s="1">
        <f>DATE(2011,5,20) + TIME(1,13,2)</f>
        <v>40683.050717592596</v>
      </c>
      <c r="C739">
        <v>1871.7783202999999</v>
      </c>
      <c r="D739">
        <v>1743.9002685999999</v>
      </c>
      <c r="E739">
        <v>880.96411133000004</v>
      </c>
      <c r="F739">
        <v>688.22204590000001</v>
      </c>
      <c r="G739">
        <v>80</v>
      </c>
      <c r="H739">
        <v>79.924789429</v>
      </c>
      <c r="I739">
        <v>50</v>
      </c>
      <c r="J739">
        <v>47.643577575999998</v>
      </c>
      <c r="K739">
        <v>2400</v>
      </c>
      <c r="L739">
        <v>0</v>
      </c>
      <c r="M739">
        <v>0</v>
      </c>
      <c r="N739">
        <v>2400</v>
      </c>
    </row>
    <row r="740" spans="1:14" x14ac:dyDescent="0.25">
      <c r="A740">
        <v>384.57272499999999</v>
      </c>
      <c r="B740" s="1">
        <f>DATE(2011,5,20) + TIME(13,44,43)</f>
        <v>40683.57271990741</v>
      </c>
      <c r="C740">
        <v>1870.9326172000001</v>
      </c>
      <c r="D740">
        <v>1743.0573730000001</v>
      </c>
      <c r="E740">
        <v>880.81231689000003</v>
      </c>
      <c r="F740">
        <v>688.02941895000004</v>
      </c>
      <c r="G740">
        <v>80</v>
      </c>
      <c r="H740">
        <v>79.924858092999997</v>
      </c>
      <c r="I740">
        <v>50</v>
      </c>
      <c r="J740">
        <v>47.591552733999997</v>
      </c>
      <c r="K740">
        <v>2400</v>
      </c>
      <c r="L740">
        <v>0</v>
      </c>
      <c r="M740">
        <v>0</v>
      </c>
      <c r="N740">
        <v>2400</v>
      </c>
    </row>
    <row r="741" spans="1:14" x14ac:dyDescent="0.25">
      <c r="A741">
        <v>385.11444299999999</v>
      </c>
      <c r="B741" s="1">
        <f>DATE(2011,5,21) + TIME(2,44,47)</f>
        <v>40684.114432870374</v>
      </c>
      <c r="C741">
        <v>1870.0772704999999</v>
      </c>
      <c r="D741">
        <v>1742.2050781</v>
      </c>
      <c r="E741">
        <v>880.65472411999997</v>
      </c>
      <c r="F741">
        <v>687.82934569999998</v>
      </c>
      <c r="G741">
        <v>80</v>
      </c>
      <c r="H741">
        <v>79.924926757999998</v>
      </c>
      <c r="I741">
        <v>50</v>
      </c>
      <c r="J741">
        <v>47.537986754999999</v>
      </c>
      <c r="K741">
        <v>2400</v>
      </c>
      <c r="L741">
        <v>0</v>
      </c>
      <c r="M741">
        <v>0</v>
      </c>
      <c r="N741">
        <v>2400</v>
      </c>
    </row>
    <row r="742" spans="1:14" x14ac:dyDescent="0.25">
      <c r="A742">
        <v>385.665322</v>
      </c>
      <c r="B742" s="1">
        <f>DATE(2011,5,21) + TIME(15,58,3)</f>
        <v>40684.665312500001</v>
      </c>
      <c r="C742">
        <v>1869.2097168</v>
      </c>
      <c r="D742">
        <v>1741.3409423999999</v>
      </c>
      <c r="E742">
        <v>880.48950194999998</v>
      </c>
      <c r="F742">
        <v>687.62152100000003</v>
      </c>
      <c r="G742">
        <v>80</v>
      </c>
      <c r="H742">
        <v>79.924995421999995</v>
      </c>
      <c r="I742">
        <v>50</v>
      </c>
      <c r="J742">
        <v>47.483444214000002</v>
      </c>
      <c r="K742">
        <v>2400</v>
      </c>
      <c r="L742">
        <v>0</v>
      </c>
      <c r="M742">
        <v>0</v>
      </c>
      <c r="N742">
        <v>2400</v>
      </c>
    </row>
    <row r="743" spans="1:14" x14ac:dyDescent="0.25">
      <c r="A743">
        <v>386.21692300000001</v>
      </c>
      <c r="B743" s="1">
        <f>DATE(2011,5,22) + TIME(5,12,22)</f>
        <v>40685.216921296298</v>
      </c>
      <c r="C743">
        <v>1868.3466797000001</v>
      </c>
      <c r="D743">
        <v>1740.4815673999999</v>
      </c>
      <c r="E743">
        <v>880.32025146000001</v>
      </c>
      <c r="F743">
        <v>687.40936279000005</v>
      </c>
      <c r="G743">
        <v>80</v>
      </c>
      <c r="H743">
        <v>79.925056458</v>
      </c>
      <c r="I743">
        <v>50</v>
      </c>
      <c r="J743">
        <v>47.428550719999997</v>
      </c>
      <c r="K743">
        <v>2400</v>
      </c>
      <c r="L743">
        <v>0</v>
      </c>
      <c r="M743">
        <v>0</v>
      </c>
      <c r="N743">
        <v>2400</v>
      </c>
    </row>
    <row r="744" spans="1:14" x14ac:dyDescent="0.25">
      <c r="A744">
        <v>386.77095600000001</v>
      </c>
      <c r="B744" s="1">
        <f>DATE(2011,5,22) + TIME(18,30,10)</f>
        <v>40685.770949074074</v>
      </c>
      <c r="C744">
        <v>1867.5004882999999</v>
      </c>
      <c r="D744">
        <v>1739.6392822</v>
      </c>
      <c r="E744">
        <v>880.15020751999998</v>
      </c>
      <c r="F744">
        <v>687.1953125</v>
      </c>
      <c r="G744">
        <v>80</v>
      </c>
      <c r="H744">
        <v>79.925125121999997</v>
      </c>
      <c r="I744">
        <v>50</v>
      </c>
      <c r="J744">
        <v>47.373401641999997</v>
      </c>
      <c r="K744">
        <v>2400</v>
      </c>
      <c r="L744">
        <v>0</v>
      </c>
      <c r="M744">
        <v>0</v>
      </c>
      <c r="N744">
        <v>2400</v>
      </c>
    </row>
    <row r="745" spans="1:14" x14ac:dyDescent="0.25">
      <c r="A745">
        <v>387.32916799999998</v>
      </c>
      <c r="B745" s="1">
        <f>DATE(2011,5,23) + TIME(7,54,0)</f>
        <v>40686.32916666667</v>
      </c>
      <c r="C745">
        <v>1866.6683350000001</v>
      </c>
      <c r="D745">
        <v>1738.8112793</v>
      </c>
      <c r="E745">
        <v>879.97882079999999</v>
      </c>
      <c r="F745">
        <v>686.97900390999996</v>
      </c>
      <c r="G745">
        <v>80</v>
      </c>
      <c r="H745">
        <v>79.925186156999999</v>
      </c>
      <c r="I745">
        <v>50</v>
      </c>
      <c r="J745">
        <v>47.317981719999999</v>
      </c>
      <c r="K745">
        <v>2400</v>
      </c>
      <c r="L745">
        <v>0</v>
      </c>
      <c r="M745">
        <v>0</v>
      </c>
      <c r="N745">
        <v>2400</v>
      </c>
    </row>
    <row r="746" spans="1:14" x14ac:dyDescent="0.25">
      <c r="A746">
        <v>387.89328399999999</v>
      </c>
      <c r="B746" s="1">
        <f>DATE(2011,5,23) + TIME(21,26,19)</f>
        <v>40686.893275462964</v>
      </c>
      <c r="C746">
        <v>1865.8472899999999</v>
      </c>
      <c r="D746">
        <v>1737.9945068</v>
      </c>
      <c r="E746">
        <v>879.80529784999999</v>
      </c>
      <c r="F746">
        <v>686.75970458999996</v>
      </c>
      <c r="G746">
        <v>80</v>
      </c>
      <c r="H746">
        <v>79.925247192</v>
      </c>
      <c r="I746">
        <v>50</v>
      </c>
      <c r="J746">
        <v>47.262226105000003</v>
      </c>
      <c r="K746">
        <v>2400</v>
      </c>
      <c r="L746">
        <v>0</v>
      </c>
      <c r="M746">
        <v>0</v>
      </c>
      <c r="N746">
        <v>2400</v>
      </c>
    </row>
    <row r="747" spans="1:14" x14ac:dyDescent="0.25">
      <c r="A747">
        <v>388.46504599999997</v>
      </c>
      <c r="B747" s="1">
        <f>DATE(2011,5,24) + TIME(11,9,39)</f>
        <v>40687.46503472222</v>
      </c>
      <c r="C747">
        <v>1865.0345459</v>
      </c>
      <c r="D747">
        <v>1737.1862793</v>
      </c>
      <c r="E747">
        <v>879.62908935999997</v>
      </c>
      <c r="F747">
        <v>686.53680420000001</v>
      </c>
      <c r="G747">
        <v>80</v>
      </c>
      <c r="H747">
        <v>79.925308228000006</v>
      </c>
      <c r="I747">
        <v>50</v>
      </c>
      <c r="J747">
        <v>47.206020355</v>
      </c>
      <c r="K747">
        <v>2400</v>
      </c>
      <c r="L747">
        <v>0</v>
      </c>
      <c r="M747">
        <v>0</v>
      </c>
      <c r="N747">
        <v>2400</v>
      </c>
    </row>
    <row r="748" spans="1:14" x14ac:dyDescent="0.25">
      <c r="A748">
        <v>389.04625700000003</v>
      </c>
      <c r="B748" s="1">
        <f>DATE(2011,5,25) + TIME(1,6,36)</f>
        <v>40688.046249999999</v>
      </c>
      <c r="C748">
        <v>1864.2272949000001</v>
      </c>
      <c r="D748">
        <v>1736.3836670000001</v>
      </c>
      <c r="E748">
        <v>879.44952393000005</v>
      </c>
      <c r="F748">
        <v>686.30957031000003</v>
      </c>
      <c r="G748">
        <v>80</v>
      </c>
      <c r="H748">
        <v>79.925369262999993</v>
      </c>
      <c r="I748">
        <v>50</v>
      </c>
      <c r="J748">
        <v>47.149230957</v>
      </c>
      <c r="K748">
        <v>2400</v>
      </c>
      <c r="L748">
        <v>0</v>
      </c>
      <c r="M748">
        <v>0</v>
      </c>
      <c r="N748">
        <v>2400</v>
      </c>
    </row>
    <row r="749" spans="1:14" x14ac:dyDescent="0.25">
      <c r="A749">
        <v>389.63881099999998</v>
      </c>
      <c r="B749" s="1">
        <f>DATE(2011,5,25) + TIME(15,19,53)</f>
        <v>40688.638807870368</v>
      </c>
      <c r="C749">
        <v>1863.4229736</v>
      </c>
      <c r="D749">
        <v>1735.5842285000001</v>
      </c>
      <c r="E749">
        <v>879.26599121000004</v>
      </c>
      <c r="F749">
        <v>686.07708739999998</v>
      </c>
      <c r="G749">
        <v>80</v>
      </c>
      <c r="H749">
        <v>79.925430297999995</v>
      </c>
      <c r="I749">
        <v>50</v>
      </c>
      <c r="J749">
        <v>47.091701508</v>
      </c>
      <c r="K749">
        <v>2400</v>
      </c>
      <c r="L749">
        <v>0</v>
      </c>
      <c r="M749">
        <v>0</v>
      </c>
      <c r="N749">
        <v>2400</v>
      </c>
    </row>
    <row r="750" spans="1:14" x14ac:dyDescent="0.25">
      <c r="A750">
        <v>390.24474700000002</v>
      </c>
      <c r="B750" s="1">
        <f>DATE(2011,5,26) + TIME(5,52,26)</f>
        <v>40689.244745370372</v>
      </c>
      <c r="C750">
        <v>1862.6192627</v>
      </c>
      <c r="D750">
        <v>1734.7856445</v>
      </c>
      <c r="E750">
        <v>879.07775878999996</v>
      </c>
      <c r="F750">
        <v>685.83862305000002</v>
      </c>
      <c r="G750">
        <v>80</v>
      </c>
      <c r="H750">
        <v>79.925491332999997</v>
      </c>
      <c r="I750">
        <v>50</v>
      </c>
      <c r="J750">
        <v>47.033260345000002</v>
      </c>
      <c r="K750">
        <v>2400</v>
      </c>
      <c r="L750">
        <v>0</v>
      </c>
      <c r="M750">
        <v>0</v>
      </c>
      <c r="N750">
        <v>2400</v>
      </c>
    </row>
    <row r="751" spans="1:14" x14ac:dyDescent="0.25">
      <c r="A751">
        <v>390.86627199999998</v>
      </c>
      <c r="B751" s="1">
        <f>DATE(2011,5,26) + TIME(20,47,25)</f>
        <v>40689.866261574076</v>
      </c>
      <c r="C751">
        <v>1861.8134766000001</v>
      </c>
      <c r="D751">
        <v>1733.9852295000001</v>
      </c>
      <c r="E751">
        <v>878.88403319999998</v>
      </c>
      <c r="F751">
        <v>685.59313965000001</v>
      </c>
      <c r="G751">
        <v>80</v>
      </c>
      <c r="H751">
        <v>79.925559997999997</v>
      </c>
      <c r="I751">
        <v>50</v>
      </c>
      <c r="J751">
        <v>46.973720551</v>
      </c>
      <c r="K751">
        <v>2400</v>
      </c>
      <c r="L751">
        <v>0</v>
      </c>
      <c r="M751">
        <v>0</v>
      </c>
      <c r="N751">
        <v>2400</v>
      </c>
    </row>
    <row r="752" spans="1:14" x14ac:dyDescent="0.25">
      <c r="A752">
        <v>391.50608899999997</v>
      </c>
      <c r="B752" s="1">
        <f>DATE(2011,5,27) + TIME(12,8,46)</f>
        <v>40690.50608796296</v>
      </c>
      <c r="C752">
        <v>1861.0031738</v>
      </c>
      <c r="D752">
        <v>1733.1805420000001</v>
      </c>
      <c r="E752">
        <v>878.68408203000001</v>
      </c>
      <c r="F752">
        <v>685.33953856999995</v>
      </c>
      <c r="G752">
        <v>80</v>
      </c>
      <c r="H752">
        <v>79.925621032999999</v>
      </c>
      <c r="I752">
        <v>50</v>
      </c>
      <c r="J752">
        <v>46.912857056</v>
      </c>
      <c r="K752">
        <v>2400</v>
      </c>
      <c r="L752">
        <v>0</v>
      </c>
      <c r="M752">
        <v>0</v>
      </c>
      <c r="N752">
        <v>2400</v>
      </c>
    </row>
    <row r="753" spans="1:14" x14ac:dyDescent="0.25">
      <c r="A753">
        <v>392.16691400000002</v>
      </c>
      <c r="B753" s="1">
        <f>DATE(2011,5,28) + TIME(4,0,21)</f>
        <v>40691.166909722226</v>
      </c>
      <c r="C753">
        <v>1860.1854248</v>
      </c>
      <c r="D753">
        <v>1732.3687743999999</v>
      </c>
      <c r="E753">
        <v>878.47680663999995</v>
      </c>
      <c r="F753">
        <v>685.07653808999999</v>
      </c>
      <c r="G753">
        <v>80</v>
      </c>
      <c r="H753">
        <v>79.925689696999996</v>
      </c>
      <c r="I753">
        <v>50</v>
      </c>
      <c r="J753">
        <v>46.850448608000001</v>
      </c>
      <c r="K753">
        <v>2400</v>
      </c>
      <c r="L753">
        <v>0</v>
      </c>
      <c r="M753">
        <v>0</v>
      </c>
      <c r="N753">
        <v>2400</v>
      </c>
    </row>
    <row r="754" spans="1:14" x14ac:dyDescent="0.25">
      <c r="A754">
        <v>392.84481799999998</v>
      </c>
      <c r="B754" s="1">
        <f>DATE(2011,5,28) + TIME(20,16,32)</f>
        <v>40691.844814814816</v>
      </c>
      <c r="C754">
        <v>1859.3579102000001</v>
      </c>
      <c r="D754">
        <v>1731.5472411999999</v>
      </c>
      <c r="E754">
        <v>878.26074218999997</v>
      </c>
      <c r="F754">
        <v>684.80316161999997</v>
      </c>
      <c r="G754">
        <v>80</v>
      </c>
      <c r="H754">
        <v>79.925758361999996</v>
      </c>
      <c r="I754">
        <v>50</v>
      </c>
      <c r="J754">
        <v>46.786598206000001</v>
      </c>
      <c r="K754">
        <v>2400</v>
      </c>
      <c r="L754">
        <v>0</v>
      </c>
      <c r="M754">
        <v>0</v>
      </c>
      <c r="N754">
        <v>2400</v>
      </c>
    </row>
    <row r="755" spans="1:14" x14ac:dyDescent="0.25">
      <c r="A755">
        <v>393.52486199999998</v>
      </c>
      <c r="B755" s="1">
        <f>DATE(2011,5,29) + TIME(12,35,48)</f>
        <v>40692.524861111109</v>
      </c>
      <c r="C755">
        <v>1858.5261230000001</v>
      </c>
      <c r="D755">
        <v>1730.7219238</v>
      </c>
      <c r="E755">
        <v>878.03662109000004</v>
      </c>
      <c r="F755">
        <v>684.52099609000004</v>
      </c>
      <c r="G755">
        <v>80</v>
      </c>
      <c r="H755">
        <v>79.925819396999998</v>
      </c>
      <c r="I755">
        <v>50</v>
      </c>
      <c r="J755">
        <v>46.722110747999999</v>
      </c>
      <c r="K755">
        <v>2400</v>
      </c>
      <c r="L755">
        <v>0</v>
      </c>
      <c r="M755">
        <v>0</v>
      </c>
      <c r="N755">
        <v>2400</v>
      </c>
    </row>
    <row r="756" spans="1:14" x14ac:dyDescent="0.25">
      <c r="A756">
        <v>394.20922000000002</v>
      </c>
      <c r="B756" s="1">
        <f>DATE(2011,5,30) + TIME(5,1,16)</f>
        <v>40693.20921296296</v>
      </c>
      <c r="C756">
        <v>1857.7073975000001</v>
      </c>
      <c r="D756">
        <v>1729.9095459</v>
      </c>
      <c r="E756">
        <v>877.81024170000001</v>
      </c>
      <c r="F756">
        <v>684.23486328000001</v>
      </c>
      <c r="G756">
        <v>80</v>
      </c>
      <c r="H756">
        <v>79.925888061999999</v>
      </c>
      <c r="I756">
        <v>50</v>
      </c>
      <c r="J756">
        <v>46.657157898000001</v>
      </c>
      <c r="K756">
        <v>2400</v>
      </c>
      <c r="L756">
        <v>0</v>
      </c>
      <c r="M756">
        <v>0</v>
      </c>
      <c r="N756">
        <v>2400</v>
      </c>
    </row>
    <row r="757" spans="1:14" x14ac:dyDescent="0.25">
      <c r="A757">
        <v>394.90003000000002</v>
      </c>
      <c r="B757" s="1">
        <f>DATE(2011,5,30) + TIME(21,36,2)</f>
        <v>40693.900023148148</v>
      </c>
      <c r="C757">
        <v>1856.8990478999999</v>
      </c>
      <c r="D757">
        <v>1729.1079102000001</v>
      </c>
      <c r="E757">
        <v>877.58087158000001</v>
      </c>
      <c r="F757">
        <v>683.94390868999994</v>
      </c>
      <c r="G757">
        <v>80</v>
      </c>
      <c r="H757">
        <v>79.925949097</v>
      </c>
      <c r="I757">
        <v>50</v>
      </c>
      <c r="J757">
        <v>46.591739654999998</v>
      </c>
      <c r="K757">
        <v>2400</v>
      </c>
      <c r="L757">
        <v>0</v>
      </c>
      <c r="M757">
        <v>0</v>
      </c>
      <c r="N757">
        <v>2400</v>
      </c>
    </row>
    <row r="758" spans="1:14" x14ac:dyDescent="0.25">
      <c r="A758">
        <v>395.59828900000002</v>
      </c>
      <c r="B758" s="1">
        <f>DATE(2011,5,31) + TIME(14,21,32)</f>
        <v>40694.598287037035</v>
      </c>
      <c r="C758">
        <v>1856.0986327999999</v>
      </c>
      <c r="D758">
        <v>1728.3140868999999</v>
      </c>
      <c r="E758">
        <v>877.34747314000003</v>
      </c>
      <c r="F758">
        <v>683.64733887</v>
      </c>
      <c r="G758">
        <v>80</v>
      </c>
      <c r="H758">
        <v>79.926017760999997</v>
      </c>
      <c r="I758">
        <v>50</v>
      </c>
      <c r="J758">
        <v>46.525817871000001</v>
      </c>
      <c r="K758">
        <v>2400</v>
      </c>
      <c r="L758">
        <v>0</v>
      </c>
      <c r="M758">
        <v>0</v>
      </c>
      <c r="N758">
        <v>2400</v>
      </c>
    </row>
    <row r="759" spans="1:14" x14ac:dyDescent="0.25">
      <c r="A759">
        <v>396</v>
      </c>
      <c r="B759" s="1">
        <f>DATE(2011,6,1) + TIME(0,0,0)</f>
        <v>40695</v>
      </c>
      <c r="C759">
        <v>1855.3265381000001</v>
      </c>
      <c r="D759">
        <v>1727.5487060999999</v>
      </c>
      <c r="E759">
        <v>877.09191895000004</v>
      </c>
      <c r="F759">
        <v>683.36682128999996</v>
      </c>
      <c r="G759">
        <v>80</v>
      </c>
      <c r="H759">
        <v>79.926025390999996</v>
      </c>
      <c r="I759">
        <v>50</v>
      </c>
      <c r="J759">
        <v>46.479026793999999</v>
      </c>
      <c r="K759">
        <v>2400</v>
      </c>
      <c r="L759">
        <v>0</v>
      </c>
      <c r="M759">
        <v>0</v>
      </c>
      <c r="N759">
        <v>2400</v>
      </c>
    </row>
    <row r="760" spans="1:14" x14ac:dyDescent="0.25">
      <c r="A760">
        <v>396.70751200000001</v>
      </c>
      <c r="B760" s="1">
        <f>DATE(2011,6,1) + TIME(16,58,49)</f>
        <v>40695.707511574074</v>
      </c>
      <c r="C760">
        <v>1854.8422852000001</v>
      </c>
      <c r="D760">
        <v>1727.0684814000001</v>
      </c>
      <c r="E760">
        <v>876.97369385000002</v>
      </c>
      <c r="F760">
        <v>683.16125488</v>
      </c>
      <c r="G760">
        <v>80</v>
      </c>
      <c r="H760">
        <v>79.926132202000005</v>
      </c>
      <c r="I760">
        <v>50</v>
      </c>
      <c r="J760">
        <v>46.416427612</v>
      </c>
      <c r="K760">
        <v>2400</v>
      </c>
      <c r="L760">
        <v>0</v>
      </c>
      <c r="M760">
        <v>0</v>
      </c>
      <c r="N760">
        <v>2400</v>
      </c>
    </row>
    <row r="761" spans="1:14" x14ac:dyDescent="0.25">
      <c r="A761">
        <v>397.43417699999998</v>
      </c>
      <c r="B761" s="1">
        <f>DATE(2011,6,2) + TIME(10,25,12)</f>
        <v>40696.434166666666</v>
      </c>
      <c r="C761">
        <v>1854.0711670000001</v>
      </c>
      <c r="D761">
        <v>1726.3043213000001</v>
      </c>
      <c r="E761">
        <v>876.72955321999996</v>
      </c>
      <c r="F761">
        <v>682.85321045000001</v>
      </c>
      <c r="G761">
        <v>80</v>
      </c>
      <c r="H761">
        <v>79.926193237000007</v>
      </c>
      <c r="I761">
        <v>50</v>
      </c>
      <c r="J761">
        <v>46.350994110000002</v>
      </c>
      <c r="K761">
        <v>2400</v>
      </c>
      <c r="L761">
        <v>0</v>
      </c>
      <c r="M761">
        <v>0</v>
      </c>
      <c r="N761">
        <v>2400</v>
      </c>
    </row>
    <row r="762" spans="1:14" x14ac:dyDescent="0.25">
      <c r="A762">
        <v>398.17395099999999</v>
      </c>
      <c r="B762" s="1">
        <f>DATE(2011,6,3) + TIME(4,10,29)</f>
        <v>40697.173946759256</v>
      </c>
      <c r="C762">
        <v>1853.2852783000001</v>
      </c>
      <c r="D762">
        <v>1725.5255127</v>
      </c>
      <c r="E762">
        <v>876.47528076000003</v>
      </c>
      <c r="F762">
        <v>682.53137206999997</v>
      </c>
      <c r="G762">
        <v>80</v>
      </c>
      <c r="H762">
        <v>79.926261901999993</v>
      </c>
      <c r="I762">
        <v>50</v>
      </c>
      <c r="J762">
        <v>46.283542633000003</v>
      </c>
      <c r="K762">
        <v>2400</v>
      </c>
      <c r="L762">
        <v>0</v>
      </c>
      <c r="M762">
        <v>0</v>
      </c>
      <c r="N762">
        <v>2400</v>
      </c>
    </row>
    <row r="763" spans="1:14" x14ac:dyDescent="0.25">
      <c r="A763">
        <v>398.92861699999997</v>
      </c>
      <c r="B763" s="1">
        <f>DATE(2011,6,3) + TIME(22,17,12)</f>
        <v>40697.928611111114</v>
      </c>
      <c r="C763">
        <v>1852.4982910000001</v>
      </c>
      <c r="D763">
        <v>1724.7457274999999</v>
      </c>
      <c r="E763">
        <v>876.21417236000002</v>
      </c>
      <c r="F763">
        <v>682.19903564000003</v>
      </c>
      <c r="G763">
        <v>80</v>
      </c>
      <c r="H763">
        <v>79.926330566000004</v>
      </c>
      <c r="I763">
        <v>50</v>
      </c>
      <c r="J763">
        <v>46.214408874999997</v>
      </c>
      <c r="K763">
        <v>2400</v>
      </c>
      <c r="L763">
        <v>0</v>
      </c>
      <c r="M763">
        <v>0</v>
      </c>
      <c r="N763">
        <v>2400</v>
      </c>
    </row>
    <row r="764" spans="1:14" x14ac:dyDescent="0.25">
      <c r="A764">
        <v>399.70081800000003</v>
      </c>
      <c r="B764" s="1">
        <f>DATE(2011,6,4) + TIME(16,49,10)</f>
        <v>40698.700810185182</v>
      </c>
      <c r="C764">
        <v>1851.7095947</v>
      </c>
      <c r="D764">
        <v>1723.9644774999999</v>
      </c>
      <c r="E764">
        <v>875.94549560999997</v>
      </c>
      <c r="F764">
        <v>681.85546875</v>
      </c>
      <c r="G764">
        <v>80</v>
      </c>
      <c r="H764">
        <v>79.92640686</v>
      </c>
      <c r="I764">
        <v>50</v>
      </c>
      <c r="J764">
        <v>46.143650055000002</v>
      </c>
      <c r="K764">
        <v>2400</v>
      </c>
      <c r="L764">
        <v>0</v>
      </c>
      <c r="M764">
        <v>0</v>
      </c>
      <c r="N764">
        <v>2400</v>
      </c>
    </row>
    <row r="765" spans="1:14" x14ac:dyDescent="0.25">
      <c r="A765">
        <v>400.49343900000002</v>
      </c>
      <c r="B765" s="1">
        <f>DATE(2011,6,5) + TIME(11,50,33)</f>
        <v>40699.493437500001</v>
      </c>
      <c r="C765">
        <v>1850.9172363</v>
      </c>
      <c r="D765">
        <v>1723.1796875</v>
      </c>
      <c r="E765">
        <v>875.66784668000003</v>
      </c>
      <c r="F765">
        <v>681.49926758000004</v>
      </c>
      <c r="G765">
        <v>80</v>
      </c>
      <c r="H765">
        <v>79.926475525000001</v>
      </c>
      <c r="I765">
        <v>50</v>
      </c>
      <c r="J765">
        <v>46.071182251000003</v>
      </c>
      <c r="K765">
        <v>2400</v>
      </c>
      <c r="L765">
        <v>0</v>
      </c>
      <c r="M765">
        <v>0</v>
      </c>
      <c r="N765">
        <v>2400</v>
      </c>
    </row>
    <row r="766" spans="1:14" x14ac:dyDescent="0.25">
      <c r="A766">
        <v>401.29102699999999</v>
      </c>
      <c r="B766" s="1">
        <f>DATE(2011,6,6) + TIME(6,59,4)</f>
        <v>40700.291018518517</v>
      </c>
      <c r="C766">
        <v>1850.1191406</v>
      </c>
      <c r="D766">
        <v>1722.3894043</v>
      </c>
      <c r="E766">
        <v>875.37902831999997</v>
      </c>
      <c r="F766">
        <v>681.12988281000003</v>
      </c>
      <c r="G766">
        <v>80</v>
      </c>
      <c r="H766">
        <v>79.926551818999997</v>
      </c>
      <c r="I766">
        <v>50</v>
      </c>
      <c r="J766">
        <v>45.997714995999999</v>
      </c>
      <c r="K766">
        <v>2400</v>
      </c>
      <c r="L766">
        <v>0</v>
      </c>
      <c r="M766">
        <v>0</v>
      </c>
      <c r="N766">
        <v>2400</v>
      </c>
    </row>
    <row r="767" spans="1:14" x14ac:dyDescent="0.25">
      <c r="A767">
        <v>402.09055000000001</v>
      </c>
      <c r="B767" s="1">
        <f>DATE(2011,6,7) + TIME(2,10,23)</f>
        <v>40701.090543981481</v>
      </c>
      <c r="C767">
        <v>1849.3299560999999</v>
      </c>
      <c r="D767">
        <v>1721.6080322</v>
      </c>
      <c r="E767">
        <v>875.08514404000005</v>
      </c>
      <c r="F767">
        <v>680.75280762</v>
      </c>
      <c r="G767">
        <v>80</v>
      </c>
      <c r="H767">
        <v>79.926620482999994</v>
      </c>
      <c r="I767">
        <v>50</v>
      </c>
      <c r="J767">
        <v>45.923694611000002</v>
      </c>
      <c r="K767">
        <v>2400</v>
      </c>
      <c r="L767">
        <v>0</v>
      </c>
      <c r="M767">
        <v>0</v>
      </c>
      <c r="N767">
        <v>2400</v>
      </c>
    </row>
    <row r="768" spans="1:14" x14ac:dyDescent="0.25">
      <c r="A768">
        <v>402.89437600000002</v>
      </c>
      <c r="B768" s="1">
        <f>DATE(2011,6,7) + TIME(21,27,54)</f>
        <v>40701.894375000003</v>
      </c>
      <c r="C768">
        <v>1848.5524902</v>
      </c>
      <c r="D768">
        <v>1720.8383789</v>
      </c>
      <c r="E768">
        <v>874.78747558999999</v>
      </c>
      <c r="F768">
        <v>680.36907958999996</v>
      </c>
      <c r="G768">
        <v>80</v>
      </c>
      <c r="H768">
        <v>79.926696777000004</v>
      </c>
      <c r="I768">
        <v>50</v>
      </c>
      <c r="J768">
        <v>45.849216460999997</v>
      </c>
      <c r="K768">
        <v>2400</v>
      </c>
      <c r="L768">
        <v>0</v>
      </c>
      <c r="M768">
        <v>0</v>
      </c>
      <c r="N768">
        <v>2400</v>
      </c>
    </row>
    <row r="769" spans="1:14" x14ac:dyDescent="0.25">
      <c r="A769">
        <v>403.70485300000001</v>
      </c>
      <c r="B769" s="1">
        <f>DATE(2011,6,8) + TIME(16,54,59)</f>
        <v>40702.70484953704</v>
      </c>
      <c r="C769">
        <v>1847.7844238</v>
      </c>
      <c r="D769">
        <v>1720.078125</v>
      </c>
      <c r="E769">
        <v>874.48480225000003</v>
      </c>
      <c r="F769">
        <v>679.97760010000002</v>
      </c>
      <c r="G769">
        <v>80</v>
      </c>
      <c r="H769">
        <v>79.926773071</v>
      </c>
      <c r="I769">
        <v>50</v>
      </c>
      <c r="J769">
        <v>45.774223327999998</v>
      </c>
      <c r="K769">
        <v>2400</v>
      </c>
      <c r="L769">
        <v>0</v>
      </c>
      <c r="M769">
        <v>0</v>
      </c>
      <c r="N769">
        <v>2400</v>
      </c>
    </row>
    <row r="770" spans="1:14" x14ac:dyDescent="0.25">
      <c r="A770">
        <v>404.52433400000001</v>
      </c>
      <c r="B770" s="1">
        <f>DATE(2011,6,9) + TIME(12,35,2)</f>
        <v>40703.524328703701</v>
      </c>
      <c r="C770">
        <v>1847.0230713000001</v>
      </c>
      <c r="D770">
        <v>1719.324707</v>
      </c>
      <c r="E770">
        <v>874.17614746000004</v>
      </c>
      <c r="F770">
        <v>679.57702637</v>
      </c>
      <c r="G770">
        <v>80</v>
      </c>
      <c r="H770">
        <v>79.926841736</v>
      </c>
      <c r="I770">
        <v>50</v>
      </c>
      <c r="J770">
        <v>45.698577880999999</v>
      </c>
      <c r="K770">
        <v>2400</v>
      </c>
      <c r="L770">
        <v>0</v>
      </c>
      <c r="M770">
        <v>0</v>
      </c>
      <c r="N770">
        <v>2400</v>
      </c>
    </row>
    <row r="771" spans="1:14" x14ac:dyDescent="0.25">
      <c r="A771">
        <v>405.35523699999999</v>
      </c>
      <c r="B771" s="1">
        <f>DATE(2011,6,10) + TIME(8,31,32)</f>
        <v>40704.355231481481</v>
      </c>
      <c r="C771">
        <v>1846.2663574000001</v>
      </c>
      <c r="D771">
        <v>1718.5759277</v>
      </c>
      <c r="E771">
        <v>873.86022949000005</v>
      </c>
      <c r="F771">
        <v>679.16601562000005</v>
      </c>
      <c r="G771">
        <v>80</v>
      </c>
      <c r="H771">
        <v>79.926918029999996</v>
      </c>
      <c r="I771">
        <v>50</v>
      </c>
      <c r="J771">
        <v>45.622081756999997</v>
      </c>
      <c r="K771">
        <v>2400</v>
      </c>
      <c r="L771">
        <v>0</v>
      </c>
      <c r="M771">
        <v>0</v>
      </c>
      <c r="N771">
        <v>2400</v>
      </c>
    </row>
    <row r="772" spans="1:14" x14ac:dyDescent="0.25">
      <c r="A772">
        <v>406.20009299999998</v>
      </c>
      <c r="B772" s="1">
        <f>DATE(2011,6,11) + TIME(4,48,8)</f>
        <v>40705.200092592589</v>
      </c>
      <c r="C772">
        <v>1845.5120850000001</v>
      </c>
      <c r="D772">
        <v>1717.8295897999999</v>
      </c>
      <c r="E772">
        <v>873.53594970999995</v>
      </c>
      <c r="F772">
        <v>678.74285888999998</v>
      </c>
      <c r="G772">
        <v>80</v>
      </c>
      <c r="H772">
        <v>79.926994324000006</v>
      </c>
      <c r="I772">
        <v>50</v>
      </c>
      <c r="J772">
        <v>45.544517517000003</v>
      </c>
      <c r="K772">
        <v>2400</v>
      </c>
      <c r="L772">
        <v>0</v>
      </c>
      <c r="M772">
        <v>0</v>
      </c>
      <c r="N772">
        <v>2400</v>
      </c>
    </row>
    <row r="773" spans="1:14" x14ac:dyDescent="0.25">
      <c r="A773">
        <v>407.061598</v>
      </c>
      <c r="B773" s="1">
        <f>DATE(2011,6,12) + TIME(1,28,42)</f>
        <v>40706.061597222222</v>
      </c>
      <c r="C773">
        <v>1844.7578125</v>
      </c>
      <c r="D773">
        <v>1717.0834961</v>
      </c>
      <c r="E773">
        <v>873.20202637</v>
      </c>
      <c r="F773">
        <v>678.30584716999999</v>
      </c>
      <c r="G773">
        <v>80</v>
      </c>
      <c r="H773">
        <v>79.927078246999997</v>
      </c>
      <c r="I773">
        <v>50</v>
      </c>
      <c r="J773">
        <v>45.465644836000003</v>
      </c>
      <c r="K773">
        <v>2400</v>
      </c>
      <c r="L773">
        <v>0</v>
      </c>
      <c r="M773">
        <v>0</v>
      </c>
      <c r="N773">
        <v>2400</v>
      </c>
    </row>
    <row r="774" spans="1:14" x14ac:dyDescent="0.25">
      <c r="A774">
        <v>407.94321400000001</v>
      </c>
      <c r="B774" s="1">
        <f>DATE(2011,6,12) + TIME(22,38,13)</f>
        <v>40706.943206018521</v>
      </c>
      <c r="C774">
        <v>1844.0014647999999</v>
      </c>
      <c r="D774">
        <v>1716.3353271000001</v>
      </c>
      <c r="E774">
        <v>872.85699463000003</v>
      </c>
      <c r="F774">
        <v>677.85296631000006</v>
      </c>
      <c r="G774">
        <v>80</v>
      </c>
      <c r="H774">
        <v>79.927154540999993</v>
      </c>
      <c r="I774">
        <v>50</v>
      </c>
      <c r="J774">
        <v>45.385162354000002</v>
      </c>
      <c r="K774">
        <v>2400</v>
      </c>
      <c r="L774">
        <v>0</v>
      </c>
      <c r="M774">
        <v>0</v>
      </c>
      <c r="N774">
        <v>2400</v>
      </c>
    </row>
    <row r="775" spans="1:14" x14ac:dyDescent="0.25">
      <c r="A775">
        <v>408.84768000000003</v>
      </c>
      <c r="B775" s="1">
        <f>DATE(2011,6,13) + TIME(20,20,39)</f>
        <v>40707.847673611112</v>
      </c>
      <c r="C775">
        <v>1843.2404785000001</v>
      </c>
      <c r="D775">
        <v>1715.5826416</v>
      </c>
      <c r="E775">
        <v>872.49914550999995</v>
      </c>
      <c r="F775">
        <v>677.38183593999997</v>
      </c>
      <c r="G775">
        <v>80</v>
      </c>
      <c r="H775">
        <v>79.927238463999998</v>
      </c>
      <c r="I775">
        <v>50</v>
      </c>
      <c r="J775">
        <v>45.302787780999999</v>
      </c>
      <c r="K775">
        <v>2400</v>
      </c>
      <c r="L775">
        <v>0</v>
      </c>
      <c r="M775">
        <v>0</v>
      </c>
      <c r="N775">
        <v>2400</v>
      </c>
    </row>
    <row r="776" spans="1:14" x14ac:dyDescent="0.25">
      <c r="A776">
        <v>409.767852</v>
      </c>
      <c r="B776" s="1">
        <f>DATE(2011,6,14) + TIME(18,25,42)</f>
        <v>40708.767847222225</v>
      </c>
      <c r="C776">
        <v>1842.4730225000001</v>
      </c>
      <c r="D776">
        <v>1714.8236084</v>
      </c>
      <c r="E776">
        <v>872.12646484000004</v>
      </c>
      <c r="F776">
        <v>676.89074706999997</v>
      </c>
      <c r="G776">
        <v>80</v>
      </c>
      <c r="H776">
        <v>79.927314757999994</v>
      </c>
      <c r="I776">
        <v>50</v>
      </c>
      <c r="J776">
        <v>45.218673705999997</v>
      </c>
      <c r="K776">
        <v>2400</v>
      </c>
      <c r="L776">
        <v>0</v>
      </c>
      <c r="M776">
        <v>0</v>
      </c>
      <c r="N776">
        <v>2400</v>
      </c>
    </row>
    <row r="777" spans="1:14" x14ac:dyDescent="0.25">
      <c r="A777">
        <v>410.68809900000002</v>
      </c>
      <c r="B777" s="1">
        <f>DATE(2011,6,15) + TIME(16,30,51)</f>
        <v>40709.688090277778</v>
      </c>
      <c r="C777">
        <v>1841.7054443</v>
      </c>
      <c r="D777">
        <v>1714.0645752</v>
      </c>
      <c r="E777">
        <v>871.74121093999997</v>
      </c>
      <c r="F777">
        <v>676.38299560999997</v>
      </c>
      <c r="G777">
        <v>80</v>
      </c>
      <c r="H777">
        <v>79.927398682000003</v>
      </c>
      <c r="I777">
        <v>50</v>
      </c>
      <c r="J777">
        <v>45.133602142000001</v>
      </c>
      <c r="K777">
        <v>2400</v>
      </c>
      <c r="L777">
        <v>0</v>
      </c>
      <c r="M777">
        <v>0</v>
      </c>
      <c r="N777">
        <v>2400</v>
      </c>
    </row>
    <row r="778" spans="1:14" x14ac:dyDescent="0.25">
      <c r="A778">
        <v>411.61107299999998</v>
      </c>
      <c r="B778" s="1">
        <f>DATE(2011,6,16) + TIME(14,39,56)</f>
        <v>40710.611064814817</v>
      </c>
      <c r="C778">
        <v>1840.949707</v>
      </c>
      <c r="D778">
        <v>1713.3173827999999</v>
      </c>
      <c r="E778">
        <v>871.35046387</v>
      </c>
      <c r="F778">
        <v>675.86499022999999</v>
      </c>
      <c r="G778">
        <v>80</v>
      </c>
      <c r="H778">
        <v>79.927474975999999</v>
      </c>
      <c r="I778">
        <v>50</v>
      </c>
      <c r="J778">
        <v>45.047847748000002</v>
      </c>
      <c r="K778">
        <v>2400</v>
      </c>
      <c r="L778">
        <v>0</v>
      </c>
      <c r="M778">
        <v>0</v>
      </c>
      <c r="N778">
        <v>2400</v>
      </c>
    </row>
    <row r="779" spans="1:14" x14ac:dyDescent="0.25">
      <c r="A779">
        <v>412.53940899999998</v>
      </c>
      <c r="B779" s="1">
        <f>DATE(2011,6,17) + TIME(12,56,44)</f>
        <v>40711.539398148147</v>
      </c>
      <c r="C779">
        <v>1840.2039795000001</v>
      </c>
      <c r="D779">
        <v>1712.5800781</v>
      </c>
      <c r="E779">
        <v>870.95300293000003</v>
      </c>
      <c r="F779">
        <v>675.33532715000001</v>
      </c>
      <c r="G779">
        <v>80</v>
      </c>
      <c r="H779">
        <v>79.927558899000005</v>
      </c>
      <c r="I779">
        <v>50</v>
      </c>
      <c r="J779">
        <v>44.961410522000001</v>
      </c>
      <c r="K779">
        <v>2400</v>
      </c>
      <c r="L779">
        <v>0</v>
      </c>
      <c r="M779">
        <v>0</v>
      </c>
      <c r="N779">
        <v>2400</v>
      </c>
    </row>
    <row r="780" spans="1:14" x14ac:dyDescent="0.25">
      <c r="A780">
        <v>413.47574600000002</v>
      </c>
      <c r="B780" s="1">
        <f>DATE(2011,6,18) + TIME(11,25,4)</f>
        <v>40712.475740740738</v>
      </c>
      <c r="C780">
        <v>1839.4656981999999</v>
      </c>
      <c r="D780">
        <v>1711.8502197</v>
      </c>
      <c r="E780">
        <v>870.54730225000003</v>
      </c>
      <c r="F780">
        <v>674.79248046999999</v>
      </c>
      <c r="G780">
        <v>80</v>
      </c>
      <c r="H780">
        <v>79.927642821999996</v>
      </c>
      <c r="I780">
        <v>50</v>
      </c>
      <c r="J780">
        <v>44.874153137</v>
      </c>
      <c r="K780">
        <v>2400</v>
      </c>
      <c r="L780">
        <v>0</v>
      </c>
      <c r="M780">
        <v>0</v>
      </c>
      <c r="N780">
        <v>2400</v>
      </c>
    </row>
    <row r="781" spans="1:14" x14ac:dyDescent="0.25">
      <c r="A781">
        <v>414.42274400000002</v>
      </c>
      <c r="B781" s="1">
        <f>DATE(2011,6,19) + TIME(10,8,45)</f>
        <v>40713.422743055555</v>
      </c>
      <c r="C781">
        <v>1838.7327881000001</v>
      </c>
      <c r="D781">
        <v>1711.1257324000001</v>
      </c>
      <c r="E781">
        <v>870.13195800999995</v>
      </c>
      <c r="F781">
        <v>674.23443603999999</v>
      </c>
      <c r="G781">
        <v>80</v>
      </c>
      <c r="H781">
        <v>79.927726746000005</v>
      </c>
      <c r="I781">
        <v>50</v>
      </c>
      <c r="J781">
        <v>44.78585434</v>
      </c>
      <c r="K781">
        <v>2400</v>
      </c>
      <c r="L781">
        <v>0</v>
      </c>
      <c r="M781">
        <v>0</v>
      </c>
      <c r="N781">
        <v>2400</v>
      </c>
    </row>
    <row r="782" spans="1:14" x14ac:dyDescent="0.25">
      <c r="A782">
        <v>415.383149</v>
      </c>
      <c r="B782" s="1">
        <f>DATE(2011,6,20) + TIME(9,11,44)</f>
        <v>40714.383148148147</v>
      </c>
      <c r="C782">
        <v>1838.0030518000001</v>
      </c>
      <c r="D782">
        <v>1710.4044189000001</v>
      </c>
      <c r="E782">
        <v>869.70538329999999</v>
      </c>
      <c r="F782">
        <v>673.65917968999997</v>
      </c>
      <c r="G782">
        <v>80</v>
      </c>
      <c r="H782">
        <v>79.927810668999996</v>
      </c>
      <c r="I782">
        <v>50</v>
      </c>
      <c r="J782">
        <v>44.696266174000002</v>
      </c>
      <c r="K782">
        <v>2400</v>
      </c>
      <c r="L782">
        <v>0</v>
      </c>
      <c r="M782">
        <v>0</v>
      </c>
      <c r="N782">
        <v>2400</v>
      </c>
    </row>
    <row r="783" spans="1:14" x14ac:dyDescent="0.25">
      <c r="A783">
        <v>416.359846</v>
      </c>
      <c r="B783" s="1">
        <f>DATE(2011,6,21) + TIME(8,38,10)</f>
        <v>40715.359837962962</v>
      </c>
      <c r="C783">
        <v>1837.2744141000001</v>
      </c>
      <c r="D783">
        <v>1709.6843262</v>
      </c>
      <c r="E783">
        <v>869.26605225000003</v>
      </c>
      <c r="F783">
        <v>673.06427001999998</v>
      </c>
      <c r="G783">
        <v>80</v>
      </c>
      <c r="H783">
        <v>79.927894592000001</v>
      </c>
      <c r="I783">
        <v>50</v>
      </c>
      <c r="J783">
        <v>44.605102539000001</v>
      </c>
      <c r="K783">
        <v>2400</v>
      </c>
      <c r="L783">
        <v>0</v>
      </c>
      <c r="M783">
        <v>0</v>
      </c>
      <c r="N783">
        <v>2400</v>
      </c>
    </row>
    <row r="784" spans="1:14" x14ac:dyDescent="0.25">
      <c r="A784">
        <v>417.35591699999998</v>
      </c>
      <c r="B784" s="1">
        <f>DATE(2011,6,22) + TIME(8,32,31)</f>
        <v>40716.355914351851</v>
      </c>
      <c r="C784">
        <v>1836.5449219</v>
      </c>
      <c r="D784">
        <v>1708.9632568</v>
      </c>
      <c r="E784">
        <v>868.81219481999995</v>
      </c>
      <c r="F784">
        <v>672.44726562000005</v>
      </c>
      <c r="G784">
        <v>80</v>
      </c>
      <c r="H784">
        <v>79.927978515999996</v>
      </c>
      <c r="I784">
        <v>50</v>
      </c>
      <c r="J784">
        <v>44.512062073000003</v>
      </c>
      <c r="K784">
        <v>2400</v>
      </c>
      <c r="L784">
        <v>0</v>
      </c>
      <c r="M784">
        <v>0</v>
      </c>
      <c r="N784">
        <v>2400</v>
      </c>
    </row>
    <row r="785" spans="1:14" x14ac:dyDescent="0.25">
      <c r="A785">
        <v>418.37186700000001</v>
      </c>
      <c r="B785" s="1">
        <f>DATE(2011,6,23) + TIME(8,55,29)</f>
        <v>40717.371863425928</v>
      </c>
      <c r="C785">
        <v>1835.8123779</v>
      </c>
      <c r="D785">
        <v>1708.2393798999999</v>
      </c>
      <c r="E785">
        <v>868.34173583999996</v>
      </c>
      <c r="F785">
        <v>671.80548095999995</v>
      </c>
      <c r="G785">
        <v>80</v>
      </c>
      <c r="H785">
        <v>79.928070067999997</v>
      </c>
      <c r="I785">
        <v>50</v>
      </c>
      <c r="J785">
        <v>44.416919708000002</v>
      </c>
      <c r="K785">
        <v>2400</v>
      </c>
      <c r="L785">
        <v>0</v>
      </c>
      <c r="M785">
        <v>0</v>
      </c>
      <c r="N785">
        <v>2400</v>
      </c>
    </row>
    <row r="786" spans="1:14" x14ac:dyDescent="0.25">
      <c r="A786">
        <v>419.409111</v>
      </c>
      <c r="B786" s="1">
        <f>DATE(2011,6,24) + TIME(9,49,7)</f>
        <v>40718.409108796295</v>
      </c>
      <c r="C786">
        <v>1835.0766602000001</v>
      </c>
      <c r="D786">
        <v>1707.5123291</v>
      </c>
      <c r="E786">
        <v>867.85394286999997</v>
      </c>
      <c r="F786">
        <v>671.13726807</v>
      </c>
      <c r="G786">
        <v>80</v>
      </c>
      <c r="H786">
        <v>79.928153992000006</v>
      </c>
      <c r="I786">
        <v>50</v>
      </c>
      <c r="J786">
        <v>44.319488524999997</v>
      </c>
      <c r="K786">
        <v>2400</v>
      </c>
      <c r="L786">
        <v>0</v>
      </c>
      <c r="M786">
        <v>0</v>
      </c>
      <c r="N786">
        <v>2400</v>
      </c>
    </row>
    <row r="787" spans="1:14" x14ac:dyDescent="0.25">
      <c r="A787">
        <v>420.45622600000002</v>
      </c>
      <c r="B787" s="1">
        <f>DATE(2011,6,25) + TIME(10,56,57)</f>
        <v>40719.45621527778</v>
      </c>
      <c r="C787">
        <v>1834.3374022999999</v>
      </c>
      <c r="D787">
        <v>1706.7818603999999</v>
      </c>
      <c r="E787">
        <v>867.34710693</v>
      </c>
      <c r="F787">
        <v>670.44171143000005</v>
      </c>
      <c r="G787">
        <v>80</v>
      </c>
      <c r="H787">
        <v>79.928245544000006</v>
      </c>
      <c r="I787">
        <v>50</v>
      </c>
      <c r="J787">
        <v>44.220123291</v>
      </c>
      <c r="K787">
        <v>2400</v>
      </c>
      <c r="L787">
        <v>0</v>
      </c>
      <c r="M787">
        <v>0</v>
      </c>
      <c r="N787">
        <v>2400</v>
      </c>
    </row>
    <row r="788" spans="1:14" x14ac:dyDescent="0.25">
      <c r="A788">
        <v>421.50519600000001</v>
      </c>
      <c r="B788" s="1">
        <f>DATE(2011,6,26) + TIME(12,7,28)</f>
        <v>40720.505185185182</v>
      </c>
      <c r="C788">
        <v>1833.6022949000001</v>
      </c>
      <c r="D788">
        <v>1706.0555420000001</v>
      </c>
      <c r="E788">
        <v>866.82653808999999</v>
      </c>
      <c r="F788">
        <v>669.72448729999996</v>
      </c>
      <c r="G788">
        <v>80</v>
      </c>
      <c r="H788">
        <v>79.928337096999996</v>
      </c>
      <c r="I788">
        <v>50</v>
      </c>
      <c r="J788">
        <v>44.119407654</v>
      </c>
      <c r="K788">
        <v>2400</v>
      </c>
      <c r="L788">
        <v>0</v>
      </c>
      <c r="M788">
        <v>0</v>
      </c>
      <c r="N788">
        <v>2400</v>
      </c>
    </row>
    <row r="789" spans="1:14" x14ac:dyDescent="0.25">
      <c r="A789">
        <v>422.55894799999999</v>
      </c>
      <c r="B789" s="1">
        <f>DATE(2011,6,27) + TIME(13,24,53)</f>
        <v>40721.558946759258</v>
      </c>
      <c r="C789">
        <v>1832.8767089999999</v>
      </c>
      <c r="D789">
        <v>1705.338501</v>
      </c>
      <c r="E789">
        <v>866.29626465000001</v>
      </c>
      <c r="F789">
        <v>668.98944091999999</v>
      </c>
      <c r="G789">
        <v>80</v>
      </c>
      <c r="H789">
        <v>79.928428650000001</v>
      </c>
      <c r="I789">
        <v>50</v>
      </c>
      <c r="J789">
        <v>44.017532349</v>
      </c>
      <c r="K789">
        <v>2400</v>
      </c>
      <c r="L789">
        <v>0</v>
      </c>
      <c r="M789">
        <v>0</v>
      </c>
      <c r="N789">
        <v>2400</v>
      </c>
    </row>
    <row r="790" spans="1:14" x14ac:dyDescent="0.25">
      <c r="A790">
        <v>423.62038799999999</v>
      </c>
      <c r="B790" s="1">
        <f>DATE(2011,6,28) + TIME(14,53,21)</f>
        <v>40722.620381944442</v>
      </c>
      <c r="C790">
        <v>1832.1584473</v>
      </c>
      <c r="D790">
        <v>1704.6287841999999</v>
      </c>
      <c r="E790">
        <v>865.75451659999999</v>
      </c>
      <c r="F790">
        <v>668.23468018000005</v>
      </c>
      <c r="G790">
        <v>80</v>
      </c>
      <c r="H790">
        <v>79.928512573000006</v>
      </c>
      <c r="I790">
        <v>50</v>
      </c>
      <c r="J790">
        <v>43.914402008000003</v>
      </c>
      <c r="K790">
        <v>2400</v>
      </c>
      <c r="L790">
        <v>0</v>
      </c>
      <c r="M790">
        <v>0</v>
      </c>
      <c r="N790">
        <v>2400</v>
      </c>
    </row>
    <row r="791" spans="1:14" x14ac:dyDescent="0.25">
      <c r="A791">
        <v>424.69246199999998</v>
      </c>
      <c r="B791" s="1">
        <f>DATE(2011,6,29) + TIME(16,37,8)</f>
        <v>40723.692453703705</v>
      </c>
      <c r="C791">
        <v>1831.4454346</v>
      </c>
      <c r="D791">
        <v>1703.9244385</v>
      </c>
      <c r="E791">
        <v>865.19952393000005</v>
      </c>
      <c r="F791">
        <v>667.45770263999998</v>
      </c>
      <c r="G791">
        <v>80</v>
      </c>
      <c r="H791">
        <v>79.928604125999996</v>
      </c>
      <c r="I791">
        <v>50</v>
      </c>
      <c r="J791">
        <v>43.809799194</v>
      </c>
      <c r="K791">
        <v>2400</v>
      </c>
      <c r="L791">
        <v>0</v>
      </c>
      <c r="M791">
        <v>0</v>
      </c>
      <c r="N791">
        <v>2400</v>
      </c>
    </row>
    <row r="792" spans="1:14" x14ac:dyDescent="0.25">
      <c r="A792">
        <v>425.77733699999999</v>
      </c>
      <c r="B792" s="1">
        <f>DATE(2011,6,30) + TIME(18,39,21)</f>
        <v>40724.777326388888</v>
      </c>
      <c r="C792">
        <v>1830.7358397999999</v>
      </c>
      <c r="D792">
        <v>1703.2233887</v>
      </c>
      <c r="E792">
        <v>864.62927246000004</v>
      </c>
      <c r="F792">
        <v>666.65594481999995</v>
      </c>
      <c r="G792">
        <v>80</v>
      </c>
      <c r="H792">
        <v>79.928695679</v>
      </c>
      <c r="I792">
        <v>50</v>
      </c>
      <c r="J792">
        <v>43.703475951999998</v>
      </c>
      <c r="K792">
        <v>2400</v>
      </c>
      <c r="L792">
        <v>0</v>
      </c>
      <c r="M792">
        <v>0</v>
      </c>
      <c r="N792">
        <v>2400</v>
      </c>
    </row>
    <row r="793" spans="1:14" x14ac:dyDescent="0.25">
      <c r="A793">
        <v>426</v>
      </c>
      <c r="B793" s="1">
        <f>DATE(2011,7,1) + TIME(0,0,0)</f>
        <v>40725</v>
      </c>
      <c r="C793">
        <v>1830.1203613</v>
      </c>
      <c r="D793">
        <v>1702.6158447</v>
      </c>
      <c r="E793">
        <v>864.01666260000002</v>
      </c>
      <c r="F793">
        <v>665.99176024999997</v>
      </c>
      <c r="G793">
        <v>80</v>
      </c>
      <c r="H793">
        <v>79.928665160999998</v>
      </c>
      <c r="I793">
        <v>50</v>
      </c>
      <c r="J793">
        <v>43.664474487</v>
      </c>
      <c r="K793">
        <v>2400</v>
      </c>
      <c r="L793">
        <v>0</v>
      </c>
      <c r="M793">
        <v>0</v>
      </c>
      <c r="N793">
        <v>2400</v>
      </c>
    </row>
    <row r="794" spans="1:14" x14ac:dyDescent="0.25">
      <c r="A794">
        <v>427.09804300000002</v>
      </c>
      <c r="B794" s="1">
        <f>DATE(2011,7,2) + TIME(2,21,10)</f>
        <v>40726.098032407404</v>
      </c>
      <c r="C794">
        <v>1829.8662108999999</v>
      </c>
      <c r="D794">
        <v>1702.3641356999999</v>
      </c>
      <c r="E794">
        <v>863.91943359000004</v>
      </c>
      <c r="F794">
        <v>665.63146973000005</v>
      </c>
      <c r="G794">
        <v>80</v>
      </c>
      <c r="H794">
        <v>79.928810119999994</v>
      </c>
      <c r="I794">
        <v>50</v>
      </c>
      <c r="J794">
        <v>43.565288543999998</v>
      </c>
      <c r="K794">
        <v>2400</v>
      </c>
      <c r="L794">
        <v>0</v>
      </c>
      <c r="M794">
        <v>0</v>
      </c>
      <c r="N794">
        <v>2400</v>
      </c>
    </row>
    <row r="795" spans="1:14" x14ac:dyDescent="0.25">
      <c r="A795">
        <v>428.216249</v>
      </c>
      <c r="B795" s="1">
        <f>DATE(2011,7,3) + TIME(5,11,23)</f>
        <v>40727.216238425928</v>
      </c>
      <c r="C795">
        <v>1829.1777344</v>
      </c>
      <c r="D795">
        <v>1701.6839600000001</v>
      </c>
      <c r="E795">
        <v>863.31469727000001</v>
      </c>
      <c r="F795">
        <v>664.78338623000002</v>
      </c>
      <c r="G795">
        <v>80</v>
      </c>
      <c r="H795">
        <v>79.928909301999994</v>
      </c>
      <c r="I795">
        <v>50</v>
      </c>
      <c r="J795">
        <v>43.458751677999999</v>
      </c>
      <c r="K795">
        <v>2400</v>
      </c>
      <c r="L795">
        <v>0</v>
      </c>
      <c r="M795">
        <v>0</v>
      </c>
      <c r="N795">
        <v>2400</v>
      </c>
    </row>
    <row r="796" spans="1:14" x14ac:dyDescent="0.25">
      <c r="A796">
        <v>429.35453999999999</v>
      </c>
      <c r="B796" s="1">
        <f>DATE(2011,7,4) + TIME(8,30,32)</f>
        <v>40728.354537037034</v>
      </c>
      <c r="C796">
        <v>1828.4727783000001</v>
      </c>
      <c r="D796">
        <v>1700.9876709</v>
      </c>
      <c r="E796">
        <v>862.68572998000002</v>
      </c>
      <c r="F796">
        <v>663.89178466999999</v>
      </c>
      <c r="G796">
        <v>80</v>
      </c>
      <c r="H796">
        <v>79.929000853999995</v>
      </c>
      <c r="I796">
        <v>50</v>
      </c>
      <c r="J796">
        <v>43.347278594999999</v>
      </c>
      <c r="K796">
        <v>2400</v>
      </c>
      <c r="L796">
        <v>0</v>
      </c>
      <c r="M796">
        <v>0</v>
      </c>
      <c r="N796">
        <v>2400</v>
      </c>
    </row>
    <row r="797" spans="1:14" x14ac:dyDescent="0.25">
      <c r="A797">
        <v>430.516527</v>
      </c>
      <c r="B797" s="1">
        <f>DATE(2011,7,5) + TIME(12,23,47)</f>
        <v>40729.516516203701</v>
      </c>
      <c r="C797">
        <v>1827.7639160000001</v>
      </c>
      <c r="D797">
        <v>1700.2873535000001</v>
      </c>
      <c r="E797">
        <v>862.03448486000002</v>
      </c>
      <c r="F797">
        <v>662.96081543000003</v>
      </c>
      <c r="G797">
        <v>80</v>
      </c>
      <c r="H797">
        <v>79.929092406999999</v>
      </c>
      <c r="I797">
        <v>50</v>
      </c>
      <c r="J797">
        <v>43.23179245</v>
      </c>
      <c r="K797">
        <v>2400</v>
      </c>
      <c r="L797">
        <v>0</v>
      </c>
      <c r="M797">
        <v>0</v>
      </c>
      <c r="N797">
        <v>2400</v>
      </c>
    </row>
    <row r="798" spans="1:14" x14ac:dyDescent="0.25">
      <c r="A798">
        <v>431.69422400000002</v>
      </c>
      <c r="B798" s="1">
        <f>DATE(2011,7,6) + TIME(16,39,40)</f>
        <v>40730.694212962961</v>
      </c>
      <c r="C798">
        <v>1827.0505370999999</v>
      </c>
      <c r="D798">
        <v>1699.5826416</v>
      </c>
      <c r="E798">
        <v>861.35778808999999</v>
      </c>
      <c r="F798">
        <v>661.98913574000005</v>
      </c>
      <c r="G798">
        <v>80</v>
      </c>
      <c r="H798">
        <v>79.929191588999998</v>
      </c>
      <c r="I798">
        <v>50</v>
      </c>
      <c r="J798">
        <v>43.11296463</v>
      </c>
      <c r="K798">
        <v>2400</v>
      </c>
      <c r="L798">
        <v>0</v>
      </c>
      <c r="M798">
        <v>0</v>
      </c>
      <c r="N798">
        <v>2400</v>
      </c>
    </row>
    <row r="799" spans="1:14" x14ac:dyDescent="0.25">
      <c r="A799">
        <v>432.87455699999998</v>
      </c>
      <c r="B799" s="1">
        <f>DATE(2011,7,7) + TIME(20,59,21)</f>
        <v>40731.874548611115</v>
      </c>
      <c r="C799">
        <v>1826.3378906</v>
      </c>
      <c r="D799">
        <v>1698.8786620999999</v>
      </c>
      <c r="E799">
        <v>860.65960693</v>
      </c>
      <c r="F799">
        <v>660.98248291000004</v>
      </c>
      <c r="G799">
        <v>80</v>
      </c>
      <c r="H799">
        <v>79.929290770999998</v>
      </c>
      <c r="I799">
        <v>50</v>
      </c>
      <c r="J799">
        <v>42.991756439</v>
      </c>
      <c r="K799">
        <v>2400</v>
      </c>
      <c r="L799">
        <v>0</v>
      </c>
      <c r="M799">
        <v>0</v>
      </c>
      <c r="N799">
        <v>2400</v>
      </c>
    </row>
    <row r="800" spans="1:14" x14ac:dyDescent="0.25">
      <c r="A800">
        <v>434.05893600000002</v>
      </c>
      <c r="B800" s="1">
        <f>DATE(2011,7,9) + TIME(1,24,52)</f>
        <v>40733.058935185189</v>
      </c>
      <c r="C800">
        <v>1825.6330565999999</v>
      </c>
      <c r="D800">
        <v>1698.1823730000001</v>
      </c>
      <c r="E800">
        <v>859.94757079999999</v>
      </c>
      <c r="F800">
        <v>659.94934081999997</v>
      </c>
      <c r="G800">
        <v>80</v>
      </c>
      <c r="H800">
        <v>79.929389954000001</v>
      </c>
      <c r="I800">
        <v>50</v>
      </c>
      <c r="J800">
        <v>42.868682861000003</v>
      </c>
      <c r="K800">
        <v>2400</v>
      </c>
      <c r="L800">
        <v>0</v>
      </c>
      <c r="M800">
        <v>0</v>
      </c>
      <c r="N800">
        <v>2400</v>
      </c>
    </row>
    <row r="801" spans="1:14" x14ac:dyDescent="0.25">
      <c r="A801">
        <v>435.249304</v>
      </c>
      <c r="B801" s="1">
        <f>DATE(2011,7,10) + TIME(5,58,59)</f>
        <v>40734.249293981484</v>
      </c>
      <c r="C801">
        <v>1824.9354248</v>
      </c>
      <c r="D801">
        <v>1697.4932861</v>
      </c>
      <c r="E801">
        <v>859.22070312000005</v>
      </c>
      <c r="F801">
        <v>658.88885498000002</v>
      </c>
      <c r="G801">
        <v>80</v>
      </c>
      <c r="H801">
        <v>79.929481506000002</v>
      </c>
      <c r="I801">
        <v>50</v>
      </c>
      <c r="J801">
        <v>42.743846892999997</v>
      </c>
      <c r="K801">
        <v>2400</v>
      </c>
      <c r="L801">
        <v>0</v>
      </c>
      <c r="M801">
        <v>0</v>
      </c>
      <c r="N801">
        <v>2400</v>
      </c>
    </row>
    <row r="802" spans="1:14" x14ac:dyDescent="0.25">
      <c r="A802">
        <v>436.44872700000002</v>
      </c>
      <c r="B802" s="1">
        <f>DATE(2011,7,11) + TIME(10,46,9)</f>
        <v>40735.44871527778</v>
      </c>
      <c r="C802">
        <v>1824.2438964999999</v>
      </c>
      <c r="D802">
        <v>1696.8100586</v>
      </c>
      <c r="E802">
        <v>858.47753906000003</v>
      </c>
      <c r="F802">
        <v>657.79907227000001</v>
      </c>
      <c r="G802">
        <v>80</v>
      </c>
      <c r="H802">
        <v>79.929580688000001</v>
      </c>
      <c r="I802">
        <v>50</v>
      </c>
      <c r="J802">
        <v>42.617103577000002</v>
      </c>
      <c r="K802">
        <v>2400</v>
      </c>
      <c r="L802">
        <v>0</v>
      </c>
      <c r="M802">
        <v>0</v>
      </c>
      <c r="N802">
        <v>2400</v>
      </c>
    </row>
    <row r="803" spans="1:14" x14ac:dyDescent="0.25">
      <c r="A803">
        <v>437.66032100000001</v>
      </c>
      <c r="B803" s="1">
        <f>DATE(2011,7,12) + TIME(15,50,51)</f>
        <v>40736.660312499997</v>
      </c>
      <c r="C803">
        <v>1823.5563964999999</v>
      </c>
      <c r="D803">
        <v>1696.1308594</v>
      </c>
      <c r="E803">
        <v>857.71588135000002</v>
      </c>
      <c r="F803">
        <v>656.67675781000003</v>
      </c>
      <c r="G803">
        <v>80</v>
      </c>
      <c r="H803">
        <v>79.929679871000005</v>
      </c>
      <c r="I803">
        <v>50</v>
      </c>
      <c r="J803">
        <v>42.488174438000001</v>
      </c>
      <c r="K803">
        <v>2400</v>
      </c>
      <c r="L803">
        <v>0</v>
      </c>
      <c r="M803">
        <v>0</v>
      </c>
      <c r="N803">
        <v>2400</v>
      </c>
    </row>
    <row r="804" spans="1:14" x14ac:dyDescent="0.25">
      <c r="A804">
        <v>438.887314</v>
      </c>
      <c r="B804" s="1">
        <f>DATE(2011,7,13) + TIME(21,17,43)</f>
        <v>40737.887303240743</v>
      </c>
      <c r="C804">
        <v>1822.8712158000001</v>
      </c>
      <c r="D804">
        <v>1695.4539795000001</v>
      </c>
      <c r="E804">
        <v>856.93347168000003</v>
      </c>
      <c r="F804">
        <v>655.51843262</v>
      </c>
      <c r="G804">
        <v>80</v>
      </c>
      <c r="H804">
        <v>79.929779053000004</v>
      </c>
      <c r="I804">
        <v>50</v>
      </c>
      <c r="J804">
        <v>42.356719970999997</v>
      </c>
      <c r="K804">
        <v>2400</v>
      </c>
      <c r="L804">
        <v>0</v>
      </c>
      <c r="M804">
        <v>0</v>
      </c>
      <c r="N804">
        <v>2400</v>
      </c>
    </row>
    <row r="805" spans="1:14" x14ac:dyDescent="0.25">
      <c r="A805">
        <v>440.133081</v>
      </c>
      <c r="B805" s="1">
        <f>DATE(2011,7,15) + TIME(3,11,38)</f>
        <v>40739.1330787037</v>
      </c>
      <c r="C805">
        <v>1822.1865233999999</v>
      </c>
      <c r="D805">
        <v>1694.7775879000001</v>
      </c>
      <c r="E805">
        <v>856.12780762</v>
      </c>
      <c r="F805">
        <v>654.32000731999995</v>
      </c>
      <c r="G805">
        <v>80</v>
      </c>
      <c r="H805">
        <v>79.929878235000004</v>
      </c>
      <c r="I805">
        <v>50</v>
      </c>
      <c r="J805">
        <v>42.222347259999999</v>
      </c>
      <c r="K805">
        <v>2400</v>
      </c>
      <c r="L805">
        <v>0</v>
      </c>
      <c r="M805">
        <v>0</v>
      </c>
      <c r="N805">
        <v>2400</v>
      </c>
    </row>
    <row r="806" spans="1:14" x14ac:dyDescent="0.25">
      <c r="A806">
        <v>441.40121599999998</v>
      </c>
      <c r="B806" s="1">
        <f>DATE(2011,7,16) + TIME(9,37,45)</f>
        <v>40740.40121527778</v>
      </c>
      <c r="C806">
        <v>1821.5004882999999</v>
      </c>
      <c r="D806">
        <v>1694.0998535000001</v>
      </c>
      <c r="E806">
        <v>855.29608154000005</v>
      </c>
      <c r="F806">
        <v>653.07714843999997</v>
      </c>
      <c r="G806">
        <v>80</v>
      </c>
      <c r="H806">
        <v>79.929985045999999</v>
      </c>
      <c r="I806">
        <v>50</v>
      </c>
      <c r="J806">
        <v>42.084632874</v>
      </c>
      <c r="K806">
        <v>2400</v>
      </c>
      <c r="L806">
        <v>0</v>
      </c>
      <c r="M806">
        <v>0</v>
      </c>
      <c r="N806">
        <v>2400</v>
      </c>
    </row>
    <row r="807" spans="1:14" x14ac:dyDescent="0.25">
      <c r="A807">
        <v>442.69524699999999</v>
      </c>
      <c r="B807" s="1">
        <f>DATE(2011,7,17) + TIME(16,41,9)</f>
        <v>40741.695243055554</v>
      </c>
      <c r="C807">
        <v>1820.8115233999999</v>
      </c>
      <c r="D807">
        <v>1693.4191894999999</v>
      </c>
      <c r="E807">
        <v>854.43542479999996</v>
      </c>
      <c r="F807">
        <v>651.78497314000003</v>
      </c>
      <c r="G807">
        <v>80</v>
      </c>
      <c r="H807">
        <v>79.930084229000002</v>
      </c>
      <c r="I807">
        <v>50</v>
      </c>
      <c r="J807">
        <v>41.943119049000003</v>
      </c>
      <c r="K807">
        <v>2400</v>
      </c>
      <c r="L807">
        <v>0</v>
      </c>
      <c r="M807">
        <v>0</v>
      </c>
      <c r="N807">
        <v>2400</v>
      </c>
    </row>
    <row r="808" spans="1:14" x14ac:dyDescent="0.25">
      <c r="A808">
        <v>443.99557299999998</v>
      </c>
      <c r="B808" s="1">
        <f>DATE(2011,7,18) + TIME(23,53,37)</f>
        <v>40742.995567129627</v>
      </c>
      <c r="C808">
        <v>1820.1181641000001</v>
      </c>
      <c r="D808">
        <v>1692.7341309000001</v>
      </c>
      <c r="E808">
        <v>853.54217529000005</v>
      </c>
      <c r="F808">
        <v>650.44128418000003</v>
      </c>
      <c r="G808">
        <v>80</v>
      </c>
      <c r="H808">
        <v>79.930191039999997</v>
      </c>
      <c r="I808">
        <v>50</v>
      </c>
      <c r="J808">
        <v>41.798389434999997</v>
      </c>
      <c r="K808">
        <v>2400</v>
      </c>
      <c r="L808">
        <v>0</v>
      </c>
      <c r="M808">
        <v>0</v>
      </c>
      <c r="N808">
        <v>2400</v>
      </c>
    </row>
    <row r="809" spans="1:14" x14ac:dyDescent="0.25">
      <c r="A809">
        <v>445.30050599999998</v>
      </c>
      <c r="B809" s="1">
        <f>DATE(2011,7,20) + TIME(7,12,43)</f>
        <v>40744.300497685188</v>
      </c>
      <c r="C809">
        <v>1819.4300536999999</v>
      </c>
      <c r="D809">
        <v>1692.0543213000001</v>
      </c>
      <c r="E809">
        <v>852.62969970999995</v>
      </c>
      <c r="F809">
        <v>649.06097411999997</v>
      </c>
      <c r="G809">
        <v>80</v>
      </c>
      <c r="H809">
        <v>79.930297851999995</v>
      </c>
      <c r="I809">
        <v>50</v>
      </c>
      <c r="J809">
        <v>41.651142120000003</v>
      </c>
      <c r="K809">
        <v>2400</v>
      </c>
      <c r="L809">
        <v>0</v>
      </c>
      <c r="M809">
        <v>0</v>
      </c>
      <c r="N809">
        <v>2400</v>
      </c>
    </row>
    <row r="810" spans="1:14" x14ac:dyDescent="0.25">
      <c r="A810">
        <v>446.612391</v>
      </c>
      <c r="B810" s="1">
        <f>DATE(2011,7,21) + TIME(14,41,50)</f>
        <v>40745.612384259257</v>
      </c>
      <c r="C810">
        <v>1818.7481689000001</v>
      </c>
      <c r="D810">
        <v>1691.3806152</v>
      </c>
      <c r="E810">
        <v>851.69934081999997</v>
      </c>
      <c r="F810">
        <v>647.64575194999998</v>
      </c>
      <c r="G810">
        <v>80</v>
      </c>
      <c r="H810">
        <v>79.930397033999995</v>
      </c>
      <c r="I810">
        <v>50</v>
      </c>
      <c r="J810">
        <v>41.501575469999999</v>
      </c>
      <c r="K810">
        <v>2400</v>
      </c>
      <c r="L810">
        <v>0</v>
      </c>
      <c r="M810">
        <v>0</v>
      </c>
      <c r="N810">
        <v>2400</v>
      </c>
    </row>
    <row r="811" spans="1:14" x14ac:dyDescent="0.25">
      <c r="A811">
        <v>447.93193000000002</v>
      </c>
      <c r="B811" s="1">
        <f>DATE(2011,7,22) + TIME(22,21,58)</f>
        <v>40746.931921296295</v>
      </c>
      <c r="C811">
        <v>1818.0712891000001</v>
      </c>
      <c r="D811">
        <v>1690.7119141000001</v>
      </c>
      <c r="E811">
        <v>850.74932861000002</v>
      </c>
      <c r="F811">
        <v>646.19360352000001</v>
      </c>
      <c r="G811">
        <v>80</v>
      </c>
      <c r="H811">
        <v>79.930503845000004</v>
      </c>
      <c r="I811">
        <v>50</v>
      </c>
      <c r="J811">
        <v>41.349697112999998</v>
      </c>
      <c r="K811">
        <v>2400</v>
      </c>
      <c r="L811">
        <v>0</v>
      </c>
      <c r="M811">
        <v>0</v>
      </c>
      <c r="N811">
        <v>2400</v>
      </c>
    </row>
    <row r="812" spans="1:14" x14ac:dyDescent="0.25">
      <c r="A812">
        <v>449.26243899999997</v>
      </c>
      <c r="B812" s="1">
        <f>DATE(2011,7,24) + TIME(6,17,54)</f>
        <v>40748.262430555558</v>
      </c>
      <c r="C812">
        <v>1817.3990478999999</v>
      </c>
      <c r="D812">
        <v>1690.0476074000001</v>
      </c>
      <c r="E812">
        <v>849.77905272999999</v>
      </c>
      <c r="F812">
        <v>644.70318603999999</v>
      </c>
      <c r="G812">
        <v>80</v>
      </c>
      <c r="H812">
        <v>79.930610657000003</v>
      </c>
      <c r="I812">
        <v>50</v>
      </c>
      <c r="J812">
        <v>41.195335387999997</v>
      </c>
      <c r="K812">
        <v>2400</v>
      </c>
      <c r="L812">
        <v>0</v>
      </c>
      <c r="M812">
        <v>0</v>
      </c>
      <c r="N812">
        <v>2400</v>
      </c>
    </row>
    <row r="813" spans="1:14" x14ac:dyDescent="0.25">
      <c r="A813">
        <v>450.60730699999999</v>
      </c>
      <c r="B813" s="1">
        <f>DATE(2011,7,25) + TIME(14,34,31)</f>
        <v>40749.607303240744</v>
      </c>
      <c r="C813">
        <v>1816.7294922000001</v>
      </c>
      <c r="D813">
        <v>1689.3859863</v>
      </c>
      <c r="E813">
        <v>848.78601074000005</v>
      </c>
      <c r="F813">
        <v>643.17053223000005</v>
      </c>
      <c r="G813">
        <v>80</v>
      </c>
      <c r="H813">
        <v>79.930717467999997</v>
      </c>
      <c r="I813">
        <v>50</v>
      </c>
      <c r="J813">
        <v>41.038188933999997</v>
      </c>
      <c r="K813">
        <v>2400</v>
      </c>
      <c r="L813">
        <v>0</v>
      </c>
      <c r="M813">
        <v>0</v>
      </c>
      <c r="N813">
        <v>2400</v>
      </c>
    </row>
    <row r="814" spans="1:14" x14ac:dyDescent="0.25">
      <c r="A814">
        <v>451.97006399999998</v>
      </c>
      <c r="B814" s="1">
        <f>DATE(2011,7,26) + TIME(23,16,53)</f>
        <v>40750.970057870371</v>
      </c>
      <c r="C814">
        <v>1816.0610352000001</v>
      </c>
      <c r="D814">
        <v>1688.7254639</v>
      </c>
      <c r="E814">
        <v>847.76745604999996</v>
      </c>
      <c r="F814">
        <v>641.59118651999995</v>
      </c>
      <c r="G814">
        <v>80</v>
      </c>
      <c r="H814">
        <v>79.930824279999996</v>
      </c>
      <c r="I814">
        <v>50</v>
      </c>
      <c r="J814">
        <v>40.877899169999999</v>
      </c>
      <c r="K814">
        <v>2400</v>
      </c>
      <c r="L814">
        <v>0</v>
      </c>
      <c r="M814">
        <v>0</v>
      </c>
      <c r="N814">
        <v>2400</v>
      </c>
    </row>
    <row r="815" spans="1:14" x14ac:dyDescent="0.25">
      <c r="A815">
        <v>453.354446</v>
      </c>
      <c r="B815" s="1">
        <f>DATE(2011,7,28) + TIME(8,30,24)</f>
        <v>40752.354444444441</v>
      </c>
      <c r="C815">
        <v>1815.3918457</v>
      </c>
      <c r="D815">
        <v>1688.0642089999999</v>
      </c>
      <c r="E815">
        <v>846.72039795000001</v>
      </c>
      <c r="F815">
        <v>639.96038818</v>
      </c>
      <c r="G815">
        <v>80</v>
      </c>
      <c r="H815">
        <v>79.930931091000005</v>
      </c>
      <c r="I815">
        <v>50</v>
      </c>
      <c r="J815">
        <v>40.714035033999998</v>
      </c>
      <c r="K815">
        <v>2400</v>
      </c>
      <c r="L815">
        <v>0</v>
      </c>
      <c r="M815">
        <v>0</v>
      </c>
      <c r="N815">
        <v>2400</v>
      </c>
    </row>
    <row r="816" spans="1:14" x14ac:dyDescent="0.25">
      <c r="A816">
        <v>454.76442400000002</v>
      </c>
      <c r="B816" s="1">
        <f>DATE(2011,7,29) + TIME(18,20,46)</f>
        <v>40753.764421296299</v>
      </c>
      <c r="C816">
        <v>1814.7203368999999</v>
      </c>
      <c r="D816">
        <v>1687.4006348</v>
      </c>
      <c r="E816">
        <v>845.64172363</v>
      </c>
      <c r="F816">
        <v>638.27258300999995</v>
      </c>
      <c r="G816">
        <v>80</v>
      </c>
      <c r="H816">
        <v>79.931037903000004</v>
      </c>
      <c r="I816">
        <v>50</v>
      </c>
      <c r="J816">
        <v>40.546085357999999</v>
      </c>
      <c r="K816">
        <v>2400</v>
      </c>
      <c r="L816">
        <v>0</v>
      </c>
      <c r="M816">
        <v>0</v>
      </c>
      <c r="N816">
        <v>2400</v>
      </c>
    </row>
    <row r="817" spans="1:14" x14ac:dyDescent="0.25">
      <c r="A817">
        <v>456.18364100000002</v>
      </c>
      <c r="B817" s="1">
        <f>DATE(2011,7,31) + TIME(4,24,26)</f>
        <v>40755.183634259258</v>
      </c>
      <c r="C817">
        <v>1814.0449219</v>
      </c>
      <c r="D817">
        <v>1686.7331543</v>
      </c>
      <c r="E817">
        <v>844.52770996000004</v>
      </c>
      <c r="F817">
        <v>636.52514647999999</v>
      </c>
      <c r="G817">
        <v>80</v>
      </c>
      <c r="H817">
        <v>79.931144713999998</v>
      </c>
      <c r="I817">
        <v>50</v>
      </c>
      <c r="J817">
        <v>40.374500275000003</v>
      </c>
      <c r="K817">
        <v>2400</v>
      </c>
      <c r="L817">
        <v>0</v>
      </c>
      <c r="M817">
        <v>0</v>
      </c>
      <c r="N817">
        <v>2400</v>
      </c>
    </row>
    <row r="818" spans="1:14" x14ac:dyDescent="0.25">
      <c r="A818">
        <v>457</v>
      </c>
      <c r="B818" s="1">
        <f>DATE(2011,8,1) + TIME(0,0,0)</f>
        <v>40756</v>
      </c>
      <c r="C818">
        <v>1813.3936768000001</v>
      </c>
      <c r="D818">
        <v>1686.0895995999999</v>
      </c>
      <c r="E818">
        <v>843.38562012</v>
      </c>
      <c r="F818">
        <v>634.87225341999999</v>
      </c>
      <c r="G818">
        <v>80</v>
      </c>
      <c r="H818">
        <v>79.931190490999995</v>
      </c>
      <c r="I818">
        <v>50</v>
      </c>
      <c r="J818">
        <v>40.239475249999998</v>
      </c>
      <c r="K818">
        <v>2400</v>
      </c>
      <c r="L818">
        <v>0</v>
      </c>
      <c r="M818">
        <v>0</v>
      </c>
      <c r="N818">
        <v>2400</v>
      </c>
    </row>
    <row r="819" spans="1:14" x14ac:dyDescent="0.25">
      <c r="A819">
        <v>458.42352299999999</v>
      </c>
      <c r="B819" s="1">
        <f>DATE(2011,8,2) + TIME(10,9,52)</f>
        <v>40757.423518518517</v>
      </c>
      <c r="C819">
        <v>1812.9765625</v>
      </c>
      <c r="D819">
        <v>1685.677124</v>
      </c>
      <c r="E819">
        <v>842.72631836000005</v>
      </c>
      <c r="F819">
        <v>633.63000488</v>
      </c>
      <c r="G819">
        <v>80</v>
      </c>
      <c r="H819">
        <v>79.931327820000007</v>
      </c>
      <c r="I819">
        <v>50</v>
      </c>
      <c r="J819">
        <v>40.085098266999999</v>
      </c>
      <c r="K819">
        <v>2400</v>
      </c>
      <c r="L819">
        <v>0</v>
      </c>
      <c r="M819">
        <v>0</v>
      </c>
      <c r="N819">
        <v>2400</v>
      </c>
    </row>
    <row r="820" spans="1:14" x14ac:dyDescent="0.25">
      <c r="A820">
        <v>459.85964200000001</v>
      </c>
      <c r="B820" s="1">
        <f>DATE(2011,8,3) + TIME(20,37,53)</f>
        <v>40758.8596412037</v>
      </c>
      <c r="C820">
        <v>1812.3259277</v>
      </c>
      <c r="D820">
        <v>1685.0340576000001</v>
      </c>
      <c r="E820">
        <v>841.56640625</v>
      </c>
      <c r="F820">
        <v>631.81610106999995</v>
      </c>
      <c r="G820">
        <v>80</v>
      </c>
      <c r="H820">
        <v>79.931434631000002</v>
      </c>
      <c r="I820">
        <v>50</v>
      </c>
      <c r="J820">
        <v>39.915405272999998</v>
      </c>
      <c r="K820">
        <v>2400</v>
      </c>
      <c r="L820">
        <v>0</v>
      </c>
      <c r="M820">
        <v>0</v>
      </c>
      <c r="N820">
        <v>2400</v>
      </c>
    </row>
    <row r="821" spans="1:14" x14ac:dyDescent="0.25">
      <c r="A821">
        <v>461.30788899999999</v>
      </c>
      <c r="B821" s="1">
        <f>DATE(2011,8,5) + TIME(7,23,21)</f>
        <v>40760.307881944442</v>
      </c>
      <c r="C821">
        <v>1811.6671143000001</v>
      </c>
      <c r="D821">
        <v>1684.3829346</v>
      </c>
      <c r="E821">
        <v>840.37896728999999</v>
      </c>
      <c r="F821">
        <v>629.93261718999997</v>
      </c>
      <c r="G821">
        <v>80</v>
      </c>
      <c r="H821">
        <v>79.931541443</v>
      </c>
      <c r="I821">
        <v>50</v>
      </c>
      <c r="J821">
        <v>39.737907409999998</v>
      </c>
      <c r="K821">
        <v>2400</v>
      </c>
      <c r="L821">
        <v>0</v>
      </c>
      <c r="M821">
        <v>0</v>
      </c>
      <c r="N821">
        <v>2400</v>
      </c>
    </row>
    <row r="822" spans="1:14" x14ac:dyDescent="0.25">
      <c r="A822">
        <v>462.77192500000001</v>
      </c>
      <c r="B822" s="1">
        <f>DATE(2011,8,6) + TIME(18,31,34)</f>
        <v>40761.771921296298</v>
      </c>
      <c r="C822">
        <v>1811.0089111</v>
      </c>
      <c r="D822">
        <v>1683.7322998</v>
      </c>
      <c r="E822">
        <v>839.16699218999997</v>
      </c>
      <c r="F822">
        <v>627.99371338000003</v>
      </c>
      <c r="G822">
        <v>80</v>
      </c>
      <c r="H822">
        <v>79.931655883999994</v>
      </c>
      <c r="I822">
        <v>50</v>
      </c>
      <c r="J822">
        <v>39.555381775000001</v>
      </c>
      <c r="K822">
        <v>2400</v>
      </c>
      <c r="L822">
        <v>0</v>
      </c>
      <c r="M822">
        <v>0</v>
      </c>
      <c r="N822">
        <v>2400</v>
      </c>
    </row>
    <row r="823" spans="1:14" x14ac:dyDescent="0.25">
      <c r="A823">
        <v>464.25266099999999</v>
      </c>
      <c r="B823" s="1">
        <f>DATE(2011,8,8) + TIME(6,3,49)</f>
        <v>40763.252650462964</v>
      </c>
      <c r="C823">
        <v>1810.3507079999999</v>
      </c>
      <c r="D823">
        <v>1683.0816649999999</v>
      </c>
      <c r="E823">
        <v>837.92810058999999</v>
      </c>
      <c r="F823">
        <v>626.00018310999997</v>
      </c>
      <c r="G823">
        <v>80</v>
      </c>
      <c r="H823">
        <v>79.931762695000003</v>
      </c>
      <c r="I823">
        <v>50</v>
      </c>
      <c r="J823">
        <v>39.368774414000001</v>
      </c>
      <c r="K823">
        <v>2400</v>
      </c>
      <c r="L823">
        <v>0</v>
      </c>
      <c r="M823">
        <v>0</v>
      </c>
      <c r="N823">
        <v>2400</v>
      </c>
    </row>
    <row r="824" spans="1:14" x14ac:dyDescent="0.25">
      <c r="A824">
        <v>465.75320599999998</v>
      </c>
      <c r="B824" s="1">
        <f>DATE(2011,8,9) + TIME(18,4,37)</f>
        <v>40764.753206018519</v>
      </c>
      <c r="C824">
        <v>1809.6922606999999</v>
      </c>
      <c r="D824">
        <v>1682.4307861</v>
      </c>
      <c r="E824">
        <v>836.66174316000001</v>
      </c>
      <c r="F824">
        <v>623.95202637</v>
      </c>
      <c r="G824">
        <v>80</v>
      </c>
      <c r="H824">
        <v>79.931877135999997</v>
      </c>
      <c r="I824">
        <v>50</v>
      </c>
      <c r="J824">
        <v>39.178287505999997</v>
      </c>
      <c r="K824">
        <v>2400</v>
      </c>
      <c r="L824">
        <v>0</v>
      </c>
      <c r="M824">
        <v>0</v>
      </c>
      <c r="N824">
        <v>2400</v>
      </c>
    </row>
    <row r="825" spans="1:14" x14ac:dyDescent="0.25">
      <c r="A825">
        <v>467.27501699999999</v>
      </c>
      <c r="B825" s="1">
        <f>DATE(2011,8,11) + TIME(6,36,1)</f>
        <v>40766.275011574071</v>
      </c>
      <c r="C825">
        <v>1809.0322266000001</v>
      </c>
      <c r="D825">
        <v>1681.7781981999999</v>
      </c>
      <c r="E825">
        <v>835.36560058999999</v>
      </c>
      <c r="F825">
        <v>621.84588623000002</v>
      </c>
      <c r="G825">
        <v>80</v>
      </c>
      <c r="H825">
        <v>79.931991577000005</v>
      </c>
      <c r="I825">
        <v>50</v>
      </c>
      <c r="J825">
        <v>38.983825684000003</v>
      </c>
      <c r="K825">
        <v>2400</v>
      </c>
      <c r="L825">
        <v>0</v>
      </c>
      <c r="M825">
        <v>0</v>
      </c>
      <c r="N825">
        <v>2400</v>
      </c>
    </row>
    <row r="826" spans="1:14" x14ac:dyDescent="0.25">
      <c r="A826">
        <v>468.81149499999998</v>
      </c>
      <c r="B826" s="1">
        <f>DATE(2011,8,12) + TIME(19,28,33)</f>
        <v>40767.811493055553</v>
      </c>
      <c r="C826">
        <v>1808.3701172000001</v>
      </c>
      <c r="D826">
        <v>1681.1235352000001</v>
      </c>
      <c r="E826">
        <v>834.03845215000001</v>
      </c>
      <c r="F826">
        <v>619.68127441000001</v>
      </c>
      <c r="G826">
        <v>80</v>
      </c>
      <c r="H826">
        <v>79.932106017999999</v>
      </c>
      <c r="I826">
        <v>50</v>
      </c>
      <c r="J826">
        <v>38.785648346000002</v>
      </c>
      <c r="K826">
        <v>2400</v>
      </c>
      <c r="L826">
        <v>0</v>
      </c>
      <c r="M826">
        <v>0</v>
      </c>
      <c r="N826">
        <v>2400</v>
      </c>
    </row>
    <row r="827" spans="1:14" x14ac:dyDescent="0.25">
      <c r="A827">
        <v>470.35547400000002</v>
      </c>
      <c r="B827" s="1">
        <f>DATE(2011,8,14) + TIME(8,31,52)</f>
        <v>40769.355462962965</v>
      </c>
      <c r="C827">
        <v>1807.7086182</v>
      </c>
      <c r="D827">
        <v>1680.4693603999999</v>
      </c>
      <c r="E827">
        <v>832.68658446999996</v>
      </c>
      <c r="F827">
        <v>617.46685791000004</v>
      </c>
      <c r="G827">
        <v>80</v>
      </c>
      <c r="H827">
        <v>79.932220459000007</v>
      </c>
      <c r="I827">
        <v>50</v>
      </c>
      <c r="J827">
        <v>38.584434508999998</v>
      </c>
      <c r="K827">
        <v>2400</v>
      </c>
      <c r="L827">
        <v>0</v>
      </c>
      <c r="M827">
        <v>0</v>
      </c>
      <c r="N827">
        <v>2400</v>
      </c>
    </row>
    <row r="828" spans="1:14" x14ac:dyDescent="0.25">
      <c r="A828">
        <v>471.90446400000002</v>
      </c>
      <c r="B828" s="1">
        <f>DATE(2011,8,15) + TIME(21,42,25)</f>
        <v>40770.904456018521</v>
      </c>
      <c r="C828">
        <v>1807.0506591999999</v>
      </c>
      <c r="D828">
        <v>1679.8187256000001</v>
      </c>
      <c r="E828">
        <v>831.31683350000003</v>
      </c>
      <c r="F828">
        <v>615.21228026999995</v>
      </c>
      <c r="G828">
        <v>80</v>
      </c>
      <c r="H828">
        <v>79.932334900000001</v>
      </c>
      <c r="I828">
        <v>50</v>
      </c>
      <c r="J828">
        <v>38.380828856999997</v>
      </c>
      <c r="K828">
        <v>2400</v>
      </c>
      <c r="L828">
        <v>0</v>
      </c>
      <c r="M828">
        <v>0</v>
      </c>
      <c r="N828">
        <v>2400</v>
      </c>
    </row>
    <row r="829" spans="1:14" x14ac:dyDescent="0.25">
      <c r="A829">
        <v>473.46212000000003</v>
      </c>
      <c r="B829" s="1">
        <f>DATE(2011,8,17) + TIME(11,5,27)</f>
        <v>40772.462118055555</v>
      </c>
      <c r="C829">
        <v>1806.3968506000001</v>
      </c>
      <c r="D829">
        <v>1679.1722411999999</v>
      </c>
      <c r="E829">
        <v>829.93237305000002</v>
      </c>
      <c r="F829">
        <v>612.92156981999995</v>
      </c>
      <c r="G829">
        <v>80</v>
      </c>
      <c r="H829">
        <v>79.932449340999995</v>
      </c>
      <c r="I829">
        <v>50</v>
      </c>
      <c r="J829">
        <v>38.175037383999999</v>
      </c>
      <c r="K829">
        <v>2400</v>
      </c>
      <c r="L829">
        <v>0</v>
      </c>
      <c r="M829">
        <v>0</v>
      </c>
      <c r="N829">
        <v>2400</v>
      </c>
    </row>
    <row r="830" spans="1:14" x14ac:dyDescent="0.25">
      <c r="A830">
        <v>475.03211700000003</v>
      </c>
      <c r="B830" s="1">
        <f>DATE(2011,8,19) + TIME(0,46,14)</f>
        <v>40774.032106481478</v>
      </c>
      <c r="C830">
        <v>1805.7459716999999</v>
      </c>
      <c r="D830">
        <v>1678.5284423999999</v>
      </c>
      <c r="E830">
        <v>828.53094481999995</v>
      </c>
      <c r="F830">
        <v>610.59155272999999</v>
      </c>
      <c r="G830">
        <v>80</v>
      </c>
      <c r="H830">
        <v>79.932563782000003</v>
      </c>
      <c r="I830">
        <v>50</v>
      </c>
      <c r="J830">
        <v>37.966869354000004</v>
      </c>
      <c r="K830">
        <v>2400</v>
      </c>
      <c r="L830">
        <v>0</v>
      </c>
      <c r="M830">
        <v>0</v>
      </c>
      <c r="N830">
        <v>2400</v>
      </c>
    </row>
    <row r="831" spans="1:14" x14ac:dyDescent="0.25">
      <c r="A831">
        <v>476.61823399999997</v>
      </c>
      <c r="B831" s="1">
        <f>DATE(2011,8,20) + TIME(14,50,15)</f>
        <v>40775.61822916667</v>
      </c>
      <c r="C831">
        <v>1805.0960693</v>
      </c>
      <c r="D831">
        <v>1677.8856201000001</v>
      </c>
      <c r="E831">
        <v>827.11016845999995</v>
      </c>
      <c r="F831">
        <v>608.21820068</v>
      </c>
      <c r="G831">
        <v>80</v>
      </c>
      <c r="H831">
        <v>79.932678222999996</v>
      </c>
      <c r="I831">
        <v>50</v>
      </c>
      <c r="J831">
        <v>37.756000518999997</v>
      </c>
      <c r="K831">
        <v>2400</v>
      </c>
      <c r="L831">
        <v>0</v>
      </c>
      <c r="M831">
        <v>0</v>
      </c>
      <c r="N831">
        <v>2400</v>
      </c>
    </row>
    <row r="832" spans="1:14" x14ac:dyDescent="0.25">
      <c r="A832">
        <v>478.22049199999998</v>
      </c>
      <c r="B832" s="1">
        <f>DATE(2011,8,22) + TIME(5,17,30)</f>
        <v>40777.220486111109</v>
      </c>
      <c r="C832">
        <v>1804.4456786999999</v>
      </c>
      <c r="D832">
        <v>1677.2423096</v>
      </c>
      <c r="E832">
        <v>825.66754149999997</v>
      </c>
      <c r="F832">
        <v>605.79791260000002</v>
      </c>
      <c r="G832">
        <v>80</v>
      </c>
      <c r="H832">
        <v>79.932800293</v>
      </c>
      <c r="I832">
        <v>50</v>
      </c>
      <c r="J832">
        <v>37.542224883999999</v>
      </c>
      <c r="K832">
        <v>2400</v>
      </c>
      <c r="L832">
        <v>0</v>
      </c>
      <c r="M832">
        <v>0</v>
      </c>
      <c r="N832">
        <v>2400</v>
      </c>
    </row>
    <row r="833" spans="1:14" x14ac:dyDescent="0.25">
      <c r="A833">
        <v>479.83908100000002</v>
      </c>
      <c r="B833" s="1">
        <f>DATE(2011,8,23) + TIME(20,8,16)</f>
        <v>40778.839074074072</v>
      </c>
      <c r="C833">
        <v>1803.7946777</v>
      </c>
      <c r="D833">
        <v>1676.5982666</v>
      </c>
      <c r="E833">
        <v>824.20422363</v>
      </c>
      <c r="F833">
        <v>603.33142090000001</v>
      </c>
      <c r="G833">
        <v>80</v>
      </c>
      <c r="H833">
        <v>79.932914733999993</v>
      </c>
      <c r="I833">
        <v>50</v>
      </c>
      <c r="J833">
        <v>37.325515746999997</v>
      </c>
      <c r="K833">
        <v>2400</v>
      </c>
      <c r="L833">
        <v>0</v>
      </c>
      <c r="M833">
        <v>0</v>
      </c>
      <c r="N833">
        <v>2400</v>
      </c>
    </row>
    <row r="834" spans="1:14" x14ac:dyDescent="0.25">
      <c r="A834">
        <v>481.47789599999999</v>
      </c>
      <c r="B834" s="1">
        <f>DATE(2011,8,25) + TIME(11,28,10)</f>
        <v>40780.477893518517</v>
      </c>
      <c r="C834">
        <v>1803.1428223</v>
      </c>
      <c r="D834">
        <v>1675.9533690999999</v>
      </c>
      <c r="E834">
        <v>822.72119140999996</v>
      </c>
      <c r="F834">
        <v>600.81909180000002</v>
      </c>
      <c r="G834">
        <v>80</v>
      </c>
      <c r="H834">
        <v>79.933029175000001</v>
      </c>
      <c r="I834">
        <v>50</v>
      </c>
      <c r="J834">
        <v>37.105735779</v>
      </c>
      <c r="K834">
        <v>2400</v>
      </c>
      <c r="L834">
        <v>0</v>
      </c>
      <c r="M834">
        <v>0</v>
      </c>
      <c r="N834">
        <v>2400</v>
      </c>
    </row>
    <row r="835" spans="1:14" x14ac:dyDescent="0.25">
      <c r="A835">
        <v>483.132927</v>
      </c>
      <c r="B835" s="1">
        <f>DATE(2011,8,27) + TIME(3,11,24)</f>
        <v>40782.132916666669</v>
      </c>
      <c r="C835">
        <v>1802.4886475000001</v>
      </c>
      <c r="D835">
        <v>1675.3060303</v>
      </c>
      <c r="E835">
        <v>821.21624756000006</v>
      </c>
      <c r="F835">
        <v>598.25872803000004</v>
      </c>
      <c r="G835">
        <v>80</v>
      </c>
      <c r="H835">
        <v>79.933151245000005</v>
      </c>
      <c r="I835">
        <v>50</v>
      </c>
      <c r="J835">
        <v>36.882957458</v>
      </c>
      <c r="K835">
        <v>2400</v>
      </c>
      <c r="L835">
        <v>0</v>
      </c>
      <c r="M835">
        <v>0</v>
      </c>
      <c r="N835">
        <v>2400</v>
      </c>
    </row>
    <row r="836" spans="1:14" x14ac:dyDescent="0.25">
      <c r="A836">
        <v>484.79257100000001</v>
      </c>
      <c r="B836" s="1">
        <f>DATE(2011,8,28) + TIME(19,1,18)</f>
        <v>40783.792569444442</v>
      </c>
      <c r="C836">
        <v>1801.8337402</v>
      </c>
      <c r="D836">
        <v>1674.6580810999999</v>
      </c>
      <c r="E836">
        <v>819.69470215000001</v>
      </c>
      <c r="F836">
        <v>595.65924071999996</v>
      </c>
      <c r="G836">
        <v>80</v>
      </c>
      <c r="H836">
        <v>79.933265685999999</v>
      </c>
      <c r="I836">
        <v>50</v>
      </c>
      <c r="J836">
        <v>36.658004761000001</v>
      </c>
      <c r="K836">
        <v>2400</v>
      </c>
      <c r="L836">
        <v>0</v>
      </c>
      <c r="M836">
        <v>0</v>
      </c>
      <c r="N836">
        <v>2400</v>
      </c>
    </row>
    <row r="837" spans="1:14" x14ac:dyDescent="0.25">
      <c r="A837">
        <v>486.45963799999998</v>
      </c>
      <c r="B837" s="1">
        <f>DATE(2011,8,30) + TIME(11,1,52)</f>
        <v>40785.459629629629</v>
      </c>
      <c r="C837">
        <v>1801.1821289</v>
      </c>
      <c r="D837">
        <v>1674.0133057</v>
      </c>
      <c r="E837">
        <v>818.16882324000005</v>
      </c>
      <c r="F837">
        <v>593.03692626999998</v>
      </c>
      <c r="G837">
        <v>80</v>
      </c>
      <c r="H837">
        <v>79.933387756000002</v>
      </c>
      <c r="I837">
        <v>50</v>
      </c>
      <c r="J837">
        <v>36.431594849</v>
      </c>
      <c r="K837">
        <v>2400</v>
      </c>
      <c r="L837">
        <v>0</v>
      </c>
      <c r="M837">
        <v>0</v>
      </c>
      <c r="N837">
        <v>2400</v>
      </c>
    </row>
    <row r="838" spans="1:14" x14ac:dyDescent="0.25">
      <c r="A838">
        <v>488</v>
      </c>
      <c r="B838" s="1">
        <f>DATE(2011,9,1) + TIME(0,0,0)</f>
        <v>40787</v>
      </c>
      <c r="C838">
        <v>1800.5352783000001</v>
      </c>
      <c r="D838">
        <v>1673.3730469</v>
      </c>
      <c r="E838">
        <v>816.63812256000006</v>
      </c>
      <c r="F838">
        <v>590.42315673999997</v>
      </c>
      <c r="G838">
        <v>80</v>
      </c>
      <c r="H838">
        <v>79.933494568</v>
      </c>
      <c r="I838">
        <v>50</v>
      </c>
      <c r="J838">
        <v>36.210807799999998</v>
      </c>
      <c r="K838">
        <v>2400</v>
      </c>
      <c r="L838">
        <v>0</v>
      </c>
      <c r="M838">
        <v>0</v>
      </c>
      <c r="N838">
        <v>2400</v>
      </c>
    </row>
    <row r="839" spans="1:14" x14ac:dyDescent="0.25">
      <c r="A839">
        <v>489.67822999999999</v>
      </c>
      <c r="B839" s="1">
        <f>DATE(2011,9,2) + TIME(16,16,39)</f>
        <v>40788.678229166668</v>
      </c>
      <c r="C839">
        <v>1799.9345702999999</v>
      </c>
      <c r="D839">
        <v>1672.7783202999999</v>
      </c>
      <c r="E839">
        <v>815.22613524999997</v>
      </c>
      <c r="F839">
        <v>587.92333984000004</v>
      </c>
      <c r="G839">
        <v>80</v>
      </c>
      <c r="H839">
        <v>79.933616638000004</v>
      </c>
      <c r="I839">
        <v>50</v>
      </c>
      <c r="J839">
        <v>35.989791869999998</v>
      </c>
      <c r="K839">
        <v>2400</v>
      </c>
      <c r="L839">
        <v>0</v>
      </c>
      <c r="M839">
        <v>0</v>
      </c>
      <c r="N839">
        <v>2400</v>
      </c>
    </row>
    <row r="840" spans="1:14" x14ac:dyDescent="0.25">
      <c r="A840">
        <v>491.390242</v>
      </c>
      <c r="B840" s="1">
        <f>DATE(2011,9,4) + TIME(9,21,56)</f>
        <v>40790.390231481484</v>
      </c>
      <c r="C840">
        <v>1799.2921143000001</v>
      </c>
      <c r="D840">
        <v>1672.1424560999999</v>
      </c>
      <c r="E840">
        <v>813.69580078000001</v>
      </c>
      <c r="F840">
        <v>585.25823975000003</v>
      </c>
      <c r="G840">
        <v>80</v>
      </c>
      <c r="H840">
        <v>79.933738708000007</v>
      </c>
      <c r="I840">
        <v>50</v>
      </c>
      <c r="J840">
        <v>35.762161255000002</v>
      </c>
      <c r="K840">
        <v>2400</v>
      </c>
      <c r="L840">
        <v>0</v>
      </c>
      <c r="M840">
        <v>0</v>
      </c>
      <c r="N840">
        <v>2400</v>
      </c>
    </row>
    <row r="841" spans="1:14" x14ac:dyDescent="0.25">
      <c r="A841">
        <v>493.11456600000002</v>
      </c>
      <c r="B841" s="1">
        <f>DATE(2011,9,6) + TIME(2,44,58)</f>
        <v>40792.114560185182</v>
      </c>
      <c r="C841">
        <v>1798.6401367000001</v>
      </c>
      <c r="D841">
        <v>1671.4969481999999</v>
      </c>
      <c r="E841">
        <v>812.14208984000004</v>
      </c>
      <c r="F841">
        <v>582.53875731999995</v>
      </c>
      <c r="G841">
        <v>80</v>
      </c>
      <c r="H841">
        <v>79.933853149000001</v>
      </c>
      <c r="I841">
        <v>50</v>
      </c>
      <c r="J841">
        <v>35.530567169000001</v>
      </c>
      <c r="K841">
        <v>2400</v>
      </c>
      <c r="L841">
        <v>0</v>
      </c>
      <c r="M841">
        <v>0</v>
      </c>
      <c r="N841">
        <v>2400</v>
      </c>
    </row>
    <row r="842" spans="1:14" x14ac:dyDescent="0.25">
      <c r="A842">
        <v>494.84828900000002</v>
      </c>
      <c r="B842" s="1">
        <f>DATE(2011,9,7) + TIME(20,21,32)</f>
        <v>40793.848287037035</v>
      </c>
      <c r="C842">
        <v>1797.9874268000001</v>
      </c>
      <c r="D842">
        <v>1670.8507079999999</v>
      </c>
      <c r="E842">
        <v>810.58758545000001</v>
      </c>
      <c r="F842">
        <v>579.79913329999999</v>
      </c>
      <c r="G842">
        <v>80</v>
      </c>
      <c r="H842">
        <v>79.933975219999994</v>
      </c>
      <c r="I842">
        <v>50</v>
      </c>
      <c r="J842">
        <v>35.297138214</v>
      </c>
      <c r="K842">
        <v>2400</v>
      </c>
      <c r="L842">
        <v>0</v>
      </c>
      <c r="M842">
        <v>0</v>
      </c>
      <c r="N842">
        <v>2400</v>
      </c>
    </row>
    <row r="843" spans="1:14" x14ac:dyDescent="0.25">
      <c r="A843">
        <v>495.71919800000001</v>
      </c>
      <c r="B843" s="1">
        <f>DATE(2011,9,8) + TIME(17,15,38)</f>
        <v>40794.719189814816</v>
      </c>
      <c r="C843">
        <v>1797.3651123</v>
      </c>
      <c r="D843">
        <v>1670.2347411999999</v>
      </c>
      <c r="E843">
        <v>809.04333496000004</v>
      </c>
      <c r="F843">
        <v>577.33953856999995</v>
      </c>
      <c r="G843">
        <v>80</v>
      </c>
      <c r="H843">
        <v>79.934013367000006</v>
      </c>
      <c r="I843">
        <v>50</v>
      </c>
      <c r="J843">
        <v>35.123020171999997</v>
      </c>
      <c r="K843">
        <v>2400</v>
      </c>
      <c r="L843">
        <v>0</v>
      </c>
      <c r="M843">
        <v>0</v>
      </c>
      <c r="N843">
        <v>2400</v>
      </c>
    </row>
    <row r="844" spans="1:14" x14ac:dyDescent="0.25">
      <c r="A844">
        <v>496.59010799999999</v>
      </c>
      <c r="B844" s="1">
        <f>DATE(2011,9,9) + TIME(14,9,45)</f>
        <v>40795.590104166666</v>
      </c>
      <c r="C844">
        <v>1797.0100098</v>
      </c>
      <c r="D844">
        <v>1669.8828125</v>
      </c>
      <c r="E844">
        <v>808.26318359000004</v>
      </c>
      <c r="F844">
        <v>575.81439208999996</v>
      </c>
      <c r="G844">
        <v>80</v>
      </c>
      <c r="H844">
        <v>79.934082031000003</v>
      </c>
      <c r="I844">
        <v>50</v>
      </c>
      <c r="J844">
        <v>34.976726532000001</v>
      </c>
      <c r="K844">
        <v>2400</v>
      </c>
      <c r="L844">
        <v>0</v>
      </c>
      <c r="M844">
        <v>0</v>
      </c>
      <c r="N844">
        <v>2400</v>
      </c>
    </row>
    <row r="845" spans="1:14" x14ac:dyDescent="0.25">
      <c r="A845">
        <v>497.46097800000001</v>
      </c>
      <c r="B845" s="1">
        <f>DATE(2011,9,10) + TIME(11,3,48)</f>
        <v>40796.460972222223</v>
      </c>
      <c r="C845">
        <v>1796.6791992000001</v>
      </c>
      <c r="D845">
        <v>1669.5550536999999</v>
      </c>
      <c r="E845">
        <v>807.49493408000001</v>
      </c>
      <c r="F845">
        <v>574.37078856999995</v>
      </c>
      <c r="G845">
        <v>80</v>
      </c>
      <c r="H845">
        <v>79.934150696000003</v>
      </c>
      <c r="I845">
        <v>50</v>
      </c>
      <c r="J845">
        <v>34.844860077</v>
      </c>
      <c r="K845">
        <v>2400</v>
      </c>
      <c r="L845">
        <v>0</v>
      </c>
      <c r="M845">
        <v>0</v>
      </c>
      <c r="N845">
        <v>2400</v>
      </c>
    </row>
    <row r="846" spans="1:14" x14ac:dyDescent="0.25">
      <c r="A846">
        <v>498.33184899999998</v>
      </c>
      <c r="B846" s="1">
        <f>DATE(2011,9,11) + TIME(7,57,51)</f>
        <v>40797.33184027778</v>
      </c>
      <c r="C846">
        <v>1796.3533935999999</v>
      </c>
      <c r="D846">
        <v>1669.2324219</v>
      </c>
      <c r="E846">
        <v>806.73492432</v>
      </c>
      <c r="F846">
        <v>572.97070312000005</v>
      </c>
      <c r="G846">
        <v>80</v>
      </c>
      <c r="H846">
        <v>79.934211731000005</v>
      </c>
      <c r="I846">
        <v>50</v>
      </c>
      <c r="J846">
        <v>34.720592498999999</v>
      </c>
      <c r="K846">
        <v>2400</v>
      </c>
      <c r="L846">
        <v>0</v>
      </c>
      <c r="M846">
        <v>0</v>
      </c>
      <c r="N846">
        <v>2400</v>
      </c>
    </row>
    <row r="847" spans="1:14" x14ac:dyDescent="0.25">
      <c r="A847">
        <v>499.202719</v>
      </c>
      <c r="B847" s="1">
        <f>DATE(2011,9,12) + TIME(4,51,54)</f>
        <v>40798.202708333331</v>
      </c>
      <c r="C847">
        <v>1796.0295410000001</v>
      </c>
      <c r="D847">
        <v>1668.9117432</v>
      </c>
      <c r="E847">
        <v>805.98162841999999</v>
      </c>
      <c r="F847">
        <v>571.59533691000001</v>
      </c>
      <c r="G847">
        <v>80</v>
      </c>
      <c r="H847">
        <v>79.934272766000007</v>
      </c>
      <c r="I847">
        <v>50</v>
      </c>
      <c r="J847">
        <v>34.600437163999999</v>
      </c>
      <c r="K847">
        <v>2400</v>
      </c>
      <c r="L847">
        <v>0</v>
      </c>
      <c r="M847">
        <v>0</v>
      </c>
      <c r="N847">
        <v>2400</v>
      </c>
    </row>
    <row r="848" spans="1:14" x14ac:dyDescent="0.25">
      <c r="A848">
        <v>500.07359000000002</v>
      </c>
      <c r="B848" s="1">
        <f>DATE(2011,9,13) + TIME(1,45,58)</f>
        <v>40799.073587962965</v>
      </c>
      <c r="C848">
        <v>1795.7069091999999</v>
      </c>
      <c r="D848">
        <v>1668.5920410000001</v>
      </c>
      <c r="E848">
        <v>805.23461913999995</v>
      </c>
      <c r="F848">
        <v>570.23559569999998</v>
      </c>
      <c r="G848">
        <v>80</v>
      </c>
      <c r="H848">
        <v>79.934333800999994</v>
      </c>
      <c r="I848">
        <v>50</v>
      </c>
      <c r="J848">
        <v>34.482639313</v>
      </c>
      <c r="K848">
        <v>2400</v>
      </c>
      <c r="L848">
        <v>0</v>
      </c>
      <c r="M848">
        <v>0</v>
      </c>
      <c r="N848">
        <v>2400</v>
      </c>
    </row>
    <row r="849" spans="1:14" x14ac:dyDescent="0.25">
      <c r="A849">
        <v>500.94446099999999</v>
      </c>
      <c r="B849" s="1">
        <f>DATE(2011,9,13) + TIME(22,40,1)</f>
        <v>40799.944456018522</v>
      </c>
      <c r="C849">
        <v>1795.3851318</v>
      </c>
      <c r="D849">
        <v>1668.2733154</v>
      </c>
      <c r="E849">
        <v>804.49389647999999</v>
      </c>
      <c r="F849">
        <v>568.88757324000005</v>
      </c>
      <c r="G849">
        <v>80</v>
      </c>
      <c r="H849">
        <v>79.934394835999996</v>
      </c>
      <c r="I849">
        <v>50</v>
      </c>
      <c r="J849">
        <v>34.366306305000002</v>
      </c>
      <c r="K849">
        <v>2400</v>
      </c>
      <c r="L849">
        <v>0</v>
      </c>
      <c r="M849">
        <v>0</v>
      </c>
      <c r="N849">
        <v>2400</v>
      </c>
    </row>
    <row r="850" spans="1:14" x14ac:dyDescent="0.25">
      <c r="A850">
        <v>501.81533100000001</v>
      </c>
      <c r="B850" s="1">
        <f>DATE(2011,9,14) + TIME(19,34,4)</f>
        <v>40800.815324074072</v>
      </c>
      <c r="C850">
        <v>1795.0642089999999</v>
      </c>
      <c r="D850">
        <v>1667.9553223</v>
      </c>
      <c r="E850">
        <v>803.75976562000005</v>
      </c>
      <c r="F850">
        <v>567.54943848000005</v>
      </c>
      <c r="G850">
        <v>80</v>
      </c>
      <c r="H850">
        <v>79.934448242000002</v>
      </c>
      <c r="I850">
        <v>50</v>
      </c>
      <c r="J850">
        <v>34.251007080000001</v>
      </c>
      <c r="K850">
        <v>2400</v>
      </c>
      <c r="L850">
        <v>0</v>
      </c>
      <c r="M850">
        <v>0</v>
      </c>
      <c r="N850">
        <v>2400</v>
      </c>
    </row>
    <row r="851" spans="1:14" x14ac:dyDescent="0.25">
      <c r="A851">
        <v>502.68620199999998</v>
      </c>
      <c r="B851" s="1">
        <f>DATE(2011,9,15) + TIME(16,28,7)</f>
        <v>40801.686192129629</v>
      </c>
      <c r="C851">
        <v>1794.7441406</v>
      </c>
      <c r="D851">
        <v>1667.6381836</v>
      </c>
      <c r="E851">
        <v>803.03259276999995</v>
      </c>
      <c r="F851">
        <v>566.22088623000002</v>
      </c>
      <c r="G851">
        <v>80</v>
      </c>
      <c r="H851">
        <v>79.934509277000004</v>
      </c>
      <c r="I851">
        <v>50</v>
      </c>
      <c r="J851">
        <v>34.136528015000003</v>
      </c>
      <c r="K851">
        <v>2400</v>
      </c>
      <c r="L851">
        <v>0</v>
      </c>
      <c r="M851">
        <v>0</v>
      </c>
      <c r="N851">
        <v>2400</v>
      </c>
    </row>
    <row r="852" spans="1:14" x14ac:dyDescent="0.25">
      <c r="A852">
        <v>503.55707200000001</v>
      </c>
      <c r="B852" s="1">
        <f>DATE(2011,9,16) + TIME(13,22,11)</f>
        <v>40802.557071759256</v>
      </c>
      <c r="C852">
        <v>1794.4249268000001</v>
      </c>
      <c r="D852">
        <v>1667.3218993999999</v>
      </c>
      <c r="E852">
        <v>802.31280518000005</v>
      </c>
      <c r="F852">
        <v>564.90191649999997</v>
      </c>
      <c r="G852">
        <v>80</v>
      </c>
      <c r="H852">
        <v>79.934570312000005</v>
      </c>
      <c r="I852">
        <v>50</v>
      </c>
      <c r="J852">
        <v>34.022789001</v>
      </c>
      <c r="K852">
        <v>2400</v>
      </c>
      <c r="L852">
        <v>0</v>
      </c>
      <c r="M852">
        <v>0</v>
      </c>
      <c r="N852">
        <v>2400</v>
      </c>
    </row>
    <row r="853" spans="1:14" x14ac:dyDescent="0.25">
      <c r="A853">
        <v>505.29881399999999</v>
      </c>
      <c r="B853" s="1">
        <f>DATE(2011,9,18) + TIME(7,10,17)</f>
        <v>40804.298807870371</v>
      </c>
      <c r="C853">
        <v>1794.0914307</v>
      </c>
      <c r="D853">
        <v>1666.9914550999999</v>
      </c>
      <c r="E853">
        <v>801.60089111000002</v>
      </c>
      <c r="F853">
        <v>563.40332031000003</v>
      </c>
      <c r="G853">
        <v>80</v>
      </c>
      <c r="H853">
        <v>79.934700011999993</v>
      </c>
      <c r="I853">
        <v>50</v>
      </c>
      <c r="J853">
        <v>33.870735168000003</v>
      </c>
      <c r="K853">
        <v>2400</v>
      </c>
      <c r="L853">
        <v>0</v>
      </c>
      <c r="M853">
        <v>0</v>
      </c>
      <c r="N853">
        <v>2400</v>
      </c>
    </row>
    <row r="854" spans="1:14" x14ac:dyDescent="0.25">
      <c r="A854">
        <v>507.04987399999999</v>
      </c>
      <c r="B854" s="1">
        <f>DATE(2011,9,20) + TIME(1,11,49)</f>
        <v>40806.049872685187</v>
      </c>
      <c r="C854">
        <v>1793.4755858999999</v>
      </c>
      <c r="D854">
        <v>1666.3813477000001</v>
      </c>
      <c r="E854">
        <v>800.19934081999997</v>
      </c>
      <c r="F854">
        <v>560.94049071999996</v>
      </c>
      <c r="G854">
        <v>80</v>
      </c>
      <c r="H854">
        <v>79.934814453000001</v>
      </c>
      <c r="I854">
        <v>50</v>
      </c>
      <c r="J854">
        <v>33.671985626000001</v>
      </c>
      <c r="K854">
        <v>2400</v>
      </c>
      <c r="L854">
        <v>0</v>
      </c>
      <c r="M854">
        <v>0</v>
      </c>
      <c r="N854">
        <v>2400</v>
      </c>
    </row>
    <row r="855" spans="1:14" x14ac:dyDescent="0.25">
      <c r="A855">
        <v>508.84051299999999</v>
      </c>
      <c r="B855" s="1">
        <f>DATE(2011,9,21) + TIME(20,10,20)</f>
        <v>40807.840509259258</v>
      </c>
      <c r="C855">
        <v>1792.8427733999999</v>
      </c>
      <c r="D855">
        <v>1665.7541504000001</v>
      </c>
      <c r="E855">
        <v>798.81774901999995</v>
      </c>
      <c r="F855">
        <v>558.41131591999999</v>
      </c>
      <c r="G855">
        <v>80</v>
      </c>
      <c r="H855">
        <v>79.934928893999995</v>
      </c>
      <c r="I855">
        <v>50</v>
      </c>
      <c r="J855">
        <v>33.457077026</v>
      </c>
      <c r="K855">
        <v>2400</v>
      </c>
      <c r="L855">
        <v>0</v>
      </c>
      <c r="M855">
        <v>0</v>
      </c>
      <c r="N855">
        <v>2400</v>
      </c>
    </row>
    <row r="856" spans="1:14" x14ac:dyDescent="0.25">
      <c r="A856">
        <v>510.64600799999999</v>
      </c>
      <c r="B856" s="1">
        <f>DATE(2011,9,23) + TIME(15,30,15)</f>
        <v>40809.646006944444</v>
      </c>
      <c r="C856">
        <v>1792.1977539</v>
      </c>
      <c r="D856">
        <v>1665.1148682</v>
      </c>
      <c r="E856">
        <v>797.44201659999999</v>
      </c>
      <c r="F856">
        <v>555.85638428000004</v>
      </c>
      <c r="G856">
        <v>80</v>
      </c>
      <c r="H856">
        <v>79.935050963999998</v>
      </c>
      <c r="I856">
        <v>50</v>
      </c>
      <c r="J856">
        <v>33.236610413000001</v>
      </c>
      <c r="K856">
        <v>2400</v>
      </c>
      <c r="L856">
        <v>0</v>
      </c>
      <c r="M856">
        <v>0</v>
      </c>
      <c r="N856">
        <v>2400</v>
      </c>
    </row>
    <row r="857" spans="1:14" x14ac:dyDescent="0.25">
      <c r="A857">
        <v>512.46281899999997</v>
      </c>
      <c r="B857" s="1">
        <f>DATE(2011,9,25) + TIME(11,6,27)</f>
        <v>40811.462812500002</v>
      </c>
      <c r="C857">
        <v>1791.5495605000001</v>
      </c>
      <c r="D857">
        <v>1664.4722899999999</v>
      </c>
      <c r="E857">
        <v>796.09790038999995</v>
      </c>
      <c r="F857">
        <v>553.32995604999996</v>
      </c>
      <c r="G857">
        <v>80</v>
      </c>
      <c r="H857">
        <v>79.935165405000006</v>
      </c>
      <c r="I857">
        <v>50</v>
      </c>
      <c r="J857">
        <v>33.015785217000001</v>
      </c>
      <c r="K857">
        <v>2400</v>
      </c>
      <c r="L857">
        <v>0</v>
      </c>
      <c r="M857">
        <v>0</v>
      </c>
      <c r="N857">
        <v>2400</v>
      </c>
    </row>
    <row r="858" spans="1:14" x14ac:dyDescent="0.25">
      <c r="A858">
        <v>514.291246</v>
      </c>
      <c r="B858" s="1">
        <f>DATE(2011,9,27) + TIME(6,59,23)</f>
        <v>40813.291238425925</v>
      </c>
      <c r="C858">
        <v>1790.8996582</v>
      </c>
      <c r="D858">
        <v>1663.8280029</v>
      </c>
      <c r="E858">
        <v>794.79302978999999</v>
      </c>
      <c r="F858">
        <v>550.85260010000002</v>
      </c>
      <c r="G858">
        <v>80</v>
      </c>
      <c r="H858">
        <v>79.935287475999999</v>
      </c>
      <c r="I858">
        <v>50</v>
      </c>
      <c r="J858">
        <v>32.796798705999997</v>
      </c>
      <c r="K858">
        <v>2400</v>
      </c>
      <c r="L858">
        <v>0</v>
      </c>
      <c r="M858">
        <v>0</v>
      </c>
      <c r="N858">
        <v>2400</v>
      </c>
    </row>
    <row r="859" spans="1:14" x14ac:dyDescent="0.25">
      <c r="A859">
        <v>516.13331500000004</v>
      </c>
      <c r="B859" s="1">
        <f>DATE(2011,9,29) + TIME(3,11,58)</f>
        <v>40815.133310185185</v>
      </c>
      <c r="C859">
        <v>1790.2480469</v>
      </c>
      <c r="D859">
        <v>1663.1820068</v>
      </c>
      <c r="E859">
        <v>793.53186034999999</v>
      </c>
      <c r="F859">
        <v>548.43511963000003</v>
      </c>
      <c r="G859">
        <v>80</v>
      </c>
      <c r="H859">
        <v>79.935409546000002</v>
      </c>
      <c r="I859">
        <v>50</v>
      </c>
      <c r="J859">
        <v>32.580623627000001</v>
      </c>
      <c r="K859">
        <v>2400</v>
      </c>
      <c r="L859">
        <v>0</v>
      </c>
      <c r="M859">
        <v>0</v>
      </c>
      <c r="N859">
        <v>2400</v>
      </c>
    </row>
    <row r="860" spans="1:14" x14ac:dyDescent="0.25">
      <c r="A860">
        <v>518</v>
      </c>
      <c r="B860" s="1">
        <f>DATE(2011,10,1) + TIME(0,0,0)</f>
        <v>40817</v>
      </c>
      <c r="C860">
        <v>1789.5938721</v>
      </c>
      <c r="D860">
        <v>1662.5333252</v>
      </c>
      <c r="E860">
        <v>792.31774901999995</v>
      </c>
      <c r="F860">
        <v>546.08349609000004</v>
      </c>
      <c r="G860">
        <v>80</v>
      </c>
      <c r="H860">
        <v>79.935531616000006</v>
      </c>
      <c r="I860">
        <v>50</v>
      </c>
      <c r="J860">
        <v>32.367416382000002</v>
      </c>
      <c r="K860">
        <v>2400</v>
      </c>
      <c r="L860">
        <v>0</v>
      </c>
      <c r="M860">
        <v>0</v>
      </c>
      <c r="N860">
        <v>2400</v>
      </c>
    </row>
    <row r="861" spans="1:14" x14ac:dyDescent="0.25">
      <c r="A861">
        <v>519.85798299999999</v>
      </c>
      <c r="B861" s="1">
        <f>DATE(2011,10,2) + TIME(20,35,29)</f>
        <v>40818.857974537037</v>
      </c>
      <c r="C861">
        <v>1788.9342041</v>
      </c>
      <c r="D861">
        <v>1661.8790283000001</v>
      </c>
      <c r="E861">
        <v>791.14831543000003</v>
      </c>
      <c r="F861">
        <v>543.80334473000005</v>
      </c>
      <c r="G861">
        <v>80</v>
      </c>
      <c r="H861">
        <v>79.935653686999999</v>
      </c>
      <c r="I861">
        <v>50</v>
      </c>
      <c r="J861">
        <v>32.158435822000001</v>
      </c>
      <c r="K861">
        <v>2400</v>
      </c>
      <c r="L861">
        <v>0</v>
      </c>
      <c r="M861">
        <v>0</v>
      </c>
      <c r="N861">
        <v>2400</v>
      </c>
    </row>
    <row r="862" spans="1:14" x14ac:dyDescent="0.25">
      <c r="A862">
        <v>521.73590200000001</v>
      </c>
      <c r="B862" s="1">
        <f>DATE(2011,10,4) + TIME(17,39,41)</f>
        <v>40820.735891203702</v>
      </c>
      <c r="C862">
        <v>1788.2786865</v>
      </c>
      <c r="D862">
        <v>1661.2288818</v>
      </c>
      <c r="E862">
        <v>790.04949951000003</v>
      </c>
      <c r="F862">
        <v>541.62805175999995</v>
      </c>
      <c r="G862">
        <v>80</v>
      </c>
      <c r="H862">
        <v>79.935768127000003</v>
      </c>
      <c r="I862">
        <v>50</v>
      </c>
      <c r="J862">
        <v>31.954605102999999</v>
      </c>
      <c r="K862">
        <v>2400</v>
      </c>
      <c r="L862">
        <v>0</v>
      </c>
      <c r="M862">
        <v>0</v>
      </c>
      <c r="N862">
        <v>2400</v>
      </c>
    </row>
    <row r="863" spans="1:14" x14ac:dyDescent="0.25">
      <c r="A863">
        <v>523.61735899999996</v>
      </c>
      <c r="B863" s="1">
        <f>DATE(2011,10,6) + TIME(14,48,59)</f>
        <v>40822.617349537039</v>
      </c>
      <c r="C863">
        <v>1787.6192627</v>
      </c>
      <c r="D863">
        <v>1660.574707</v>
      </c>
      <c r="E863">
        <v>789.00756836000005</v>
      </c>
      <c r="F863">
        <v>539.54614258000004</v>
      </c>
      <c r="G863">
        <v>80</v>
      </c>
      <c r="H863">
        <v>79.935890197999996</v>
      </c>
      <c r="I863">
        <v>50</v>
      </c>
      <c r="J863">
        <v>31.756128311000001</v>
      </c>
      <c r="K863">
        <v>2400</v>
      </c>
      <c r="L863">
        <v>0</v>
      </c>
      <c r="M863">
        <v>0</v>
      </c>
      <c r="N863">
        <v>2400</v>
      </c>
    </row>
    <row r="864" spans="1:14" x14ac:dyDescent="0.25">
      <c r="A864">
        <v>525.50696200000004</v>
      </c>
      <c r="B864" s="1">
        <f>DATE(2011,10,8) + TIME(12,10,1)</f>
        <v>40824.506956018522</v>
      </c>
      <c r="C864">
        <v>1786.9603271000001</v>
      </c>
      <c r="D864">
        <v>1659.9210204999999</v>
      </c>
      <c r="E864">
        <v>788.03613281000003</v>
      </c>
      <c r="F864">
        <v>537.57769774999997</v>
      </c>
      <c r="G864">
        <v>80</v>
      </c>
      <c r="H864">
        <v>79.936012267999999</v>
      </c>
      <c r="I864">
        <v>50</v>
      </c>
      <c r="J864">
        <v>31.563812255999999</v>
      </c>
      <c r="K864">
        <v>2400</v>
      </c>
      <c r="L864">
        <v>0</v>
      </c>
      <c r="M864">
        <v>0</v>
      </c>
      <c r="N864">
        <v>2400</v>
      </c>
    </row>
    <row r="865" spans="1:14" x14ac:dyDescent="0.25">
      <c r="A865">
        <v>527.41005399999995</v>
      </c>
      <c r="B865" s="1">
        <f>DATE(2011,10,10) + TIME(9,50,28)</f>
        <v>40826.410046296296</v>
      </c>
      <c r="C865">
        <v>1786.3007812000001</v>
      </c>
      <c r="D865">
        <v>1659.2666016000001</v>
      </c>
      <c r="E865">
        <v>787.13616943</v>
      </c>
      <c r="F865">
        <v>535.72680663999995</v>
      </c>
      <c r="G865">
        <v>80</v>
      </c>
      <c r="H865">
        <v>79.936134338000002</v>
      </c>
      <c r="I865">
        <v>50</v>
      </c>
      <c r="J865">
        <v>31.377923965000001</v>
      </c>
      <c r="K865">
        <v>2400</v>
      </c>
      <c r="L865">
        <v>0</v>
      </c>
      <c r="M865">
        <v>0</v>
      </c>
      <c r="N865">
        <v>2400</v>
      </c>
    </row>
    <row r="866" spans="1:14" x14ac:dyDescent="0.25">
      <c r="A866">
        <v>529.33648400000004</v>
      </c>
      <c r="B866" s="1">
        <f>DATE(2011,10,12) + TIME(8,4,32)</f>
        <v>40828.336481481485</v>
      </c>
      <c r="C866">
        <v>1785.6389160000001</v>
      </c>
      <c r="D866">
        <v>1658.6098632999999</v>
      </c>
      <c r="E866">
        <v>786.30853271000001</v>
      </c>
      <c r="F866">
        <v>533.99609375</v>
      </c>
      <c r="G866">
        <v>80</v>
      </c>
      <c r="H866">
        <v>79.936256408999995</v>
      </c>
      <c r="I866">
        <v>50</v>
      </c>
      <c r="J866">
        <v>31.198451995999999</v>
      </c>
      <c r="K866">
        <v>2400</v>
      </c>
      <c r="L866">
        <v>0</v>
      </c>
      <c r="M866">
        <v>0</v>
      </c>
      <c r="N866">
        <v>2400</v>
      </c>
    </row>
    <row r="867" spans="1:14" x14ac:dyDescent="0.25">
      <c r="A867">
        <v>531.27009999999996</v>
      </c>
      <c r="B867" s="1">
        <f>DATE(2011,10,14) + TIME(6,28,56)</f>
        <v>40830.270092592589</v>
      </c>
      <c r="C867">
        <v>1784.9720459</v>
      </c>
      <c r="D867">
        <v>1657.9479980000001</v>
      </c>
      <c r="E867">
        <v>785.55249022999999</v>
      </c>
      <c r="F867">
        <v>532.38934326000003</v>
      </c>
      <c r="G867">
        <v>80</v>
      </c>
      <c r="H867">
        <v>79.936378478999998</v>
      </c>
      <c r="I867">
        <v>50</v>
      </c>
      <c r="J867">
        <v>31.025978087999999</v>
      </c>
      <c r="K867">
        <v>2400</v>
      </c>
      <c r="L867">
        <v>0</v>
      </c>
      <c r="M867">
        <v>0</v>
      </c>
      <c r="N867">
        <v>2400</v>
      </c>
    </row>
    <row r="868" spans="1:14" x14ac:dyDescent="0.25">
      <c r="A868">
        <v>533.214156</v>
      </c>
      <c r="B868" s="1">
        <f>DATE(2011,10,16) + TIME(5,8,23)</f>
        <v>40832.214155092595</v>
      </c>
      <c r="C868">
        <v>1784.3050536999999</v>
      </c>
      <c r="D868">
        <v>1657.2858887</v>
      </c>
      <c r="E868">
        <v>784.87817383000004</v>
      </c>
      <c r="F868">
        <v>530.92309569999998</v>
      </c>
      <c r="G868">
        <v>80</v>
      </c>
      <c r="H868">
        <v>79.936500549000002</v>
      </c>
      <c r="I868">
        <v>50</v>
      </c>
      <c r="J868">
        <v>30.861469269000001</v>
      </c>
      <c r="K868">
        <v>2400</v>
      </c>
      <c r="L868">
        <v>0</v>
      </c>
      <c r="M868">
        <v>0</v>
      </c>
      <c r="N868">
        <v>2400</v>
      </c>
    </row>
    <row r="869" spans="1:14" x14ac:dyDescent="0.25">
      <c r="A869">
        <v>535.17387699999995</v>
      </c>
      <c r="B869" s="1">
        <f>DATE(2011,10,18) + TIME(4,10,22)</f>
        <v>40834.17386574074</v>
      </c>
      <c r="C869">
        <v>1783.6373291</v>
      </c>
      <c r="D869">
        <v>1656.6231689000001</v>
      </c>
      <c r="E869">
        <v>784.28613281000003</v>
      </c>
      <c r="F869">
        <v>529.60095215000001</v>
      </c>
      <c r="G869">
        <v>80</v>
      </c>
      <c r="H869">
        <v>79.936622619999994</v>
      </c>
      <c r="I869">
        <v>50</v>
      </c>
      <c r="J869">
        <v>30.705358505</v>
      </c>
      <c r="K869">
        <v>2400</v>
      </c>
      <c r="L869">
        <v>0</v>
      </c>
      <c r="M869">
        <v>0</v>
      </c>
      <c r="N869">
        <v>2400</v>
      </c>
    </row>
    <row r="870" spans="1:14" x14ac:dyDescent="0.25">
      <c r="A870">
        <v>537.14809500000001</v>
      </c>
      <c r="B870" s="1">
        <f>DATE(2011,10,20) + TIME(3,33,15)</f>
        <v>40836.148090277777</v>
      </c>
      <c r="C870">
        <v>1782.9677733999999</v>
      </c>
      <c r="D870">
        <v>1655.9584961</v>
      </c>
      <c r="E870">
        <v>783.77593993999994</v>
      </c>
      <c r="F870">
        <v>528.42541503999996</v>
      </c>
      <c r="G870">
        <v>80</v>
      </c>
      <c r="H870">
        <v>79.936744689999998</v>
      </c>
      <c r="I870">
        <v>50</v>
      </c>
      <c r="J870">
        <v>30.558027267</v>
      </c>
      <c r="K870">
        <v>2400</v>
      </c>
      <c r="L870">
        <v>0</v>
      </c>
      <c r="M870">
        <v>0</v>
      </c>
      <c r="N870">
        <v>2400</v>
      </c>
    </row>
    <row r="871" spans="1:14" x14ac:dyDescent="0.25">
      <c r="A871">
        <v>539.13849700000003</v>
      </c>
      <c r="B871" s="1">
        <f>DATE(2011,10,22) + TIME(3,19,26)</f>
        <v>40838.138495370367</v>
      </c>
      <c r="C871">
        <v>1782.296875</v>
      </c>
      <c r="D871">
        <v>1655.2923584</v>
      </c>
      <c r="E871">
        <v>783.34906006000006</v>
      </c>
      <c r="F871">
        <v>527.40063477000001</v>
      </c>
      <c r="G871">
        <v>80</v>
      </c>
      <c r="H871">
        <v>79.936866760000001</v>
      </c>
      <c r="I871">
        <v>50</v>
      </c>
      <c r="J871">
        <v>30.419925689999999</v>
      </c>
      <c r="K871">
        <v>2400</v>
      </c>
      <c r="L871">
        <v>0</v>
      </c>
      <c r="M871">
        <v>0</v>
      </c>
      <c r="N871">
        <v>2400</v>
      </c>
    </row>
    <row r="872" spans="1:14" x14ac:dyDescent="0.25">
      <c r="A872">
        <v>541.15061000000003</v>
      </c>
      <c r="B872" s="1">
        <f>DATE(2011,10,24) + TIME(3,36,52)</f>
        <v>40840.150601851848</v>
      </c>
      <c r="C872">
        <v>1781.6245117000001</v>
      </c>
      <c r="D872">
        <v>1654.6247559000001</v>
      </c>
      <c r="E872">
        <v>783.00543213000003</v>
      </c>
      <c r="F872">
        <v>526.52832031000003</v>
      </c>
      <c r="G872">
        <v>80</v>
      </c>
      <c r="H872">
        <v>79.936988830999994</v>
      </c>
      <c r="I872">
        <v>50</v>
      </c>
      <c r="J872">
        <v>30.291366577000002</v>
      </c>
      <c r="K872">
        <v>2400</v>
      </c>
      <c r="L872">
        <v>0</v>
      </c>
      <c r="M872">
        <v>0</v>
      </c>
      <c r="N872">
        <v>2400</v>
      </c>
    </row>
    <row r="873" spans="1:14" x14ac:dyDescent="0.25">
      <c r="A873">
        <v>543.19017399999996</v>
      </c>
      <c r="B873" s="1">
        <f>DATE(2011,10,26) + TIME(4,33,51)</f>
        <v>40842.19017361111</v>
      </c>
      <c r="C873">
        <v>1780.9492187999999</v>
      </c>
      <c r="D873">
        <v>1653.9541016000001</v>
      </c>
      <c r="E873">
        <v>782.74371338000003</v>
      </c>
      <c r="F873">
        <v>525.80810546999999</v>
      </c>
      <c r="G873">
        <v>80</v>
      </c>
      <c r="H873">
        <v>79.937118530000006</v>
      </c>
      <c r="I873">
        <v>50</v>
      </c>
      <c r="J873">
        <v>30.172576904</v>
      </c>
      <c r="K873">
        <v>2400</v>
      </c>
      <c r="L873">
        <v>0</v>
      </c>
      <c r="M873">
        <v>0</v>
      </c>
      <c r="N873">
        <v>2400</v>
      </c>
    </row>
    <row r="874" spans="1:14" x14ac:dyDescent="0.25">
      <c r="A874">
        <v>545.238606</v>
      </c>
      <c r="B874" s="1">
        <f>DATE(2011,10,28) + TIME(5,43,35)</f>
        <v>40844.238599537035</v>
      </c>
      <c r="C874">
        <v>1780.2701416</v>
      </c>
      <c r="D874">
        <v>1653.2796631000001</v>
      </c>
      <c r="E874">
        <v>782.56231689000003</v>
      </c>
      <c r="F874">
        <v>525.24078368999994</v>
      </c>
      <c r="G874">
        <v>80</v>
      </c>
      <c r="H874">
        <v>79.937240600999999</v>
      </c>
      <c r="I874">
        <v>50</v>
      </c>
      <c r="J874">
        <v>30.064188003999998</v>
      </c>
      <c r="K874">
        <v>2400</v>
      </c>
      <c r="L874">
        <v>0</v>
      </c>
      <c r="M874">
        <v>0</v>
      </c>
      <c r="N874">
        <v>2400</v>
      </c>
    </row>
    <row r="875" spans="1:14" x14ac:dyDescent="0.25">
      <c r="A875">
        <v>547.28924700000005</v>
      </c>
      <c r="B875" s="1">
        <f>DATE(2011,10,30) + TIME(6,56,30)</f>
        <v>40846.289236111108</v>
      </c>
      <c r="C875">
        <v>1779.5931396000001</v>
      </c>
      <c r="D875">
        <v>1652.6074219</v>
      </c>
      <c r="E875">
        <v>782.46179199000005</v>
      </c>
      <c r="F875">
        <v>524.82873534999999</v>
      </c>
      <c r="G875">
        <v>80</v>
      </c>
      <c r="H875">
        <v>79.937362671000002</v>
      </c>
      <c r="I875">
        <v>50</v>
      </c>
      <c r="J875">
        <v>29.967079163000001</v>
      </c>
      <c r="K875">
        <v>2400</v>
      </c>
      <c r="L875">
        <v>0</v>
      </c>
      <c r="M875">
        <v>0</v>
      </c>
      <c r="N875">
        <v>2400</v>
      </c>
    </row>
    <row r="876" spans="1:14" x14ac:dyDescent="0.25">
      <c r="A876">
        <v>549</v>
      </c>
      <c r="B876" s="1">
        <f>DATE(2011,11,1) + TIME(0,0,0)</f>
        <v>40848</v>
      </c>
      <c r="C876">
        <v>1778.9290771000001</v>
      </c>
      <c r="D876">
        <v>1651.947876</v>
      </c>
      <c r="E876">
        <v>782.42980956999997</v>
      </c>
      <c r="F876">
        <v>524.57659911999997</v>
      </c>
      <c r="G876">
        <v>80</v>
      </c>
      <c r="H876">
        <v>79.937461853000002</v>
      </c>
      <c r="I876">
        <v>50</v>
      </c>
      <c r="J876">
        <v>29.886711121000001</v>
      </c>
      <c r="K876">
        <v>2400</v>
      </c>
      <c r="L876">
        <v>0</v>
      </c>
      <c r="M876">
        <v>0</v>
      </c>
      <c r="N876">
        <v>2400</v>
      </c>
    </row>
    <row r="877" spans="1:14" x14ac:dyDescent="0.25">
      <c r="A877">
        <v>549.000001</v>
      </c>
      <c r="B877" s="1">
        <f>DATE(2011,11,1) + TIME(0,0,0)</f>
        <v>40848</v>
      </c>
      <c r="C877">
        <v>1651.0246582</v>
      </c>
      <c r="D877">
        <v>1524.8526611</v>
      </c>
      <c r="E877">
        <v>1039.4410399999999</v>
      </c>
      <c r="F877">
        <v>783.26177978999999</v>
      </c>
      <c r="G877">
        <v>80</v>
      </c>
      <c r="H877">
        <v>79.937332153</v>
      </c>
      <c r="I877">
        <v>50</v>
      </c>
      <c r="J877">
        <v>29.886825561999999</v>
      </c>
      <c r="K877">
        <v>0</v>
      </c>
      <c r="L877">
        <v>2400</v>
      </c>
      <c r="M877">
        <v>2400</v>
      </c>
      <c r="N877">
        <v>0</v>
      </c>
    </row>
    <row r="878" spans="1:14" x14ac:dyDescent="0.25">
      <c r="A878">
        <v>549.00000399999999</v>
      </c>
      <c r="B878" s="1">
        <f>DATE(2011,11,1) + TIME(0,0,0)</f>
        <v>40848</v>
      </c>
      <c r="C878">
        <v>1648.3099365</v>
      </c>
      <c r="D878">
        <v>1522.1358643000001</v>
      </c>
      <c r="E878">
        <v>1042.1230469</v>
      </c>
      <c r="F878">
        <v>785.73693848000005</v>
      </c>
      <c r="G878">
        <v>80</v>
      </c>
      <c r="H878">
        <v>79.936943053999997</v>
      </c>
      <c r="I878">
        <v>50</v>
      </c>
      <c r="J878">
        <v>29.887168884000001</v>
      </c>
      <c r="K878">
        <v>0</v>
      </c>
      <c r="L878">
        <v>2400</v>
      </c>
      <c r="M878">
        <v>2400</v>
      </c>
      <c r="N878">
        <v>0</v>
      </c>
    </row>
    <row r="879" spans="1:14" x14ac:dyDescent="0.25">
      <c r="A879">
        <v>549.00001299999997</v>
      </c>
      <c r="B879" s="1">
        <f>DATE(2011,11,1) + TIME(0,0,1)</f>
        <v>40848.000011574077</v>
      </c>
      <c r="C879">
        <v>1640.6208495999999</v>
      </c>
      <c r="D879">
        <v>1514.4414062000001</v>
      </c>
      <c r="E879">
        <v>1049.9454346</v>
      </c>
      <c r="F879">
        <v>792.98095703000001</v>
      </c>
      <c r="G879">
        <v>80</v>
      </c>
      <c r="H879">
        <v>79.935844420999999</v>
      </c>
      <c r="I879">
        <v>50</v>
      </c>
      <c r="J879">
        <v>29.888181685999999</v>
      </c>
      <c r="K879">
        <v>0</v>
      </c>
      <c r="L879">
        <v>2400</v>
      </c>
      <c r="M879">
        <v>2400</v>
      </c>
      <c r="N879">
        <v>0</v>
      </c>
    </row>
    <row r="880" spans="1:14" x14ac:dyDescent="0.25">
      <c r="A880">
        <v>549.00004000000001</v>
      </c>
      <c r="B880" s="1">
        <f>DATE(2011,11,1) + TIME(0,0,3)</f>
        <v>40848.000034722223</v>
      </c>
      <c r="C880">
        <v>1620.8767089999999</v>
      </c>
      <c r="D880">
        <v>1494.6862793</v>
      </c>
      <c r="E880">
        <v>1071.6048584</v>
      </c>
      <c r="F880">
        <v>813.22418213000003</v>
      </c>
      <c r="G880">
        <v>80</v>
      </c>
      <c r="H880">
        <v>79.933029175000001</v>
      </c>
      <c r="I880">
        <v>50</v>
      </c>
      <c r="J880">
        <v>29.891052246000001</v>
      </c>
      <c r="K880">
        <v>0</v>
      </c>
      <c r="L880">
        <v>2400</v>
      </c>
      <c r="M880">
        <v>2400</v>
      </c>
      <c r="N880">
        <v>0</v>
      </c>
    </row>
    <row r="881" spans="1:14" x14ac:dyDescent="0.25">
      <c r="A881">
        <v>549.00012100000004</v>
      </c>
      <c r="B881" s="1">
        <f>DATE(2011,11,1) + TIME(0,0,10)</f>
        <v>40848.000115740739</v>
      </c>
      <c r="C881">
        <v>1579.7756348</v>
      </c>
      <c r="D881">
        <v>1453.5699463000001</v>
      </c>
      <c r="E881">
        <v>1124.3331298999999</v>
      </c>
      <c r="F881">
        <v>863.47601318</v>
      </c>
      <c r="G881">
        <v>80</v>
      </c>
      <c r="H881">
        <v>79.927169800000001</v>
      </c>
      <c r="I881">
        <v>50</v>
      </c>
      <c r="J881">
        <v>29.898504256999999</v>
      </c>
      <c r="K881">
        <v>0</v>
      </c>
      <c r="L881">
        <v>2400</v>
      </c>
      <c r="M881">
        <v>2400</v>
      </c>
      <c r="N881">
        <v>0</v>
      </c>
    </row>
    <row r="882" spans="1:14" x14ac:dyDescent="0.25">
      <c r="A882">
        <v>549.00036399999999</v>
      </c>
      <c r="B882" s="1">
        <f>DATE(2011,11,1) + TIME(0,0,31)</f>
        <v>40848.000358796293</v>
      </c>
      <c r="C882">
        <v>1517.3665771000001</v>
      </c>
      <c r="D882">
        <v>1391.1794434000001</v>
      </c>
      <c r="E882">
        <v>1224.1053466999999</v>
      </c>
      <c r="F882">
        <v>961.35125731999995</v>
      </c>
      <c r="G882">
        <v>80</v>
      </c>
      <c r="H882">
        <v>79.918251037999994</v>
      </c>
      <c r="I882">
        <v>50</v>
      </c>
      <c r="J882">
        <v>29.914943695000002</v>
      </c>
      <c r="K882">
        <v>0</v>
      </c>
      <c r="L882">
        <v>2400</v>
      </c>
      <c r="M882">
        <v>2400</v>
      </c>
      <c r="N882">
        <v>0</v>
      </c>
    </row>
    <row r="883" spans="1:14" x14ac:dyDescent="0.25">
      <c r="A883">
        <v>549.00109299999997</v>
      </c>
      <c r="B883" s="1">
        <f>DATE(2011,11,1) + TIME(0,1,34)</f>
        <v>40848.001087962963</v>
      </c>
      <c r="C883">
        <v>1445.9841309000001</v>
      </c>
      <c r="D883">
        <v>1319.8631591999999</v>
      </c>
      <c r="E883">
        <v>1360.4479980000001</v>
      </c>
      <c r="F883">
        <v>1098.2315673999999</v>
      </c>
      <c r="G883">
        <v>80</v>
      </c>
      <c r="H883">
        <v>79.907928467000005</v>
      </c>
      <c r="I883">
        <v>50</v>
      </c>
      <c r="J883">
        <v>29.946523666000001</v>
      </c>
      <c r="K883">
        <v>0</v>
      </c>
      <c r="L883">
        <v>2400</v>
      </c>
      <c r="M883">
        <v>2400</v>
      </c>
      <c r="N883">
        <v>0</v>
      </c>
    </row>
    <row r="884" spans="1:14" x14ac:dyDescent="0.25">
      <c r="A884">
        <v>549.00328000000002</v>
      </c>
      <c r="B884" s="1">
        <f>DATE(2011,11,1) + TIME(0,4,43)</f>
        <v>40848.003275462965</v>
      </c>
      <c r="C884">
        <v>1373.4951172000001</v>
      </c>
      <c r="D884">
        <v>1247.5004882999999</v>
      </c>
      <c r="E884">
        <v>1508.3469238</v>
      </c>
      <c r="F884">
        <v>1247.854126</v>
      </c>
      <c r="G884">
        <v>80</v>
      </c>
      <c r="H884">
        <v>79.897056579999997</v>
      </c>
      <c r="I884">
        <v>50</v>
      </c>
      <c r="J884">
        <v>30.011333466</v>
      </c>
      <c r="K884">
        <v>0</v>
      </c>
      <c r="L884">
        <v>2400</v>
      </c>
      <c r="M884">
        <v>2400</v>
      </c>
      <c r="N884">
        <v>0</v>
      </c>
    </row>
    <row r="885" spans="1:14" x14ac:dyDescent="0.25">
      <c r="A885">
        <v>549.00984100000005</v>
      </c>
      <c r="B885" s="1">
        <f>DATE(2011,11,1) + TIME(0,14,10)</f>
        <v>40848.009837962964</v>
      </c>
      <c r="C885">
        <v>1300.3316649999999</v>
      </c>
      <c r="D885">
        <v>1174.5014647999999</v>
      </c>
      <c r="E885">
        <v>1658.9620361</v>
      </c>
      <c r="F885">
        <v>1400.5197754000001</v>
      </c>
      <c r="G885">
        <v>80</v>
      </c>
      <c r="H885">
        <v>79.884933472</v>
      </c>
      <c r="I885">
        <v>50</v>
      </c>
      <c r="J885">
        <v>30.170413970999999</v>
      </c>
      <c r="K885">
        <v>0</v>
      </c>
      <c r="L885">
        <v>2400</v>
      </c>
      <c r="M885">
        <v>2400</v>
      </c>
      <c r="N885">
        <v>0</v>
      </c>
    </row>
    <row r="886" spans="1:14" x14ac:dyDescent="0.25">
      <c r="A886">
        <v>549.02952400000004</v>
      </c>
      <c r="B886" s="1">
        <f>DATE(2011,11,1) + TIME(0,42,30)</f>
        <v>40848.029513888891</v>
      </c>
      <c r="C886">
        <v>1223.0413818</v>
      </c>
      <c r="D886">
        <v>1097.2794189000001</v>
      </c>
      <c r="E886">
        <v>1811.2026367000001</v>
      </c>
      <c r="F886">
        <v>1555.8005370999999</v>
      </c>
      <c r="G886">
        <v>80</v>
      </c>
      <c r="H886">
        <v>79.868843079000001</v>
      </c>
      <c r="I886">
        <v>50</v>
      </c>
      <c r="J886">
        <v>30.602859497000001</v>
      </c>
      <c r="K886">
        <v>0</v>
      </c>
      <c r="L886">
        <v>2400</v>
      </c>
      <c r="M886">
        <v>2400</v>
      </c>
      <c r="N886">
        <v>0</v>
      </c>
    </row>
    <row r="887" spans="1:14" x14ac:dyDescent="0.25">
      <c r="A887">
        <v>549.07375300000001</v>
      </c>
      <c r="B887" s="1">
        <f>DATE(2011,11,1) + TIME(1,46,12)</f>
        <v>40848.073750000003</v>
      </c>
      <c r="C887">
        <v>1151.833374</v>
      </c>
      <c r="D887">
        <v>1026.0327147999999</v>
      </c>
      <c r="E887">
        <v>1933.9210204999999</v>
      </c>
      <c r="F887">
        <v>1683.1838379000001</v>
      </c>
      <c r="G887">
        <v>80</v>
      </c>
      <c r="H887">
        <v>79.847557068</v>
      </c>
      <c r="I887">
        <v>50</v>
      </c>
      <c r="J887">
        <v>31.506618499999998</v>
      </c>
      <c r="K887">
        <v>0</v>
      </c>
      <c r="L887">
        <v>2400</v>
      </c>
      <c r="M887">
        <v>2400</v>
      </c>
      <c r="N887">
        <v>0</v>
      </c>
    </row>
    <row r="888" spans="1:14" x14ac:dyDescent="0.25">
      <c r="A888">
        <v>549.12126999999998</v>
      </c>
      <c r="B888" s="1">
        <f>DATE(2011,11,1) + TIME(2,54,37)</f>
        <v>40848.121261574073</v>
      </c>
      <c r="C888">
        <v>1109.8964844</v>
      </c>
      <c r="D888">
        <v>984.06384276999995</v>
      </c>
      <c r="E888">
        <v>1996.2347411999999</v>
      </c>
      <c r="F888">
        <v>1749.7078856999999</v>
      </c>
      <c r="G888">
        <v>80</v>
      </c>
      <c r="H888">
        <v>79.829536438000005</v>
      </c>
      <c r="I888">
        <v>50</v>
      </c>
      <c r="J888">
        <v>32.424591063999998</v>
      </c>
      <c r="K888">
        <v>0</v>
      </c>
      <c r="L888">
        <v>2400</v>
      </c>
      <c r="M888">
        <v>2400</v>
      </c>
      <c r="N888">
        <v>0</v>
      </c>
    </row>
    <row r="889" spans="1:14" x14ac:dyDescent="0.25">
      <c r="A889">
        <v>549.17149500000005</v>
      </c>
      <c r="B889" s="1">
        <f>DATE(2011,11,1) + TIME(4,6,57)</f>
        <v>40848.171493055554</v>
      </c>
      <c r="C889">
        <v>1082.3649902</v>
      </c>
      <c r="D889">
        <v>956.51257324000005</v>
      </c>
      <c r="E889">
        <v>2031.5754394999999</v>
      </c>
      <c r="F889">
        <v>1789.0169678</v>
      </c>
      <c r="G889">
        <v>80</v>
      </c>
      <c r="H889">
        <v>79.812957764000004</v>
      </c>
      <c r="I889">
        <v>50</v>
      </c>
      <c r="J889">
        <v>33.344001769999998</v>
      </c>
      <c r="K889">
        <v>0</v>
      </c>
      <c r="L889">
        <v>2400</v>
      </c>
      <c r="M889">
        <v>2400</v>
      </c>
      <c r="N889">
        <v>0</v>
      </c>
    </row>
    <row r="890" spans="1:14" x14ac:dyDescent="0.25">
      <c r="A890">
        <v>549.22445400000004</v>
      </c>
      <c r="B890" s="1">
        <f>DATE(2011,11,1) + TIME(5,23,12)</f>
        <v>40848.224444444444</v>
      </c>
      <c r="C890">
        <v>1063.1278076000001</v>
      </c>
      <c r="D890">
        <v>937.26196288999995</v>
      </c>
      <c r="E890">
        <v>2052.6787109000002</v>
      </c>
      <c r="F890">
        <v>1813.9147949000001</v>
      </c>
      <c r="G890">
        <v>80</v>
      </c>
      <c r="H890">
        <v>79.797004700000002</v>
      </c>
      <c r="I890">
        <v>50</v>
      </c>
      <c r="J890">
        <v>34.261653899999999</v>
      </c>
      <c r="K890">
        <v>0</v>
      </c>
      <c r="L890">
        <v>2400</v>
      </c>
      <c r="M890">
        <v>2400</v>
      </c>
      <c r="N890">
        <v>0</v>
      </c>
    </row>
    <row r="891" spans="1:14" x14ac:dyDescent="0.25">
      <c r="A891">
        <v>549.280348</v>
      </c>
      <c r="B891" s="1">
        <f>DATE(2011,11,1) + TIME(6,43,42)</f>
        <v>40848.280347222222</v>
      </c>
      <c r="C891">
        <v>1049.1667480000001</v>
      </c>
      <c r="D891">
        <v>923.29022216999999</v>
      </c>
      <c r="E891">
        <v>2065.3706054999998</v>
      </c>
      <c r="F891">
        <v>1830.2524414</v>
      </c>
      <c r="G891">
        <v>80</v>
      </c>
      <c r="H891">
        <v>79.781242371000005</v>
      </c>
      <c r="I891">
        <v>50</v>
      </c>
      <c r="J891">
        <v>35.176174164000003</v>
      </c>
      <c r="K891">
        <v>0</v>
      </c>
      <c r="L891">
        <v>2400</v>
      </c>
      <c r="M891">
        <v>2400</v>
      </c>
      <c r="N891">
        <v>0</v>
      </c>
    </row>
    <row r="892" spans="1:14" x14ac:dyDescent="0.25">
      <c r="A892">
        <v>549.33947000000001</v>
      </c>
      <c r="B892" s="1">
        <f>DATE(2011,11,1) + TIME(8,8,50)</f>
        <v>40848.339467592596</v>
      </c>
      <c r="C892">
        <v>1038.8038329999999</v>
      </c>
      <c r="D892">
        <v>912.91815185999997</v>
      </c>
      <c r="E892">
        <v>2072.6914062000001</v>
      </c>
      <c r="F892">
        <v>1841.0836182</v>
      </c>
      <c r="G892">
        <v>80</v>
      </c>
      <c r="H892">
        <v>79.765403747999997</v>
      </c>
      <c r="I892">
        <v>50</v>
      </c>
      <c r="J892">
        <v>36.086738586000003</v>
      </c>
      <c r="K892">
        <v>0</v>
      </c>
      <c r="L892">
        <v>2400</v>
      </c>
      <c r="M892">
        <v>2400</v>
      </c>
      <c r="N892">
        <v>0</v>
      </c>
    </row>
    <row r="893" spans="1:14" x14ac:dyDescent="0.25">
      <c r="A893">
        <v>549.402197</v>
      </c>
      <c r="B893" s="1">
        <f>DATE(2011,11,1) + TIME(9,39,9)</f>
        <v>40848.402187500003</v>
      </c>
      <c r="C893">
        <v>1031.0183105000001</v>
      </c>
      <c r="D893">
        <v>905.12408446999996</v>
      </c>
      <c r="E893">
        <v>2076.3950195000002</v>
      </c>
      <c r="F893">
        <v>1848.1704102000001</v>
      </c>
      <c r="G893">
        <v>80</v>
      </c>
      <c r="H893">
        <v>79.749298096000004</v>
      </c>
      <c r="I893">
        <v>50</v>
      </c>
      <c r="J893">
        <v>36.992698668999999</v>
      </c>
      <c r="K893">
        <v>0</v>
      </c>
      <c r="L893">
        <v>2400</v>
      </c>
      <c r="M893">
        <v>2400</v>
      </c>
      <c r="N893">
        <v>0</v>
      </c>
    </row>
    <row r="894" spans="1:14" x14ac:dyDescent="0.25">
      <c r="A894">
        <v>549.46899299999995</v>
      </c>
      <c r="B894" s="1">
        <f>DATE(2011,11,1) + TIME(11,15,20)</f>
        <v>40848.468981481485</v>
      </c>
      <c r="C894">
        <v>1025.1390381000001</v>
      </c>
      <c r="D894">
        <v>899.23663329999999</v>
      </c>
      <c r="E894">
        <v>2077.5803222999998</v>
      </c>
      <c r="F894">
        <v>1852.6170654</v>
      </c>
      <c r="G894">
        <v>80</v>
      </c>
      <c r="H894">
        <v>79.732749939000001</v>
      </c>
      <c r="I894">
        <v>50</v>
      </c>
      <c r="J894">
        <v>37.893444060999997</v>
      </c>
      <c r="K894">
        <v>0</v>
      </c>
      <c r="L894">
        <v>2400</v>
      </c>
      <c r="M894">
        <v>2400</v>
      </c>
      <c r="N894">
        <v>0</v>
      </c>
    </row>
    <row r="895" spans="1:14" x14ac:dyDescent="0.25">
      <c r="A895">
        <v>549.54042300000003</v>
      </c>
      <c r="B895" s="1">
        <f>DATE(2011,11,1) + TIME(12,58,12)</f>
        <v>40848.540416666663</v>
      </c>
      <c r="C895">
        <v>1020.6962890999999</v>
      </c>
      <c r="D895">
        <v>894.78588866999996</v>
      </c>
      <c r="E895">
        <v>2076.9833984000002</v>
      </c>
      <c r="F895">
        <v>1855.1640625</v>
      </c>
      <c r="G895">
        <v>80</v>
      </c>
      <c r="H895">
        <v>79.715599060000002</v>
      </c>
      <c r="I895">
        <v>50</v>
      </c>
      <c r="J895">
        <v>38.788307189999998</v>
      </c>
      <c r="K895">
        <v>0</v>
      </c>
      <c r="L895">
        <v>2400</v>
      </c>
      <c r="M895">
        <v>2400</v>
      </c>
      <c r="N895">
        <v>0</v>
      </c>
    </row>
    <row r="896" spans="1:14" x14ac:dyDescent="0.25">
      <c r="A896">
        <v>549.61718599999995</v>
      </c>
      <c r="B896" s="1">
        <f>DATE(2011,11,1) + TIME(14,48,44)</f>
        <v>40848.617175925923</v>
      </c>
      <c r="C896">
        <v>1017.3453369</v>
      </c>
      <c r="D896">
        <v>891.42694091999999</v>
      </c>
      <c r="E896">
        <v>2075.1235351999999</v>
      </c>
      <c r="F896">
        <v>1856.3341064000001</v>
      </c>
      <c r="G896">
        <v>80</v>
      </c>
      <c r="H896">
        <v>79.697692871000001</v>
      </c>
      <c r="I896">
        <v>50</v>
      </c>
      <c r="J896">
        <v>39.676555634000003</v>
      </c>
      <c r="K896">
        <v>0</v>
      </c>
      <c r="L896">
        <v>2400</v>
      </c>
      <c r="M896">
        <v>2400</v>
      </c>
      <c r="N896">
        <v>0</v>
      </c>
    </row>
    <row r="897" spans="1:14" x14ac:dyDescent="0.25">
      <c r="A897">
        <v>549.70015000000001</v>
      </c>
      <c r="B897" s="1">
        <f>DATE(2011,11,1) + TIME(16,48,12)</f>
        <v>40848.700138888889</v>
      </c>
      <c r="C897">
        <v>1014.8253174</v>
      </c>
      <c r="D897">
        <v>888.89880371000004</v>
      </c>
      <c r="E897">
        <v>2072.3801269999999</v>
      </c>
      <c r="F897">
        <v>1856.5090332</v>
      </c>
      <c r="G897">
        <v>80</v>
      </c>
      <c r="H897">
        <v>79.678848267000006</v>
      </c>
      <c r="I897">
        <v>50</v>
      </c>
      <c r="J897">
        <v>40.557464600000003</v>
      </c>
      <c r="K897">
        <v>0</v>
      </c>
      <c r="L897">
        <v>2400</v>
      </c>
      <c r="M897">
        <v>2400</v>
      </c>
      <c r="N897">
        <v>0</v>
      </c>
    </row>
    <row r="898" spans="1:14" x14ac:dyDescent="0.25">
      <c r="A898">
        <v>549.79040999999995</v>
      </c>
      <c r="B898" s="1">
        <f>DATE(2011,11,1) + TIME(18,58,11)</f>
        <v>40848.790405092594</v>
      </c>
      <c r="C898">
        <v>1012.9356079</v>
      </c>
      <c r="D898">
        <v>887.00073241999996</v>
      </c>
      <c r="E898">
        <v>2069.0356445000002</v>
      </c>
      <c r="F898">
        <v>1855.9725341999999</v>
      </c>
      <c r="G898">
        <v>80</v>
      </c>
      <c r="H898">
        <v>79.658859253000003</v>
      </c>
      <c r="I898">
        <v>50</v>
      </c>
      <c r="J898">
        <v>41.429946899000001</v>
      </c>
      <c r="K898">
        <v>0</v>
      </c>
      <c r="L898">
        <v>2400</v>
      </c>
      <c r="M898">
        <v>2400</v>
      </c>
      <c r="N898">
        <v>0</v>
      </c>
    </row>
    <row r="899" spans="1:14" x14ac:dyDescent="0.25">
      <c r="A899">
        <v>549.88934700000004</v>
      </c>
      <c r="B899" s="1">
        <f>DATE(2011,11,1) + TIME(21,20,39)</f>
        <v>40848.889340277776</v>
      </c>
      <c r="C899">
        <v>1011.5214233</v>
      </c>
      <c r="D899">
        <v>885.57781981999995</v>
      </c>
      <c r="E899">
        <v>2065.3020019999999</v>
      </c>
      <c r="F899">
        <v>1854.9367675999999</v>
      </c>
      <c r="G899">
        <v>80</v>
      </c>
      <c r="H899">
        <v>79.637496948000006</v>
      </c>
      <c r="I899">
        <v>50</v>
      </c>
      <c r="J899">
        <v>42.292472838999998</v>
      </c>
      <c r="K899">
        <v>0</v>
      </c>
      <c r="L899">
        <v>2400</v>
      </c>
      <c r="M899">
        <v>2400</v>
      </c>
      <c r="N899">
        <v>0</v>
      </c>
    </row>
    <row r="900" spans="1:14" x14ac:dyDescent="0.25">
      <c r="A900">
        <v>549.99881200000004</v>
      </c>
      <c r="B900" s="1">
        <f>DATE(2011,11,1) + TIME(23,58,17)</f>
        <v>40848.998807870368</v>
      </c>
      <c r="C900">
        <v>1010.4628296</v>
      </c>
      <c r="D900">
        <v>884.50994873000002</v>
      </c>
      <c r="E900">
        <v>2061.3356933999999</v>
      </c>
      <c r="F900">
        <v>1853.5579834</v>
      </c>
      <c r="G900">
        <v>80</v>
      </c>
      <c r="H900">
        <v>79.614448546999995</v>
      </c>
      <c r="I900">
        <v>50</v>
      </c>
      <c r="J900">
        <v>43.143604279000002</v>
      </c>
      <c r="K900">
        <v>0</v>
      </c>
      <c r="L900">
        <v>2400</v>
      </c>
      <c r="M900">
        <v>2400</v>
      </c>
      <c r="N900">
        <v>0</v>
      </c>
    </row>
    <row r="901" spans="1:14" x14ac:dyDescent="0.25">
      <c r="A901">
        <v>550.12126599999999</v>
      </c>
      <c r="B901" s="1">
        <f>DATE(2011,11,2) + TIME(2,54,37)</f>
        <v>40849.121261574073</v>
      </c>
      <c r="C901">
        <v>1009.6682739</v>
      </c>
      <c r="D901">
        <v>883.70544433999999</v>
      </c>
      <c r="E901">
        <v>2057.25</v>
      </c>
      <c r="F901">
        <v>1851.947876</v>
      </c>
      <c r="G901">
        <v>80</v>
      </c>
      <c r="H901">
        <v>79.589324950999995</v>
      </c>
      <c r="I901">
        <v>50</v>
      </c>
      <c r="J901">
        <v>43.981315613</v>
      </c>
      <c r="K901">
        <v>0</v>
      </c>
      <c r="L901">
        <v>2400</v>
      </c>
      <c r="M901">
        <v>2400</v>
      </c>
      <c r="N901">
        <v>0</v>
      </c>
    </row>
    <row r="902" spans="1:14" x14ac:dyDescent="0.25">
      <c r="A902">
        <v>550.26009699999997</v>
      </c>
      <c r="B902" s="1">
        <f>DATE(2011,11,2) + TIME(6,14,32)</f>
        <v>40849.260092592594</v>
      </c>
      <c r="C902">
        <v>1009.0684204</v>
      </c>
      <c r="D902">
        <v>883.09466553000004</v>
      </c>
      <c r="E902">
        <v>2053.1254883000001</v>
      </c>
      <c r="F902">
        <v>1850.1826172000001</v>
      </c>
      <c r="G902">
        <v>80</v>
      </c>
      <c r="H902">
        <v>79.561607361</v>
      </c>
      <c r="I902">
        <v>50</v>
      </c>
      <c r="J902">
        <v>44.802959442000002</v>
      </c>
      <c r="K902">
        <v>0</v>
      </c>
      <c r="L902">
        <v>2400</v>
      </c>
      <c r="M902">
        <v>2400</v>
      </c>
      <c r="N902">
        <v>0</v>
      </c>
    </row>
    <row r="903" spans="1:14" x14ac:dyDescent="0.25">
      <c r="A903">
        <v>550.42013699999995</v>
      </c>
      <c r="B903" s="1">
        <f>DATE(2011,11,2) + TIME(10,4,59)</f>
        <v>40849.420127314814</v>
      </c>
      <c r="C903">
        <v>1008.6109619</v>
      </c>
      <c r="D903">
        <v>882.62512206999997</v>
      </c>
      <c r="E903">
        <v>2049.0144043</v>
      </c>
      <c r="F903">
        <v>1848.3087158000001</v>
      </c>
      <c r="G903">
        <v>80</v>
      </c>
      <c r="H903">
        <v>79.530593871999997</v>
      </c>
      <c r="I903">
        <v>50</v>
      </c>
      <c r="J903">
        <v>45.604980468999997</v>
      </c>
      <c r="K903">
        <v>0</v>
      </c>
      <c r="L903">
        <v>2400</v>
      </c>
      <c r="M903">
        <v>2400</v>
      </c>
      <c r="N903">
        <v>0</v>
      </c>
    </row>
    <row r="904" spans="1:14" x14ac:dyDescent="0.25">
      <c r="A904">
        <v>550.51424099999997</v>
      </c>
      <c r="B904" s="1">
        <f>DATE(2011,11,2) + TIME(12,20,30)</f>
        <v>40849.514236111114</v>
      </c>
      <c r="C904">
        <v>1008.3713989</v>
      </c>
      <c r="D904">
        <v>882.38525390999996</v>
      </c>
      <c r="E904">
        <v>2046.4238281</v>
      </c>
      <c r="F904">
        <v>1846.8436279</v>
      </c>
      <c r="G904">
        <v>80</v>
      </c>
      <c r="H904">
        <v>79.511116028000004</v>
      </c>
      <c r="I904">
        <v>50</v>
      </c>
      <c r="J904">
        <v>46.031120299999998</v>
      </c>
      <c r="K904">
        <v>0</v>
      </c>
      <c r="L904">
        <v>2400</v>
      </c>
      <c r="M904">
        <v>2400</v>
      </c>
      <c r="N904">
        <v>0</v>
      </c>
    </row>
    <row r="905" spans="1:14" x14ac:dyDescent="0.25">
      <c r="A905">
        <v>550.702449</v>
      </c>
      <c r="B905" s="1">
        <f>DATE(2011,11,2) + TIME(16,51,31)</f>
        <v>40849.70244212963</v>
      </c>
      <c r="C905">
        <v>1008.1044312</v>
      </c>
      <c r="D905">
        <v>882.09820557</v>
      </c>
      <c r="E905">
        <v>2043.0339355000001</v>
      </c>
      <c r="F905">
        <v>1845.3538818</v>
      </c>
      <c r="G905">
        <v>80</v>
      </c>
      <c r="H905">
        <v>79.476158142000003</v>
      </c>
      <c r="I905">
        <v>50</v>
      </c>
      <c r="J905">
        <v>46.732494354000004</v>
      </c>
      <c r="K905">
        <v>0</v>
      </c>
      <c r="L905">
        <v>2400</v>
      </c>
      <c r="M905">
        <v>2400</v>
      </c>
      <c r="N905">
        <v>0</v>
      </c>
    </row>
    <row r="906" spans="1:14" x14ac:dyDescent="0.25">
      <c r="A906">
        <v>550.89125200000001</v>
      </c>
      <c r="B906" s="1">
        <f>DATE(2011,11,2) + TIME(21,23,24)</f>
        <v>40849.891250000001</v>
      </c>
      <c r="C906">
        <v>1007.8881226</v>
      </c>
      <c r="D906">
        <v>881.87097168000003</v>
      </c>
      <c r="E906">
        <v>2039.7460937999999</v>
      </c>
      <c r="F906">
        <v>1843.5489502</v>
      </c>
      <c r="G906">
        <v>80</v>
      </c>
      <c r="H906">
        <v>79.441062927000004</v>
      </c>
      <c r="I906">
        <v>50</v>
      </c>
      <c r="J906">
        <v>47.310771942000002</v>
      </c>
      <c r="K906">
        <v>0</v>
      </c>
      <c r="L906">
        <v>2400</v>
      </c>
      <c r="M906">
        <v>2400</v>
      </c>
      <c r="N906">
        <v>0</v>
      </c>
    </row>
    <row r="907" spans="1:14" x14ac:dyDescent="0.25">
      <c r="A907">
        <v>551.08508600000005</v>
      </c>
      <c r="B907" s="1">
        <f>DATE(2011,11,3) + TIME(2,2,31)</f>
        <v>40850.085081018522</v>
      </c>
      <c r="C907">
        <v>1007.7172241</v>
      </c>
      <c r="D907">
        <v>881.68841553000004</v>
      </c>
      <c r="E907">
        <v>2036.8781738</v>
      </c>
      <c r="F907">
        <v>1841.8922118999999</v>
      </c>
      <c r="G907">
        <v>80</v>
      </c>
      <c r="H907">
        <v>79.405204772999994</v>
      </c>
      <c r="I907">
        <v>50</v>
      </c>
      <c r="J907">
        <v>47.796051024999997</v>
      </c>
      <c r="K907">
        <v>0</v>
      </c>
      <c r="L907">
        <v>2400</v>
      </c>
      <c r="M907">
        <v>2400</v>
      </c>
      <c r="N907">
        <v>0</v>
      </c>
    </row>
    <row r="908" spans="1:14" x14ac:dyDescent="0.25">
      <c r="A908">
        <v>551.28556900000001</v>
      </c>
      <c r="B908" s="1">
        <f>DATE(2011,11,3) + TIME(6,51,13)</f>
        <v>40850.285567129627</v>
      </c>
      <c r="C908">
        <v>1007.5749512</v>
      </c>
      <c r="D908">
        <v>881.53405762</v>
      </c>
      <c r="E908">
        <v>2034.3420410000001</v>
      </c>
      <c r="F908">
        <v>1840.3447266000001</v>
      </c>
      <c r="G908">
        <v>80</v>
      </c>
      <c r="H908">
        <v>79.368370056000003</v>
      </c>
      <c r="I908">
        <v>50</v>
      </c>
      <c r="J908">
        <v>48.203487396</v>
      </c>
      <c r="K908">
        <v>0</v>
      </c>
      <c r="L908">
        <v>2400</v>
      </c>
      <c r="M908">
        <v>2400</v>
      </c>
      <c r="N908">
        <v>0</v>
      </c>
    </row>
    <row r="909" spans="1:14" x14ac:dyDescent="0.25">
      <c r="A909">
        <v>551.494642</v>
      </c>
      <c r="B909" s="1">
        <f>DATE(2011,11,3) + TIME(11,52,17)</f>
        <v>40850.494641203702</v>
      </c>
      <c r="C909">
        <v>1007.4504395</v>
      </c>
      <c r="D909">
        <v>881.39685058999999</v>
      </c>
      <c r="E909">
        <v>2032.0731201000001</v>
      </c>
      <c r="F909">
        <v>1838.8813477000001</v>
      </c>
      <c r="G909">
        <v>80</v>
      </c>
      <c r="H909">
        <v>79.330268860000004</v>
      </c>
      <c r="I909">
        <v>50</v>
      </c>
      <c r="J909">
        <v>48.545440673999998</v>
      </c>
      <c r="K909">
        <v>0</v>
      </c>
      <c r="L909">
        <v>2400</v>
      </c>
      <c r="M909">
        <v>2400</v>
      </c>
      <c r="N909">
        <v>0</v>
      </c>
    </row>
    <row r="910" spans="1:14" x14ac:dyDescent="0.25">
      <c r="A910">
        <v>551.71442500000001</v>
      </c>
      <c r="B910" s="1">
        <f>DATE(2011,11,3) + TIME(17,8,46)</f>
        <v>40850.714421296296</v>
      </c>
      <c r="C910">
        <v>1007.3362427</v>
      </c>
      <c r="D910">
        <v>881.26928711000005</v>
      </c>
      <c r="E910">
        <v>2030.0195312000001</v>
      </c>
      <c r="F910">
        <v>1837.4804687999999</v>
      </c>
      <c r="G910">
        <v>80</v>
      </c>
      <c r="H910">
        <v>79.290603637999993</v>
      </c>
      <c r="I910">
        <v>50</v>
      </c>
      <c r="J910">
        <v>48.831745148000003</v>
      </c>
      <c r="K910">
        <v>0</v>
      </c>
      <c r="L910">
        <v>2400</v>
      </c>
      <c r="M910">
        <v>2400</v>
      </c>
      <c r="N910">
        <v>0</v>
      </c>
    </row>
    <row r="911" spans="1:14" x14ac:dyDescent="0.25">
      <c r="A911">
        <v>551.947362</v>
      </c>
      <c r="B911" s="1">
        <f>DATE(2011,11,3) + TIME(22,44,12)</f>
        <v>40850.94736111111</v>
      </c>
      <c r="C911">
        <v>1007.2268677</v>
      </c>
      <c r="D911">
        <v>881.14587401999995</v>
      </c>
      <c r="E911">
        <v>2028.1389160000001</v>
      </c>
      <c r="F911">
        <v>1836.1240233999999</v>
      </c>
      <c r="G911">
        <v>80</v>
      </c>
      <c r="H911">
        <v>79.249031067000004</v>
      </c>
      <c r="I911">
        <v>50</v>
      </c>
      <c r="J911">
        <v>49.070434570000003</v>
      </c>
      <c r="K911">
        <v>0</v>
      </c>
      <c r="L911">
        <v>2400</v>
      </c>
      <c r="M911">
        <v>2400</v>
      </c>
      <c r="N911">
        <v>0</v>
      </c>
    </row>
    <row r="912" spans="1:14" x14ac:dyDescent="0.25">
      <c r="A912">
        <v>552.19636400000002</v>
      </c>
      <c r="B912" s="1">
        <f>DATE(2011,11,4) + TIME(4,42,45)</f>
        <v>40851.19635416667</v>
      </c>
      <c r="C912">
        <v>1007.1184082</v>
      </c>
      <c r="D912">
        <v>881.02246093999997</v>
      </c>
      <c r="E912">
        <v>2026.3957519999999</v>
      </c>
      <c r="F912">
        <v>1834.7958983999999</v>
      </c>
      <c r="G912">
        <v>80</v>
      </c>
      <c r="H912">
        <v>79.205139160000002</v>
      </c>
      <c r="I912">
        <v>50</v>
      </c>
      <c r="J912">
        <v>49.268188477000002</v>
      </c>
      <c r="K912">
        <v>0</v>
      </c>
      <c r="L912">
        <v>2400</v>
      </c>
      <c r="M912">
        <v>2400</v>
      </c>
      <c r="N912">
        <v>0</v>
      </c>
    </row>
    <row r="913" spans="1:14" x14ac:dyDescent="0.25">
      <c r="A913">
        <v>552.46499100000005</v>
      </c>
      <c r="B913" s="1">
        <f>DATE(2011,11,4) + TIME(11,9,35)</f>
        <v>40851.464988425927</v>
      </c>
      <c r="C913">
        <v>1007.0076294</v>
      </c>
      <c r="D913">
        <v>880.89562988</v>
      </c>
      <c r="E913">
        <v>2024.7596435999999</v>
      </c>
      <c r="F913">
        <v>1833.4813231999999</v>
      </c>
      <c r="G913">
        <v>80</v>
      </c>
      <c r="H913">
        <v>79.158447265999996</v>
      </c>
      <c r="I913">
        <v>50</v>
      </c>
      <c r="J913">
        <v>49.430648804</v>
      </c>
      <c r="K913">
        <v>0</v>
      </c>
      <c r="L913">
        <v>2400</v>
      </c>
      <c r="M913">
        <v>2400</v>
      </c>
      <c r="N913">
        <v>0</v>
      </c>
    </row>
    <row r="914" spans="1:14" x14ac:dyDescent="0.25">
      <c r="A914">
        <v>552.75786300000004</v>
      </c>
      <c r="B914" s="1">
        <f>DATE(2011,11,4) + TIME(18,11,19)</f>
        <v>40851.7578587963</v>
      </c>
      <c r="C914">
        <v>1006.8915405</v>
      </c>
      <c r="D914">
        <v>880.76232909999999</v>
      </c>
      <c r="E914">
        <v>2023.2028809000001</v>
      </c>
      <c r="F914">
        <v>1832.1661377</v>
      </c>
      <c r="G914">
        <v>80</v>
      </c>
      <c r="H914">
        <v>79.108322143999999</v>
      </c>
      <c r="I914">
        <v>50</v>
      </c>
      <c r="J914">
        <v>49.562709808000001</v>
      </c>
      <c r="K914">
        <v>0</v>
      </c>
      <c r="L914">
        <v>2400</v>
      </c>
      <c r="M914">
        <v>2400</v>
      </c>
      <c r="N914">
        <v>0</v>
      </c>
    </row>
    <row r="915" spans="1:14" x14ac:dyDescent="0.25">
      <c r="A915">
        <v>553.07502299999999</v>
      </c>
      <c r="B915" s="1">
        <f>DATE(2011,11,5) + TIME(1,48,1)</f>
        <v>40852.075011574074</v>
      </c>
      <c r="C915">
        <v>1006.7674561</v>
      </c>
      <c r="D915">
        <v>880.62011718999997</v>
      </c>
      <c r="E915">
        <v>2021.7048339999999</v>
      </c>
      <c r="F915">
        <v>1830.8371582</v>
      </c>
      <c r="G915">
        <v>80</v>
      </c>
      <c r="H915">
        <v>79.054695128999995</v>
      </c>
      <c r="I915">
        <v>50</v>
      </c>
      <c r="J915">
        <v>49.667179107999999</v>
      </c>
      <c r="K915">
        <v>0</v>
      </c>
      <c r="L915">
        <v>2400</v>
      </c>
      <c r="M915">
        <v>2400</v>
      </c>
      <c r="N915">
        <v>0</v>
      </c>
    </row>
    <row r="916" spans="1:14" x14ac:dyDescent="0.25">
      <c r="A916">
        <v>553.42101600000001</v>
      </c>
      <c r="B916" s="1">
        <f>DATE(2011,11,5) + TIME(10,6,15)</f>
        <v>40852.421006944445</v>
      </c>
      <c r="C916">
        <v>1006.6343994</v>
      </c>
      <c r="D916">
        <v>880.46752930000002</v>
      </c>
      <c r="E916">
        <v>2020.2584228999999</v>
      </c>
      <c r="F916">
        <v>1829.5004882999999</v>
      </c>
      <c r="G916">
        <v>80</v>
      </c>
      <c r="H916">
        <v>78.996978760000005</v>
      </c>
      <c r="I916">
        <v>50</v>
      </c>
      <c r="J916">
        <v>49.748504638999997</v>
      </c>
      <c r="K916">
        <v>0</v>
      </c>
      <c r="L916">
        <v>2400</v>
      </c>
      <c r="M916">
        <v>2400</v>
      </c>
      <c r="N916">
        <v>0</v>
      </c>
    </row>
    <row r="917" spans="1:14" x14ac:dyDescent="0.25">
      <c r="A917">
        <v>553.80275099999994</v>
      </c>
      <c r="B917" s="1">
        <f>DATE(2011,11,5) + TIME(19,15,57)</f>
        <v>40852.802743055552</v>
      </c>
      <c r="C917">
        <v>1006.4902954</v>
      </c>
      <c r="D917">
        <v>880.30200194999998</v>
      </c>
      <c r="E917">
        <v>2018.8425293</v>
      </c>
      <c r="F917">
        <v>1828.1455077999999</v>
      </c>
      <c r="G917">
        <v>80</v>
      </c>
      <c r="H917">
        <v>78.934310913000004</v>
      </c>
      <c r="I917">
        <v>50</v>
      </c>
      <c r="J917">
        <v>49.810779572000001</v>
      </c>
      <c r="K917">
        <v>0</v>
      </c>
      <c r="L917">
        <v>2400</v>
      </c>
      <c r="M917">
        <v>2400</v>
      </c>
      <c r="N917">
        <v>0</v>
      </c>
    </row>
    <row r="918" spans="1:14" x14ac:dyDescent="0.25">
      <c r="A918">
        <v>554.20247600000005</v>
      </c>
      <c r="B918" s="1">
        <f>DATE(2011,11,6) + TIME(4,51,33)</f>
        <v>40853.202465277776</v>
      </c>
      <c r="C918">
        <v>1006.3319702</v>
      </c>
      <c r="D918">
        <v>880.12268066000001</v>
      </c>
      <c r="E918">
        <v>2017.4416504000001</v>
      </c>
      <c r="F918">
        <v>1826.7602539</v>
      </c>
      <c r="G918">
        <v>80</v>
      </c>
      <c r="H918">
        <v>78.868469238000003</v>
      </c>
      <c r="I918">
        <v>50</v>
      </c>
      <c r="J918">
        <v>49.855472564999999</v>
      </c>
      <c r="K918">
        <v>0</v>
      </c>
      <c r="L918">
        <v>2400</v>
      </c>
      <c r="M918">
        <v>2400</v>
      </c>
      <c r="N918">
        <v>0</v>
      </c>
    </row>
    <row r="919" spans="1:14" x14ac:dyDescent="0.25">
      <c r="A919">
        <v>554.61081300000001</v>
      </c>
      <c r="B919" s="1">
        <f>DATE(2011,11,6) + TIME(14,39,34)</f>
        <v>40853.610810185186</v>
      </c>
      <c r="C919">
        <v>1006.1658936</v>
      </c>
      <c r="D919">
        <v>879.93530272999999</v>
      </c>
      <c r="E919">
        <v>2016.1083983999999</v>
      </c>
      <c r="F919">
        <v>1825.4129639</v>
      </c>
      <c r="G919">
        <v>80</v>
      </c>
      <c r="H919">
        <v>78.800682068</v>
      </c>
      <c r="I919">
        <v>50</v>
      </c>
      <c r="J919">
        <v>49.886631012000002</v>
      </c>
      <c r="K919">
        <v>0</v>
      </c>
      <c r="L919">
        <v>2400</v>
      </c>
      <c r="M919">
        <v>2400</v>
      </c>
      <c r="N919">
        <v>0</v>
      </c>
    </row>
    <row r="920" spans="1:14" x14ac:dyDescent="0.25">
      <c r="A920">
        <v>555.03320599999995</v>
      </c>
      <c r="B920" s="1">
        <f>DATE(2011,11,7) + TIME(0,47,48)</f>
        <v>40854.033194444448</v>
      </c>
      <c r="C920">
        <v>1005.9963379</v>
      </c>
      <c r="D920">
        <v>879.74285888999998</v>
      </c>
      <c r="E920">
        <v>2014.8570557</v>
      </c>
      <c r="F920">
        <v>1824.1308594</v>
      </c>
      <c r="G920">
        <v>80</v>
      </c>
      <c r="H920">
        <v>78.730659485000004</v>
      </c>
      <c r="I920">
        <v>50</v>
      </c>
      <c r="J920">
        <v>49.908470154</v>
      </c>
      <c r="K920">
        <v>0</v>
      </c>
      <c r="L920">
        <v>2400</v>
      </c>
      <c r="M920">
        <v>2400</v>
      </c>
      <c r="N920">
        <v>0</v>
      </c>
    </row>
    <row r="921" spans="1:14" x14ac:dyDescent="0.25">
      <c r="A921">
        <v>555.47149200000001</v>
      </c>
      <c r="B921" s="1">
        <f>DATE(2011,11,7) + TIME(11,18,56)</f>
        <v>40854.47148148148</v>
      </c>
      <c r="C921">
        <v>1005.8214111</v>
      </c>
      <c r="D921">
        <v>879.54400635000002</v>
      </c>
      <c r="E921">
        <v>2013.6610106999999</v>
      </c>
      <c r="F921">
        <v>1822.8925781</v>
      </c>
      <c r="G921">
        <v>80</v>
      </c>
      <c r="H921">
        <v>78.658332825000002</v>
      </c>
      <c r="I921">
        <v>50</v>
      </c>
      <c r="J921">
        <v>49.923706054999997</v>
      </c>
      <c r="K921">
        <v>0</v>
      </c>
      <c r="L921">
        <v>2400</v>
      </c>
      <c r="M921">
        <v>2400</v>
      </c>
      <c r="N921">
        <v>0</v>
      </c>
    </row>
    <row r="922" spans="1:14" x14ac:dyDescent="0.25">
      <c r="A922">
        <v>555.92462799999998</v>
      </c>
      <c r="B922" s="1">
        <f>DATE(2011,11,7) + TIME(22,11,27)</f>
        <v>40854.924618055556</v>
      </c>
      <c r="C922">
        <v>1005.6402588</v>
      </c>
      <c r="D922">
        <v>879.33825683999999</v>
      </c>
      <c r="E922">
        <v>2012.5085449000001</v>
      </c>
      <c r="F922">
        <v>1821.6904297000001</v>
      </c>
      <c r="G922">
        <v>80</v>
      </c>
      <c r="H922">
        <v>78.583877563000001</v>
      </c>
      <c r="I922">
        <v>50</v>
      </c>
      <c r="J922">
        <v>49.934242249</v>
      </c>
      <c r="K922">
        <v>0</v>
      </c>
      <c r="L922">
        <v>2400</v>
      </c>
      <c r="M922">
        <v>2400</v>
      </c>
      <c r="N922">
        <v>0</v>
      </c>
    </row>
    <row r="923" spans="1:14" x14ac:dyDescent="0.25">
      <c r="A923">
        <v>556.39743799999997</v>
      </c>
      <c r="B923" s="1">
        <f>DATE(2011,11,8) + TIME(9,32,18)</f>
        <v>40855.397430555553</v>
      </c>
      <c r="C923">
        <v>1005.4533081</v>
      </c>
      <c r="D923">
        <v>879.12536621000004</v>
      </c>
      <c r="E923">
        <v>2011.3968506000001</v>
      </c>
      <c r="F923">
        <v>1820.5255127</v>
      </c>
      <c r="G923">
        <v>80</v>
      </c>
      <c r="H923">
        <v>78.506858825999998</v>
      </c>
      <c r="I923">
        <v>50</v>
      </c>
      <c r="J923">
        <v>49.941547393999997</v>
      </c>
      <c r="K923">
        <v>0</v>
      </c>
      <c r="L923">
        <v>2400</v>
      </c>
      <c r="M923">
        <v>2400</v>
      </c>
      <c r="N923">
        <v>0</v>
      </c>
    </row>
    <row r="924" spans="1:14" x14ac:dyDescent="0.25">
      <c r="A924">
        <v>556.89513399999998</v>
      </c>
      <c r="B924" s="1">
        <f>DATE(2011,11,8) + TIME(21,28,59)</f>
        <v>40855.895127314812</v>
      </c>
      <c r="C924">
        <v>1005.2586669999999</v>
      </c>
      <c r="D924">
        <v>878.90350341999999</v>
      </c>
      <c r="E924">
        <v>2010.3111572</v>
      </c>
      <c r="F924">
        <v>1819.3846435999999</v>
      </c>
      <c r="G924">
        <v>80</v>
      </c>
      <c r="H924">
        <v>78.426719665999997</v>
      </c>
      <c r="I924">
        <v>50</v>
      </c>
      <c r="J924">
        <v>49.946620940999999</v>
      </c>
      <c r="K924">
        <v>0</v>
      </c>
      <c r="L924">
        <v>2400</v>
      </c>
      <c r="M924">
        <v>2400</v>
      </c>
      <c r="N924">
        <v>0</v>
      </c>
    </row>
    <row r="925" spans="1:14" x14ac:dyDescent="0.25">
      <c r="A925">
        <v>557.42379400000004</v>
      </c>
      <c r="B925" s="1">
        <f>DATE(2011,11,9) + TIME(10,10,15)</f>
        <v>40856.423784722225</v>
      </c>
      <c r="C925">
        <v>1005.0540771</v>
      </c>
      <c r="D925">
        <v>878.67022704999999</v>
      </c>
      <c r="E925">
        <v>2009.2392577999999</v>
      </c>
      <c r="F925">
        <v>1818.2565918</v>
      </c>
      <c r="G925">
        <v>80</v>
      </c>
      <c r="H925">
        <v>78.342758179</v>
      </c>
      <c r="I925">
        <v>50</v>
      </c>
      <c r="J925">
        <v>49.950149535999998</v>
      </c>
      <c r="K925">
        <v>0</v>
      </c>
      <c r="L925">
        <v>2400</v>
      </c>
      <c r="M925">
        <v>2400</v>
      </c>
      <c r="N925">
        <v>0</v>
      </c>
    </row>
    <row r="926" spans="1:14" x14ac:dyDescent="0.25">
      <c r="A926">
        <v>557.99084200000004</v>
      </c>
      <c r="B926" s="1">
        <f>DATE(2011,11,9) + TIME(23,46,48)</f>
        <v>40856.990833333337</v>
      </c>
      <c r="C926">
        <v>1004.8371582</v>
      </c>
      <c r="D926">
        <v>878.42279053000004</v>
      </c>
      <c r="E926">
        <v>2008.1697998</v>
      </c>
      <c r="F926">
        <v>1817.1307373</v>
      </c>
      <c r="G926">
        <v>80</v>
      </c>
      <c r="H926">
        <v>78.254089355000005</v>
      </c>
      <c r="I926">
        <v>50</v>
      </c>
      <c r="J926">
        <v>49.952610016000001</v>
      </c>
      <c r="K926">
        <v>0</v>
      </c>
      <c r="L926">
        <v>2400</v>
      </c>
      <c r="M926">
        <v>2400</v>
      </c>
      <c r="N926">
        <v>0</v>
      </c>
    </row>
    <row r="927" spans="1:14" x14ac:dyDescent="0.25">
      <c r="A927">
        <v>558.60474199999999</v>
      </c>
      <c r="B927" s="1">
        <f>DATE(2011,11,10) + TIME(14,30,49)</f>
        <v>40857.604733796295</v>
      </c>
      <c r="C927">
        <v>1004.6047363</v>
      </c>
      <c r="D927">
        <v>878.15771484000004</v>
      </c>
      <c r="E927">
        <v>2007.0919189000001</v>
      </c>
      <c r="F927">
        <v>1815.9963379000001</v>
      </c>
      <c r="G927">
        <v>80</v>
      </c>
      <c r="H927">
        <v>78.159683228000006</v>
      </c>
      <c r="I927">
        <v>50</v>
      </c>
      <c r="J927">
        <v>49.954338073999999</v>
      </c>
      <c r="K927">
        <v>0</v>
      </c>
      <c r="L927">
        <v>2400</v>
      </c>
      <c r="M927">
        <v>2400</v>
      </c>
      <c r="N927">
        <v>0</v>
      </c>
    </row>
    <row r="928" spans="1:14" x14ac:dyDescent="0.25">
      <c r="A928">
        <v>559.22700199999997</v>
      </c>
      <c r="B928" s="1">
        <f>DATE(2011,11,11) + TIME(5,26,52)</f>
        <v>40858.226990740739</v>
      </c>
      <c r="C928">
        <v>1004.3527832</v>
      </c>
      <c r="D928">
        <v>877.87438965000001</v>
      </c>
      <c r="E928">
        <v>2005.9964600000001</v>
      </c>
      <c r="F928">
        <v>1814.8443603999999</v>
      </c>
      <c r="G928">
        <v>80</v>
      </c>
      <c r="H928">
        <v>78.062522888000004</v>
      </c>
      <c r="I928">
        <v>50</v>
      </c>
      <c r="J928">
        <v>49.955486297999997</v>
      </c>
      <c r="K928">
        <v>0</v>
      </c>
      <c r="L928">
        <v>2400</v>
      </c>
      <c r="M928">
        <v>2400</v>
      </c>
      <c r="N928">
        <v>0</v>
      </c>
    </row>
    <row r="929" spans="1:14" x14ac:dyDescent="0.25">
      <c r="A929">
        <v>559.86395800000003</v>
      </c>
      <c r="B929" s="1">
        <f>DATE(2011,11,11) + TIME(20,44,6)</f>
        <v>40858.863958333335</v>
      </c>
      <c r="C929">
        <v>1004.0967407000001</v>
      </c>
      <c r="D929">
        <v>877.58496093999997</v>
      </c>
      <c r="E929">
        <v>2004.9525146000001</v>
      </c>
      <c r="F929">
        <v>1813.7482910000001</v>
      </c>
      <c r="G929">
        <v>80</v>
      </c>
      <c r="H929">
        <v>77.962959290000001</v>
      </c>
      <c r="I929">
        <v>50</v>
      </c>
      <c r="J929">
        <v>49.956279754999997</v>
      </c>
      <c r="K929">
        <v>0</v>
      </c>
      <c r="L929">
        <v>2400</v>
      </c>
      <c r="M929">
        <v>2400</v>
      </c>
      <c r="N929">
        <v>0</v>
      </c>
    </row>
    <row r="930" spans="1:14" x14ac:dyDescent="0.25">
      <c r="A930">
        <v>560.52299600000003</v>
      </c>
      <c r="B930" s="1">
        <f>DATE(2011,11,12) + TIME(12,33,6)</f>
        <v>40859.522986111115</v>
      </c>
      <c r="C930">
        <v>1003.835022</v>
      </c>
      <c r="D930">
        <v>877.28814696999996</v>
      </c>
      <c r="E930">
        <v>2003.9454346</v>
      </c>
      <c r="F930">
        <v>1812.6926269999999</v>
      </c>
      <c r="G930">
        <v>80</v>
      </c>
      <c r="H930">
        <v>77.860702515</v>
      </c>
      <c r="I930">
        <v>50</v>
      </c>
      <c r="J930">
        <v>49.956844330000003</v>
      </c>
      <c r="K930">
        <v>0</v>
      </c>
      <c r="L930">
        <v>2400</v>
      </c>
      <c r="M930">
        <v>2400</v>
      </c>
      <c r="N930">
        <v>0</v>
      </c>
    </row>
    <row r="931" spans="1:14" x14ac:dyDescent="0.25">
      <c r="A931">
        <v>561.21195299999999</v>
      </c>
      <c r="B931" s="1">
        <f>DATE(2011,11,13) + TIME(5,5,12)</f>
        <v>40860.211944444447</v>
      </c>
      <c r="C931">
        <v>1003.5645142</v>
      </c>
      <c r="D931">
        <v>876.98083496000004</v>
      </c>
      <c r="E931">
        <v>2002.9613036999999</v>
      </c>
      <c r="F931">
        <v>1811.6629639</v>
      </c>
      <c r="G931">
        <v>80</v>
      </c>
      <c r="H931">
        <v>77.755088806000003</v>
      </c>
      <c r="I931">
        <v>50</v>
      </c>
      <c r="J931">
        <v>49.957260132000002</v>
      </c>
      <c r="K931">
        <v>0</v>
      </c>
      <c r="L931">
        <v>2400</v>
      </c>
      <c r="M931">
        <v>2400</v>
      </c>
      <c r="N931">
        <v>0</v>
      </c>
    </row>
    <row r="932" spans="1:14" x14ac:dyDescent="0.25">
      <c r="A932">
        <v>561.93220399999996</v>
      </c>
      <c r="B932" s="1">
        <f>DATE(2011,11,13) + TIME(22,22,22)</f>
        <v>40860.932199074072</v>
      </c>
      <c r="C932">
        <v>1003.2817383</v>
      </c>
      <c r="D932">
        <v>876.66003418000003</v>
      </c>
      <c r="E932">
        <v>2001.9887695</v>
      </c>
      <c r="F932">
        <v>1810.6470947</v>
      </c>
      <c r="G932">
        <v>80</v>
      </c>
      <c r="H932">
        <v>77.645812988000003</v>
      </c>
      <c r="I932">
        <v>50</v>
      </c>
      <c r="J932">
        <v>49.957572937000002</v>
      </c>
      <c r="K932">
        <v>0</v>
      </c>
      <c r="L932">
        <v>2400</v>
      </c>
      <c r="M932">
        <v>2400</v>
      </c>
      <c r="N932">
        <v>0</v>
      </c>
    </row>
    <row r="933" spans="1:14" x14ac:dyDescent="0.25">
      <c r="A933">
        <v>562.67687799999999</v>
      </c>
      <c r="B933" s="1">
        <f>DATE(2011,11,14) + TIME(16,14,42)</f>
        <v>40861.676874999997</v>
      </c>
      <c r="C933">
        <v>1002.9859009</v>
      </c>
      <c r="D933">
        <v>876.32513428000004</v>
      </c>
      <c r="E933">
        <v>2001.0266113</v>
      </c>
      <c r="F933">
        <v>1809.6439209</v>
      </c>
      <c r="G933">
        <v>80</v>
      </c>
      <c r="H933">
        <v>77.533279418999996</v>
      </c>
      <c r="I933">
        <v>50</v>
      </c>
      <c r="J933">
        <v>49.957809447999999</v>
      </c>
      <c r="K933">
        <v>0</v>
      </c>
      <c r="L933">
        <v>2400</v>
      </c>
      <c r="M933">
        <v>2400</v>
      </c>
      <c r="N933">
        <v>0</v>
      </c>
    </row>
    <row r="934" spans="1:14" x14ac:dyDescent="0.25">
      <c r="A934">
        <v>563.45425399999999</v>
      </c>
      <c r="B934" s="1">
        <f>DATE(2011,11,15) + TIME(10,54,7)</f>
        <v>40862.454247685186</v>
      </c>
      <c r="C934">
        <v>1002.6796875</v>
      </c>
      <c r="D934">
        <v>875.97790526999995</v>
      </c>
      <c r="E934">
        <v>2000.0841064000001</v>
      </c>
      <c r="F934">
        <v>1808.6632079999999</v>
      </c>
      <c r="G934">
        <v>80</v>
      </c>
      <c r="H934">
        <v>77.417015075999998</v>
      </c>
      <c r="I934">
        <v>50</v>
      </c>
      <c r="J934">
        <v>49.957996368000003</v>
      </c>
      <c r="K934">
        <v>0</v>
      </c>
      <c r="L934">
        <v>2400</v>
      </c>
      <c r="M934">
        <v>2400</v>
      </c>
      <c r="N934">
        <v>0</v>
      </c>
    </row>
    <row r="935" spans="1:14" x14ac:dyDescent="0.25">
      <c r="A935">
        <v>564.27337199999999</v>
      </c>
      <c r="B935" s="1">
        <f>DATE(2011,11,16) + TIME(6,33,39)</f>
        <v>40863.273368055554</v>
      </c>
      <c r="C935">
        <v>1002.3598022</v>
      </c>
      <c r="D935">
        <v>875.61486816000001</v>
      </c>
      <c r="E935">
        <v>1999.1511230000001</v>
      </c>
      <c r="F935">
        <v>1807.6942139</v>
      </c>
      <c r="G935">
        <v>80</v>
      </c>
      <c r="H935">
        <v>77.296188353999995</v>
      </c>
      <c r="I935">
        <v>50</v>
      </c>
      <c r="J935">
        <v>49.958152771000002</v>
      </c>
      <c r="K935">
        <v>0</v>
      </c>
      <c r="L935">
        <v>2400</v>
      </c>
      <c r="M935">
        <v>2400</v>
      </c>
      <c r="N935">
        <v>0</v>
      </c>
    </row>
    <row r="936" spans="1:14" x14ac:dyDescent="0.25">
      <c r="A936">
        <v>565.13609599999995</v>
      </c>
      <c r="B936" s="1">
        <f>DATE(2011,11,17) + TIME(3,15,58)</f>
        <v>40864.136087962965</v>
      </c>
      <c r="C936">
        <v>1002.0222778</v>
      </c>
      <c r="D936">
        <v>875.23223876999998</v>
      </c>
      <c r="E936">
        <v>1998.2183838000001</v>
      </c>
      <c r="F936">
        <v>1806.7274170000001</v>
      </c>
      <c r="G936">
        <v>80</v>
      </c>
      <c r="H936">
        <v>77.170295714999995</v>
      </c>
      <c r="I936">
        <v>50</v>
      </c>
      <c r="J936">
        <v>49.958282470999997</v>
      </c>
      <c r="K936">
        <v>0</v>
      </c>
      <c r="L936">
        <v>2400</v>
      </c>
      <c r="M936">
        <v>2400</v>
      </c>
      <c r="N936">
        <v>0</v>
      </c>
    </row>
    <row r="937" spans="1:14" x14ac:dyDescent="0.25">
      <c r="A937">
        <v>566.022468</v>
      </c>
      <c r="B937" s="1">
        <f>DATE(2011,11,18) + TIME(0,32,21)</f>
        <v>40865.022465277776</v>
      </c>
      <c r="C937">
        <v>1001.6657715</v>
      </c>
      <c r="D937">
        <v>874.82983397999999</v>
      </c>
      <c r="E937">
        <v>1997.2863769999999</v>
      </c>
      <c r="F937">
        <v>1805.7630615</v>
      </c>
      <c r="G937">
        <v>80</v>
      </c>
      <c r="H937">
        <v>77.040519713999998</v>
      </c>
      <c r="I937">
        <v>50</v>
      </c>
      <c r="J937">
        <v>49.958389281999999</v>
      </c>
      <c r="K937">
        <v>0</v>
      </c>
      <c r="L937">
        <v>2400</v>
      </c>
      <c r="M937">
        <v>2400</v>
      </c>
      <c r="N937">
        <v>0</v>
      </c>
    </row>
    <row r="938" spans="1:14" x14ac:dyDescent="0.25">
      <c r="A938">
        <v>566.94420000000002</v>
      </c>
      <c r="B938" s="1">
        <f>DATE(2011,11,18) + TIME(22,39,38)</f>
        <v>40865.944189814814</v>
      </c>
      <c r="C938">
        <v>1001.298645</v>
      </c>
      <c r="D938">
        <v>874.41412353999999</v>
      </c>
      <c r="E938">
        <v>1996.3770752</v>
      </c>
      <c r="F938">
        <v>1804.8238524999999</v>
      </c>
      <c r="G938">
        <v>80</v>
      </c>
      <c r="H938">
        <v>76.906745911000002</v>
      </c>
      <c r="I938">
        <v>50</v>
      </c>
      <c r="J938">
        <v>49.958484650000003</v>
      </c>
      <c r="K938">
        <v>0</v>
      </c>
      <c r="L938">
        <v>2400</v>
      </c>
      <c r="M938">
        <v>2400</v>
      </c>
      <c r="N938">
        <v>0</v>
      </c>
    </row>
    <row r="939" spans="1:14" x14ac:dyDescent="0.25">
      <c r="A939">
        <v>567.90928199999996</v>
      </c>
      <c r="B939" s="1">
        <f>DATE(2011,11,19) + TIME(21,49,21)</f>
        <v>40866.909270833334</v>
      </c>
      <c r="C939">
        <v>1000.9161987</v>
      </c>
      <c r="D939">
        <v>873.98065185999997</v>
      </c>
      <c r="E939">
        <v>1995.4783935999999</v>
      </c>
      <c r="F939">
        <v>1803.8973389</v>
      </c>
      <c r="G939">
        <v>80</v>
      </c>
      <c r="H939">
        <v>76.768356323000006</v>
      </c>
      <c r="I939">
        <v>50</v>
      </c>
      <c r="J939">
        <v>49.958576202000003</v>
      </c>
      <c r="K939">
        <v>0</v>
      </c>
      <c r="L939">
        <v>2400</v>
      </c>
      <c r="M939">
        <v>2400</v>
      </c>
      <c r="N939">
        <v>0</v>
      </c>
    </row>
    <row r="940" spans="1:14" x14ac:dyDescent="0.25">
      <c r="A940">
        <v>568.90627099999995</v>
      </c>
      <c r="B940" s="1">
        <f>DATE(2011,11,20) + TIME(21,45,1)</f>
        <v>40867.906261574077</v>
      </c>
      <c r="C940">
        <v>1000.5145874</v>
      </c>
      <c r="D940">
        <v>873.52648925999995</v>
      </c>
      <c r="E940">
        <v>1994.5836182</v>
      </c>
      <c r="F940">
        <v>1802.9764404</v>
      </c>
      <c r="G940">
        <v>80</v>
      </c>
      <c r="H940">
        <v>76.625770568999997</v>
      </c>
      <c r="I940">
        <v>50</v>
      </c>
      <c r="J940">
        <v>49.958656310999999</v>
      </c>
      <c r="K940">
        <v>0</v>
      </c>
      <c r="L940">
        <v>2400</v>
      </c>
      <c r="M940">
        <v>2400</v>
      </c>
      <c r="N940">
        <v>0</v>
      </c>
    </row>
    <row r="941" spans="1:14" x14ac:dyDescent="0.25">
      <c r="A941">
        <v>569.92854599999998</v>
      </c>
      <c r="B941" s="1">
        <f>DATE(2011,11,21) + TIME(22,17,6)</f>
        <v>40868.928541666668</v>
      </c>
      <c r="C941">
        <v>1000.0980835</v>
      </c>
      <c r="D941">
        <v>873.05566406000003</v>
      </c>
      <c r="E941">
        <v>1993.7041016000001</v>
      </c>
      <c r="F941">
        <v>1802.072876</v>
      </c>
      <c r="G941">
        <v>80</v>
      </c>
      <c r="H941">
        <v>76.479782103999995</v>
      </c>
      <c r="I941">
        <v>50</v>
      </c>
      <c r="J941">
        <v>49.958732605000002</v>
      </c>
      <c r="K941">
        <v>0</v>
      </c>
      <c r="L941">
        <v>2400</v>
      </c>
      <c r="M941">
        <v>2400</v>
      </c>
      <c r="N941">
        <v>0</v>
      </c>
    </row>
    <row r="942" spans="1:14" x14ac:dyDescent="0.25">
      <c r="A942">
        <v>570.98710600000004</v>
      </c>
      <c r="B942" s="1">
        <f>DATE(2011,11,22) + TIME(23,41,25)</f>
        <v>40869.98709490741</v>
      </c>
      <c r="C942">
        <v>999.66973876999998</v>
      </c>
      <c r="D942">
        <v>872.57019043000003</v>
      </c>
      <c r="E942">
        <v>1992.8449707</v>
      </c>
      <c r="F942">
        <v>1801.1917725000001</v>
      </c>
      <c r="G942">
        <v>80</v>
      </c>
      <c r="H942">
        <v>76.330162048000005</v>
      </c>
      <c r="I942">
        <v>50</v>
      </c>
      <c r="J942">
        <v>49.958808898999997</v>
      </c>
      <c r="K942">
        <v>0</v>
      </c>
      <c r="L942">
        <v>2400</v>
      </c>
      <c r="M942">
        <v>2400</v>
      </c>
      <c r="N942">
        <v>0</v>
      </c>
    </row>
    <row r="943" spans="1:14" x14ac:dyDescent="0.25">
      <c r="A943">
        <v>572.09378500000003</v>
      </c>
      <c r="B943" s="1">
        <f>DATE(2011,11,24) + TIME(2,15,3)</f>
        <v>40871.093784722223</v>
      </c>
      <c r="C943">
        <v>999.22467041000004</v>
      </c>
      <c r="D943">
        <v>872.06512451000003</v>
      </c>
      <c r="E943">
        <v>1991.9967041</v>
      </c>
      <c r="F943">
        <v>1800.3232422000001</v>
      </c>
      <c r="G943">
        <v>80</v>
      </c>
      <c r="H943">
        <v>76.175971985000004</v>
      </c>
      <c r="I943">
        <v>50</v>
      </c>
      <c r="J943">
        <v>49.958885193</v>
      </c>
      <c r="K943">
        <v>0</v>
      </c>
      <c r="L943">
        <v>2400</v>
      </c>
      <c r="M943">
        <v>2400</v>
      </c>
      <c r="N943">
        <v>0</v>
      </c>
    </row>
    <row r="944" spans="1:14" x14ac:dyDescent="0.25">
      <c r="A944">
        <v>573.23047899999995</v>
      </c>
      <c r="B944" s="1">
        <f>DATE(2011,11,25) + TIME(5,31,53)</f>
        <v>40872.230474537035</v>
      </c>
      <c r="C944">
        <v>998.75695800999995</v>
      </c>
      <c r="D944">
        <v>871.53582763999998</v>
      </c>
      <c r="E944">
        <v>1991.1508789</v>
      </c>
      <c r="F944">
        <v>1799.4584961</v>
      </c>
      <c r="G944">
        <v>80</v>
      </c>
      <c r="H944">
        <v>76.017692565999994</v>
      </c>
      <c r="I944">
        <v>50</v>
      </c>
      <c r="J944">
        <v>49.958957671999997</v>
      </c>
      <c r="K944">
        <v>0</v>
      </c>
      <c r="L944">
        <v>2400</v>
      </c>
      <c r="M944">
        <v>2400</v>
      </c>
      <c r="N944">
        <v>0</v>
      </c>
    </row>
    <row r="945" spans="1:14" x14ac:dyDescent="0.25">
      <c r="A945">
        <v>574.39852699999994</v>
      </c>
      <c r="B945" s="1">
        <f>DATE(2011,11,26) + TIME(9,33,52)</f>
        <v>40873.398518518516</v>
      </c>
      <c r="C945">
        <v>998.27404784999999</v>
      </c>
      <c r="D945">
        <v>870.98840331999997</v>
      </c>
      <c r="E945">
        <v>1990.3214111</v>
      </c>
      <c r="F945">
        <v>1798.6119385</v>
      </c>
      <c r="G945">
        <v>80</v>
      </c>
      <c r="H945">
        <v>75.855834960999999</v>
      </c>
      <c r="I945">
        <v>50</v>
      </c>
      <c r="J945">
        <v>49.959030151</v>
      </c>
      <c r="K945">
        <v>0</v>
      </c>
      <c r="L945">
        <v>2400</v>
      </c>
      <c r="M945">
        <v>2400</v>
      </c>
      <c r="N945">
        <v>0</v>
      </c>
    </row>
    <row r="946" spans="1:14" x14ac:dyDescent="0.25">
      <c r="A946">
        <v>575.61186199999997</v>
      </c>
      <c r="B946" s="1">
        <f>DATE(2011,11,27) + TIME(14,41,4)</f>
        <v>40874.611851851849</v>
      </c>
      <c r="C946">
        <v>997.77526854999996</v>
      </c>
      <c r="D946">
        <v>870.42169189000003</v>
      </c>
      <c r="E946">
        <v>1989.5069579999999</v>
      </c>
      <c r="F946">
        <v>1797.7818603999999</v>
      </c>
      <c r="G946">
        <v>80</v>
      </c>
      <c r="H946">
        <v>75.689804077000005</v>
      </c>
      <c r="I946">
        <v>50</v>
      </c>
      <c r="J946">
        <v>49.959102631</v>
      </c>
      <c r="K946">
        <v>0</v>
      </c>
      <c r="L946">
        <v>2400</v>
      </c>
      <c r="M946">
        <v>2400</v>
      </c>
      <c r="N946">
        <v>0</v>
      </c>
    </row>
    <row r="947" spans="1:14" x14ac:dyDescent="0.25">
      <c r="A947">
        <v>576.88593400000002</v>
      </c>
      <c r="B947" s="1">
        <f>DATE(2011,11,28) + TIME(21,15,44)</f>
        <v>40875.885925925926</v>
      </c>
      <c r="C947">
        <v>997.25421143000005</v>
      </c>
      <c r="D947">
        <v>869.82879638999998</v>
      </c>
      <c r="E947">
        <v>1988.6981201000001</v>
      </c>
      <c r="F947">
        <v>1796.9587402</v>
      </c>
      <c r="G947">
        <v>80</v>
      </c>
      <c r="H947">
        <v>75.518234253000003</v>
      </c>
      <c r="I947">
        <v>50</v>
      </c>
      <c r="J947">
        <v>49.959178925000003</v>
      </c>
      <c r="K947">
        <v>0</v>
      </c>
      <c r="L947">
        <v>2400</v>
      </c>
      <c r="M947">
        <v>2400</v>
      </c>
      <c r="N947">
        <v>0</v>
      </c>
    </row>
    <row r="948" spans="1:14" x14ac:dyDescent="0.25">
      <c r="A948">
        <v>578.214247</v>
      </c>
      <c r="B948" s="1">
        <f>DATE(2011,11,30) + TIME(5,8,30)</f>
        <v>40877.214236111111</v>
      </c>
      <c r="C948">
        <v>996.70318603999999</v>
      </c>
      <c r="D948">
        <v>869.20220946999996</v>
      </c>
      <c r="E948">
        <v>1987.8858643000001</v>
      </c>
      <c r="F948">
        <v>1796.1333007999999</v>
      </c>
      <c r="G948">
        <v>80</v>
      </c>
      <c r="H948">
        <v>75.340530396000005</v>
      </c>
      <c r="I948">
        <v>50</v>
      </c>
      <c r="J948">
        <v>49.959259033000002</v>
      </c>
      <c r="K948">
        <v>0</v>
      </c>
      <c r="L948">
        <v>2400</v>
      </c>
      <c r="M948">
        <v>2400</v>
      </c>
      <c r="N948">
        <v>0</v>
      </c>
    </row>
    <row r="949" spans="1:14" x14ac:dyDescent="0.25">
      <c r="A949">
        <v>579</v>
      </c>
      <c r="B949" s="1">
        <f>DATE(2011,12,1) + TIME(0,0,0)</f>
        <v>40878</v>
      </c>
      <c r="C949">
        <v>996.11773682</v>
      </c>
      <c r="D949">
        <v>868.57666015999996</v>
      </c>
      <c r="E949">
        <v>1987.0817870999999</v>
      </c>
      <c r="F949">
        <v>1795.3171387</v>
      </c>
      <c r="G949">
        <v>80</v>
      </c>
      <c r="H949">
        <v>75.198066710999996</v>
      </c>
      <c r="I949">
        <v>50</v>
      </c>
      <c r="J949">
        <v>49.959281920999999</v>
      </c>
      <c r="K949">
        <v>0</v>
      </c>
      <c r="L949">
        <v>2400</v>
      </c>
      <c r="M949">
        <v>2400</v>
      </c>
      <c r="N949">
        <v>0</v>
      </c>
    </row>
    <row r="950" spans="1:14" x14ac:dyDescent="0.25">
      <c r="A950">
        <v>580.35598400000003</v>
      </c>
      <c r="B950" s="1">
        <f>DATE(2011,12,2) + TIME(8,32,37)</f>
        <v>40879.355983796297</v>
      </c>
      <c r="C950">
        <v>995.77471923999997</v>
      </c>
      <c r="D950">
        <v>868.13342284999999</v>
      </c>
      <c r="E950">
        <v>1986.6102295000001</v>
      </c>
      <c r="F950">
        <v>1794.8393555</v>
      </c>
      <c r="G950">
        <v>80</v>
      </c>
      <c r="H950">
        <v>75.036781310999999</v>
      </c>
      <c r="I950">
        <v>50</v>
      </c>
      <c r="J950">
        <v>49.959388732999997</v>
      </c>
      <c r="K950">
        <v>0</v>
      </c>
      <c r="L950">
        <v>2400</v>
      </c>
      <c r="M950">
        <v>2400</v>
      </c>
      <c r="N950">
        <v>0</v>
      </c>
    </row>
    <row r="951" spans="1:14" x14ac:dyDescent="0.25">
      <c r="A951">
        <v>581.76699399999995</v>
      </c>
      <c r="B951" s="1">
        <f>DATE(2011,12,3) + TIME(18,24,28)</f>
        <v>40880.76699074074</v>
      </c>
      <c r="C951">
        <v>995.18011475000003</v>
      </c>
      <c r="D951">
        <v>867.46124268000005</v>
      </c>
      <c r="E951">
        <v>1985.8420410000001</v>
      </c>
      <c r="F951">
        <v>1794.0614014</v>
      </c>
      <c r="G951">
        <v>80</v>
      </c>
      <c r="H951">
        <v>74.858085631999998</v>
      </c>
      <c r="I951">
        <v>50</v>
      </c>
      <c r="J951">
        <v>49.959461212000001</v>
      </c>
      <c r="K951">
        <v>0</v>
      </c>
      <c r="L951">
        <v>2400</v>
      </c>
      <c r="M951">
        <v>2400</v>
      </c>
      <c r="N951">
        <v>0</v>
      </c>
    </row>
    <row r="952" spans="1:14" x14ac:dyDescent="0.25">
      <c r="A952">
        <v>583.22594600000002</v>
      </c>
      <c r="B952" s="1">
        <f>DATE(2011,12,5) + TIME(5,25,21)</f>
        <v>40882.225937499999</v>
      </c>
      <c r="C952">
        <v>994.55004883000004</v>
      </c>
      <c r="D952">
        <v>866.74395751999998</v>
      </c>
      <c r="E952">
        <v>1985.0722656</v>
      </c>
      <c r="F952">
        <v>1793.2828368999999</v>
      </c>
      <c r="G952">
        <v>80</v>
      </c>
      <c r="H952">
        <v>74.668975829999994</v>
      </c>
      <c r="I952">
        <v>50</v>
      </c>
      <c r="J952">
        <v>49.959541321000003</v>
      </c>
      <c r="K952">
        <v>0</v>
      </c>
      <c r="L952">
        <v>2400</v>
      </c>
      <c r="M952">
        <v>2400</v>
      </c>
      <c r="N952">
        <v>0</v>
      </c>
    </row>
    <row r="953" spans="1:14" x14ac:dyDescent="0.25">
      <c r="A953">
        <v>584.75237200000004</v>
      </c>
      <c r="B953" s="1">
        <f>DATE(2011,12,6) + TIME(18,3,24)</f>
        <v>40883.75236111111</v>
      </c>
      <c r="C953">
        <v>993.89196776999995</v>
      </c>
      <c r="D953">
        <v>865.99011229999996</v>
      </c>
      <c r="E953">
        <v>1984.3082274999999</v>
      </c>
      <c r="F953">
        <v>1792.5109863</v>
      </c>
      <c r="G953">
        <v>80</v>
      </c>
      <c r="H953">
        <v>74.471588135000005</v>
      </c>
      <c r="I953">
        <v>50</v>
      </c>
      <c r="J953">
        <v>49.959625244000001</v>
      </c>
      <c r="K953">
        <v>0</v>
      </c>
      <c r="L953">
        <v>2400</v>
      </c>
      <c r="M953">
        <v>2400</v>
      </c>
      <c r="N953">
        <v>0</v>
      </c>
    </row>
    <row r="954" spans="1:14" x14ac:dyDescent="0.25">
      <c r="A954">
        <v>586.33191899999997</v>
      </c>
      <c r="B954" s="1">
        <f>DATE(2011,12,8) + TIME(7,57,57)</f>
        <v>40885.331909722219</v>
      </c>
      <c r="C954">
        <v>993.19580078000001</v>
      </c>
      <c r="D954">
        <v>865.19116211000005</v>
      </c>
      <c r="E954">
        <v>1983.5412598</v>
      </c>
      <c r="F954">
        <v>1791.7370605000001</v>
      </c>
      <c r="G954">
        <v>80</v>
      </c>
      <c r="H954">
        <v>74.266693114999995</v>
      </c>
      <c r="I954">
        <v>50</v>
      </c>
      <c r="J954">
        <v>49.959709167</v>
      </c>
      <c r="K954">
        <v>0</v>
      </c>
      <c r="L954">
        <v>2400</v>
      </c>
      <c r="M954">
        <v>2400</v>
      </c>
      <c r="N954">
        <v>0</v>
      </c>
    </row>
    <row r="955" spans="1:14" x14ac:dyDescent="0.25">
      <c r="A955">
        <v>587.98079199999995</v>
      </c>
      <c r="B955" s="1">
        <f>DATE(2011,12,9) + TIME(23,32,20)</f>
        <v>40886.980787037035</v>
      </c>
      <c r="C955">
        <v>992.46661376999998</v>
      </c>
      <c r="D955">
        <v>864.35058593999997</v>
      </c>
      <c r="E955">
        <v>1982.7794189000001</v>
      </c>
      <c r="F955">
        <v>1790.9693603999999</v>
      </c>
      <c r="G955">
        <v>80</v>
      </c>
      <c r="H955">
        <v>74.054382324000002</v>
      </c>
      <c r="I955">
        <v>50</v>
      </c>
      <c r="J955">
        <v>49.959796906000001</v>
      </c>
      <c r="K955">
        <v>0</v>
      </c>
      <c r="L955">
        <v>2400</v>
      </c>
      <c r="M955">
        <v>2400</v>
      </c>
      <c r="N955">
        <v>0</v>
      </c>
    </row>
    <row r="956" spans="1:14" x14ac:dyDescent="0.25">
      <c r="A956">
        <v>589.65439000000003</v>
      </c>
      <c r="B956" s="1">
        <f>DATE(2011,12,11) + TIME(15,42,19)</f>
        <v>40888.654386574075</v>
      </c>
      <c r="C956">
        <v>991.69464111000002</v>
      </c>
      <c r="D956">
        <v>863.46044921999999</v>
      </c>
      <c r="E956">
        <v>1982.0163574000001</v>
      </c>
      <c r="F956">
        <v>1790.2009277</v>
      </c>
      <c r="G956">
        <v>80</v>
      </c>
      <c r="H956">
        <v>73.835952758999994</v>
      </c>
      <c r="I956">
        <v>50</v>
      </c>
      <c r="J956">
        <v>49.959884643999999</v>
      </c>
      <c r="K956">
        <v>0</v>
      </c>
      <c r="L956">
        <v>2400</v>
      </c>
      <c r="M956">
        <v>2400</v>
      </c>
      <c r="N956">
        <v>0</v>
      </c>
    </row>
    <row r="957" spans="1:14" x14ac:dyDescent="0.25">
      <c r="A957">
        <v>591.35988199999997</v>
      </c>
      <c r="B957" s="1">
        <f>DATE(2011,12,13) + TIME(8,38,13)</f>
        <v>40890.359872685185</v>
      </c>
      <c r="C957">
        <v>990.89959716999999</v>
      </c>
      <c r="D957">
        <v>862.53863524999997</v>
      </c>
      <c r="E957">
        <v>1981.2720947</v>
      </c>
      <c r="F957">
        <v>1789.4525146000001</v>
      </c>
      <c r="G957">
        <v>80</v>
      </c>
      <c r="H957">
        <v>73.613342285000002</v>
      </c>
      <c r="I957">
        <v>50</v>
      </c>
      <c r="J957">
        <v>49.959976196</v>
      </c>
      <c r="K957">
        <v>0</v>
      </c>
      <c r="L957">
        <v>2400</v>
      </c>
      <c r="M957">
        <v>2400</v>
      </c>
      <c r="N957">
        <v>0</v>
      </c>
    </row>
    <row r="958" spans="1:14" x14ac:dyDescent="0.25">
      <c r="A958">
        <v>593.10320200000001</v>
      </c>
      <c r="B958" s="1">
        <f>DATE(2011,12,15) + TIME(2,28,36)</f>
        <v>40892.103194444448</v>
      </c>
      <c r="C958">
        <v>990.07714843999997</v>
      </c>
      <c r="D958">
        <v>861.58068848000005</v>
      </c>
      <c r="E958">
        <v>1980.5429687999999</v>
      </c>
      <c r="F958">
        <v>1788.7199707</v>
      </c>
      <c r="G958">
        <v>80</v>
      </c>
      <c r="H958">
        <v>73.386535644999995</v>
      </c>
      <c r="I958">
        <v>50</v>
      </c>
      <c r="J958">
        <v>49.960067748999997</v>
      </c>
      <c r="K958">
        <v>0</v>
      </c>
      <c r="L958">
        <v>2400</v>
      </c>
      <c r="M958">
        <v>2400</v>
      </c>
      <c r="N958">
        <v>0</v>
      </c>
    </row>
    <row r="959" spans="1:14" x14ac:dyDescent="0.25">
      <c r="A959">
        <v>594.90445299999999</v>
      </c>
      <c r="B959" s="1">
        <f>DATE(2011,12,16) + TIME(21,42,24)</f>
        <v>40893.904444444444</v>
      </c>
      <c r="C959">
        <v>989.22290038999995</v>
      </c>
      <c r="D959">
        <v>860.58074951000003</v>
      </c>
      <c r="E959">
        <v>1979.8259277</v>
      </c>
      <c r="F959">
        <v>1788.0001221</v>
      </c>
      <c r="G959">
        <v>80</v>
      </c>
      <c r="H959">
        <v>73.154304503999995</v>
      </c>
      <c r="I959">
        <v>50</v>
      </c>
      <c r="J959">
        <v>49.960159302000001</v>
      </c>
      <c r="K959">
        <v>0</v>
      </c>
      <c r="L959">
        <v>2400</v>
      </c>
      <c r="M959">
        <v>2400</v>
      </c>
      <c r="N959">
        <v>0</v>
      </c>
    </row>
    <row r="960" spans="1:14" x14ac:dyDescent="0.25">
      <c r="A960">
        <v>596.785706</v>
      </c>
      <c r="B960" s="1">
        <f>DATE(2011,12,18) + TIME(18,51,24)</f>
        <v>40895.785694444443</v>
      </c>
      <c r="C960">
        <v>988.32519531000003</v>
      </c>
      <c r="D960">
        <v>859.52478026999995</v>
      </c>
      <c r="E960">
        <v>1979.1125488</v>
      </c>
      <c r="F960">
        <v>1787.2847899999999</v>
      </c>
      <c r="G960">
        <v>80</v>
      </c>
      <c r="H960">
        <v>72.914276122999993</v>
      </c>
      <c r="I960">
        <v>50</v>
      </c>
      <c r="J960">
        <v>49.960254669000001</v>
      </c>
      <c r="K960">
        <v>0</v>
      </c>
      <c r="L960">
        <v>2400</v>
      </c>
      <c r="M960">
        <v>2400</v>
      </c>
      <c r="N960">
        <v>0</v>
      </c>
    </row>
    <row r="961" spans="1:14" x14ac:dyDescent="0.25">
      <c r="A961">
        <v>598.72140000000002</v>
      </c>
      <c r="B961" s="1">
        <f>DATE(2011,12,20) + TIME(17,18,48)</f>
        <v>40897.721388888887</v>
      </c>
      <c r="C961">
        <v>987.36981201000003</v>
      </c>
      <c r="D961">
        <v>858.39758300999995</v>
      </c>
      <c r="E961">
        <v>1978.3952637</v>
      </c>
      <c r="F961">
        <v>1786.5660399999999</v>
      </c>
      <c r="G961">
        <v>80</v>
      </c>
      <c r="H961">
        <v>72.665451050000001</v>
      </c>
      <c r="I961">
        <v>50</v>
      </c>
      <c r="J961">
        <v>49.960353851000001</v>
      </c>
      <c r="K961">
        <v>0</v>
      </c>
      <c r="L961">
        <v>2400</v>
      </c>
      <c r="M961">
        <v>2400</v>
      </c>
      <c r="N961">
        <v>0</v>
      </c>
    </row>
    <row r="962" spans="1:14" x14ac:dyDescent="0.25">
      <c r="A962">
        <v>600.68789200000003</v>
      </c>
      <c r="B962" s="1">
        <f>DATE(2011,12,22) + TIME(16,30,33)</f>
        <v>40899.687881944446</v>
      </c>
      <c r="C962">
        <v>986.36669921999999</v>
      </c>
      <c r="D962">
        <v>857.20806885000002</v>
      </c>
      <c r="E962">
        <v>1977.6843262</v>
      </c>
      <c r="F962">
        <v>1785.8542480000001</v>
      </c>
      <c r="G962">
        <v>80</v>
      </c>
      <c r="H962">
        <v>72.409469603999995</v>
      </c>
      <c r="I962">
        <v>50</v>
      </c>
      <c r="J962">
        <v>49.960453033</v>
      </c>
      <c r="K962">
        <v>0</v>
      </c>
      <c r="L962">
        <v>2400</v>
      </c>
      <c r="M962">
        <v>2400</v>
      </c>
      <c r="N962">
        <v>0</v>
      </c>
    </row>
    <row r="963" spans="1:14" x14ac:dyDescent="0.25">
      <c r="A963">
        <v>602.69408999999996</v>
      </c>
      <c r="B963" s="1">
        <f>DATE(2011,12,24) + TIME(16,39,29)</f>
        <v>40901.694085648145</v>
      </c>
      <c r="C963">
        <v>985.32611083999996</v>
      </c>
      <c r="D963">
        <v>855.96551513999998</v>
      </c>
      <c r="E963">
        <v>1976.9880370999999</v>
      </c>
      <c r="F963">
        <v>1785.1575928</v>
      </c>
      <c r="G963">
        <v>80</v>
      </c>
      <c r="H963">
        <v>72.147468567000004</v>
      </c>
      <c r="I963">
        <v>50</v>
      </c>
      <c r="J963">
        <v>49.960552216000004</v>
      </c>
      <c r="K963">
        <v>0</v>
      </c>
      <c r="L963">
        <v>2400</v>
      </c>
      <c r="M963">
        <v>2400</v>
      </c>
      <c r="N963">
        <v>0</v>
      </c>
    </row>
    <row r="964" spans="1:14" x14ac:dyDescent="0.25">
      <c r="A964">
        <v>604.74850400000003</v>
      </c>
      <c r="B964" s="1">
        <f>DATE(2011,12,26) + TIME(17,57,50)</f>
        <v>40903.748495370368</v>
      </c>
      <c r="C964">
        <v>984.24133300999995</v>
      </c>
      <c r="D964">
        <v>854.66168213000003</v>
      </c>
      <c r="E964">
        <v>1976.3028564000001</v>
      </c>
      <c r="F964">
        <v>1784.4726562000001</v>
      </c>
      <c r="G964">
        <v>80</v>
      </c>
      <c r="H964">
        <v>71.878730774000005</v>
      </c>
      <c r="I964">
        <v>50</v>
      </c>
      <c r="J964">
        <v>49.960655211999999</v>
      </c>
      <c r="K964">
        <v>0</v>
      </c>
      <c r="L964">
        <v>2400</v>
      </c>
      <c r="M964">
        <v>2400</v>
      </c>
      <c r="N964">
        <v>0</v>
      </c>
    </row>
    <row r="965" spans="1:14" x14ac:dyDescent="0.25">
      <c r="A965">
        <v>606.86745099999996</v>
      </c>
      <c r="B965" s="1">
        <f>DATE(2011,12,28) + TIME(20,49,7)</f>
        <v>40905.867442129631</v>
      </c>
      <c r="C965">
        <v>983.10510253999996</v>
      </c>
      <c r="D965">
        <v>853.28656006000006</v>
      </c>
      <c r="E965">
        <v>1975.6256103999999</v>
      </c>
      <c r="F965">
        <v>1783.7960204999999</v>
      </c>
      <c r="G965">
        <v>80</v>
      </c>
      <c r="H965">
        <v>71.601676940999994</v>
      </c>
      <c r="I965">
        <v>50</v>
      </c>
      <c r="J965">
        <v>49.960758208999998</v>
      </c>
      <c r="K965">
        <v>0</v>
      </c>
      <c r="L965">
        <v>2400</v>
      </c>
      <c r="M965">
        <v>2400</v>
      </c>
      <c r="N965">
        <v>0</v>
      </c>
    </row>
    <row r="966" spans="1:14" x14ac:dyDescent="0.25">
      <c r="A966">
        <v>609.07233699999995</v>
      </c>
      <c r="B966" s="1">
        <f>DATE(2011,12,31) + TIME(1,44,9)</f>
        <v>40908.072326388887</v>
      </c>
      <c r="C966">
        <v>981.90527343999997</v>
      </c>
      <c r="D966">
        <v>851.82415771000001</v>
      </c>
      <c r="E966">
        <v>1974.9512939000001</v>
      </c>
      <c r="F966">
        <v>1783.1228027</v>
      </c>
      <c r="G966">
        <v>80</v>
      </c>
      <c r="H966">
        <v>71.313751221000004</v>
      </c>
      <c r="I966">
        <v>50</v>
      </c>
      <c r="J966">
        <v>49.960865020999996</v>
      </c>
      <c r="K966">
        <v>0</v>
      </c>
      <c r="L966">
        <v>2400</v>
      </c>
      <c r="M966">
        <v>2400</v>
      </c>
      <c r="N966">
        <v>0</v>
      </c>
    </row>
    <row r="967" spans="1:14" x14ac:dyDescent="0.25">
      <c r="A967">
        <v>610</v>
      </c>
      <c r="B967" s="1">
        <f>DATE(2012,1,1) + TIME(0,0,0)</f>
        <v>40909</v>
      </c>
      <c r="C967">
        <v>980.61987305000002</v>
      </c>
      <c r="D967">
        <v>850.35913086000005</v>
      </c>
      <c r="E967">
        <v>1974.2850341999999</v>
      </c>
      <c r="F967">
        <v>1782.4578856999999</v>
      </c>
      <c r="G967">
        <v>80</v>
      </c>
      <c r="H967">
        <v>71.100250243999994</v>
      </c>
      <c r="I967">
        <v>50</v>
      </c>
      <c r="J967">
        <v>49.960884094000001</v>
      </c>
      <c r="K967">
        <v>0</v>
      </c>
      <c r="L967">
        <v>2400</v>
      </c>
      <c r="M967">
        <v>2400</v>
      </c>
      <c r="N967">
        <v>0</v>
      </c>
    </row>
    <row r="968" spans="1:14" x14ac:dyDescent="0.25">
      <c r="A968">
        <v>612.21158600000001</v>
      </c>
      <c r="B968" s="1">
        <f>DATE(2012,1,3) + TIME(5,4,41)</f>
        <v>40911.211585648147</v>
      </c>
      <c r="C968">
        <v>980.06347656000003</v>
      </c>
      <c r="D968">
        <v>849.53118896000001</v>
      </c>
      <c r="E968">
        <v>1973.9890137</v>
      </c>
      <c r="F968">
        <v>1782.1628418</v>
      </c>
      <c r="G968">
        <v>80</v>
      </c>
      <c r="H968">
        <v>70.862419127999999</v>
      </c>
      <c r="I968">
        <v>50</v>
      </c>
      <c r="J968">
        <v>49.961021422999998</v>
      </c>
      <c r="K968">
        <v>0</v>
      </c>
      <c r="L968">
        <v>2400</v>
      </c>
      <c r="M968">
        <v>2400</v>
      </c>
      <c r="N968">
        <v>0</v>
      </c>
    </row>
    <row r="969" spans="1:14" x14ac:dyDescent="0.25">
      <c r="A969">
        <v>614.46826699999997</v>
      </c>
      <c r="B969" s="1">
        <f>DATE(2012,1,5) + TIME(11,14,18)</f>
        <v>40913.468263888892</v>
      </c>
      <c r="C969">
        <v>978.73968506000006</v>
      </c>
      <c r="D969">
        <v>847.91113281000003</v>
      </c>
      <c r="E969">
        <v>1973.347168</v>
      </c>
      <c r="F969">
        <v>1781.5228271000001</v>
      </c>
      <c r="G969">
        <v>80</v>
      </c>
      <c r="H969">
        <v>70.573112488000007</v>
      </c>
      <c r="I969">
        <v>50</v>
      </c>
      <c r="J969">
        <v>49.961124419999997</v>
      </c>
      <c r="K969">
        <v>0</v>
      </c>
      <c r="L969">
        <v>2400</v>
      </c>
      <c r="M969">
        <v>2400</v>
      </c>
      <c r="N969">
        <v>0</v>
      </c>
    </row>
    <row r="970" spans="1:14" x14ac:dyDescent="0.25">
      <c r="A970">
        <v>616.78153899999995</v>
      </c>
      <c r="B970" s="1">
        <f>DATE(2012,1,7) + TIME(18,45,24)</f>
        <v>40915.781527777777</v>
      </c>
      <c r="C970">
        <v>977.34216308999999</v>
      </c>
      <c r="D970">
        <v>846.17095946999996</v>
      </c>
      <c r="E970">
        <v>1972.7081298999999</v>
      </c>
      <c r="F970">
        <v>1780.8861084</v>
      </c>
      <c r="G970">
        <v>80</v>
      </c>
      <c r="H970">
        <v>70.261428832999997</v>
      </c>
      <c r="I970">
        <v>50</v>
      </c>
      <c r="J970">
        <v>49.961231232000003</v>
      </c>
      <c r="K970">
        <v>0</v>
      </c>
      <c r="L970">
        <v>2400</v>
      </c>
      <c r="M970">
        <v>2400</v>
      </c>
      <c r="N970">
        <v>0</v>
      </c>
    </row>
    <row r="971" spans="1:14" x14ac:dyDescent="0.25">
      <c r="A971">
        <v>619.17561999999998</v>
      </c>
      <c r="B971" s="1">
        <f>DATE(2012,1,10) + TIME(4,12,53)</f>
        <v>40918.175613425927</v>
      </c>
      <c r="C971">
        <v>975.86999512</v>
      </c>
      <c r="D971">
        <v>844.31726074000005</v>
      </c>
      <c r="E971">
        <v>1972.0734863</v>
      </c>
      <c r="F971">
        <v>1780.2540283000001</v>
      </c>
      <c r="G971">
        <v>80</v>
      </c>
      <c r="H971">
        <v>69.933631896999998</v>
      </c>
      <c r="I971">
        <v>50</v>
      </c>
      <c r="J971">
        <v>49.961341857999997</v>
      </c>
      <c r="K971">
        <v>0</v>
      </c>
      <c r="L971">
        <v>2400</v>
      </c>
      <c r="M971">
        <v>2400</v>
      </c>
      <c r="N971">
        <v>0</v>
      </c>
    </row>
    <row r="972" spans="1:14" x14ac:dyDescent="0.25">
      <c r="A972">
        <v>621.60790799999995</v>
      </c>
      <c r="B972" s="1">
        <f>DATE(2012,1,12) + TIME(14,35,23)</f>
        <v>40920.607905092591</v>
      </c>
      <c r="C972">
        <v>974.30297852000001</v>
      </c>
      <c r="D972">
        <v>842.32977295000001</v>
      </c>
      <c r="E972">
        <v>1971.4376221</v>
      </c>
      <c r="F972">
        <v>1779.6208495999999</v>
      </c>
      <c r="G972">
        <v>80</v>
      </c>
      <c r="H972">
        <v>69.590530396000005</v>
      </c>
      <c r="I972">
        <v>50</v>
      </c>
      <c r="J972">
        <v>49.961456298999998</v>
      </c>
      <c r="K972">
        <v>0</v>
      </c>
      <c r="L972">
        <v>2400</v>
      </c>
      <c r="M972">
        <v>2400</v>
      </c>
      <c r="N972">
        <v>0</v>
      </c>
    </row>
    <row r="973" spans="1:14" x14ac:dyDescent="0.25">
      <c r="A973">
        <v>624.06015600000001</v>
      </c>
      <c r="B973" s="1">
        <f>DATE(2012,1,15) + TIME(1,26,37)</f>
        <v>40923.060150462959</v>
      </c>
      <c r="C973">
        <v>972.66363524999997</v>
      </c>
      <c r="D973">
        <v>840.23217772999999</v>
      </c>
      <c r="E973">
        <v>1970.8116454999999</v>
      </c>
      <c r="F973">
        <v>1778.9979248</v>
      </c>
      <c r="G973">
        <v>80</v>
      </c>
      <c r="H973">
        <v>69.235717773000005</v>
      </c>
      <c r="I973">
        <v>50</v>
      </c>
      <c r="J973">
        <v>49.961566925</v>
      </c>
      <c r="K973">
        <v>0</v>
      </c>
      <c r="L973">
        <v>2400</v>
      </c>
      <c r="M973">
        <v>2400</v>
      </c>
      <c r="N973">
        <v>0</v>
      </c>
    </row>
    <row r="974" spans="1:14" x14ac:dyDescent="0.25">
      <c r="A974">
        <v>626.55631200000005</v>
      </c>
      <c r="B974" s="1">
        <f>DATE(2012,1,17) + TIME(13,21,5)</f>
        <v>40925.556307870371</v>
      </c>
      <c r="C974">
        <v>970.96160888999998</v>
      </c>
      <c r="D974">
        <v>838.03314208999996</v>
      </c>
      <c r="E974">
        <v>1970.1998291</v>
      </c>
      <c r="F974">
        <v>1778.3892822</v>
      </c>
      <c r="G974">
        <v>80</v>
      </c>
      <c r="H974">
        <v>68.869873046999999</v>
      </c>
      <c r="I974">
        <v>50</v>
      </c>
      <c r="J974">
        <v>49.961681366000001</v>
      </c>
      <c r="K974">
        <v>0</v>
      </c>
      <c r="L974">
        <v>2400</v>
      </c>
      <c r="M974">
        <v>2400</v>
      </c>
      <c r="N974">
        <v>0</v>
      </c>
    </row>
    <row r="975" spans="1:14" x14ac:dyDescent="0.25">
      <c r="A975">
        <v>629.08207800000002</v>
      </c>
      <c r="B975" s="1">
        <f>DATE(2012,1,20) + TIME(1,58,11)</f>
        <v>40928.082071759258</v>
      </c>
      <c r="C975">
        <v>969.17742920000001</v>
      </c>
      <c r="D975">
        <v>835.70996093999997</v>
      </c>
      <c r="E975">
        <v>1969.5959473</v>
      </c>
      <c r="F975">
        <v>1777.7886963000001</v>
      </c>
      <c r="G975">
        <v>80</v>
      </c>
      <c r="H975">
        <v>68.49156189</v>
      </c>
      <c r="I975">
        <v>50</v>
      </c>
      <c r="J975">
        <v>49.961795807000001</v>
      </c>
      <c r="K975">
        <v>0</v>
      </c>
      <c r="L975">
        <v>2400</v>
      </c>
      <c r="M975">
        <v>2400</v>
      </c>
      <c r="N975">
        <v>0</v>
      </c>
    </row>
    <row r="976" spans="1:14" x14ac:dyDescent="0.25">
      <c r="A976">
        <v>631.62094999999999</v>
      </c>
      <c r="B976" s="1">
        <f>DATE(2012,1,22) + TIME(14,54,10)</f>
        <v>40930.620949074073</v>
      </c>
      <c r="C976">
        <v>967.31744385000002</v>
      </c>
      <c r="D976">
        <v>833.26800536999997</v>
      </c>
      <c r="E976">
        <v>1969.0028076000001</v>
      </c>
      <c r="F976">
        <v>1777.1990966999999</v>
      </c>
      <c r="G976">
        <v>80</v>
      </c>
      <c r="H976">
        <v>68.101570128999995</v>
      </c>
      <c r="I976">
        <v>50</v>
      </c>
      <c r="J976">
        <v>49.961906433000003</v>
      </c>
      <c r="K976">
        <v>0</v>
      </c>
      <c r="L976">
        <v>2400</v>
      </c>
      <c r="M976">
        <v>2400</v>
      </c>
      <c r="N976">
        <v>0</v>
      </c>
    </row>
    <row r="977" spans="1:14" x14ac:dyDescent="0.25">
      <c r="A977">
        <v>634.17404899999997</v>
      </c>
      <c r="B977" s="1">
        <f>DATE(2012,1,25) + TIME(4,10,37)</f>
        <v>40933.174039351848</v>
      </c>
      <c r="C977">
        <v>965.39141845999995</v>
      </c>
      <c r="D977">
        <v>830.71697998000002</v>
      </c>
      <c r="E977">
        <v>1968.4235839999999</v>
      </c>
      <c r="F977">
        <v>1776.6234131000001</v>
      </c>
      <c r="G977">
        <v>80</v>
      </c>
      <c r="H977">
        <v>67.700843810999999</v>
      </c>
      <c r="I977">
        <v>50</v>
      </c>
      <c r="J977">
        <v>49.962020873999997</v>
      </c>
      <c r="K977">
        <v>0</v>
      </c>
      <c r="L977">
        <v>2400</v>
      </c>
      <c r="M977">
        <v>2400</v>
      </c>
      <c r="N977">
        <v>0</v>
      </c>
    </row>
    <row r="978" spans="1:14" x14ac:dyDescent="0.25">
      <c r="A978">
        <v>636.74591899999996</v>
      </c>
      <c r="B978" s="1">
        <f>DATE(2012,1,27) + TIME(17,54,7)</f>
        <v>40935.74591435185</v>
      </c>
      <c r="C978">
        <v>963.39697265999996</v>
      </c>
      <c r="D978">
        <v>828.05279541000004</v>
      </c>
      <c r="E978">
        <v>1967.8572998</v>
      </c>
      <c r="F978">
        <v>1776.0607910000001</v>
      </c>
      <c r="G978">
        <v>80</v>
      </c>
      <c r="H978">
        <v>67.289016724000007</v>
      </c>
      <c r="I978">
        <v>50</v>
      </c>
      <c r="J978">
        <v>49.962135314999998</v>
      </c>
      <c r="K978">
        <v>0</v>
      </c>
      <c r="L978">
        <v>2400</v>
      </c>
      <c r="M978">
        <v>2400</v>
      </c>
      <c r="N978">
        <v>0</v>
      </c>
    </row>
    <row r="979" spans="1:14" x14ac:dyDescent="0.25">
      <c r="A979">
        <v>639.34098700000004</v>
      </c>
      <c r="B979" s="1">
        <f>DATE(2012,1,30) + TIME(8,11,1)</f>
        <v>40938.340983796297</v>
      </c>
      <c r="C979">
        <v>961.32897949000005</v>
      </c>
      <c r="D979">
        <v>825.26739501999998</v>
      </c>
      <c r="E979">
        <v>1967.3023682</v>
      </c>
      <c r="F979">
        <v>1775.5095214999999</v>
      </c>
      <c r="G979">
        <v>80</v>
      </c>
      <c r="H979">
        <v>66.865097046000002</v>
      </c>
      <c r="I979">
        <v>50</v>
      </c>
      <c r="J979">
        <v>49.962245940999999</v>
      </c>
      <c r="K979">
        <v>0</v>
      </c>
      <c r="L979">
        <v>2400</v>
      </c>
      <c r="M979">
        <v>2400</v>
      </c>
      <c r="N979">
        <v>0</v>
      </c>
    </row>
    <row r="980" spans="1:14" x14ac:dyDescent="0.25">
      <c r="A980">
        <v>641</v>
      </c>
      <c r="B980" s="1">
        <f>DATE(2012,2,1) + TIME(0,0,0)</f>
        <v>40940</v>
      </c>
      <c r="C980">
        <v>959.18109131000006</v>
      </c>
      <c r="D980">
        <v>822.44842529000005</v>
      </c>
      <c r="E980">
        <v>1966.7595214999999</v>
      </c>
      <c r="F980">
        <v>1774.9704589999999</v>
      </c>
      <c r="G980">
        <v>80</v>
      </c>
      <c r="H980">
        <v>66.484619140999996</v>
      </c>
      <c r="I980">
        <v>50</v>
      </c>
      <c r="J980">
        <v>49.962310791</v>
      </c>
      <c r="K980">
        <v>0</v>
      </c>
      <c r="L980">
        <v>2400</v>
      </c>
      <c r="M980">
        <v>2400</v>
      </c>
      <c r="N980">
        <v>0</v>
      </c>
    </row>
    <row r="981" spans="1:14" x14ac:dyDescent="0.25">
      <c r="A981">
        <v>643.62240699999995</v>
      </c>
      <c r="B981" s="1">
        <f>DATE(2012,2,3) + TIME(14,56,15)</f>
        <v>40942.622395833336</v>
      </c>
      <c r="C981">
        <v>957.75933838000003</v>
      </c>
      <c r="D981">
        <v>820.359375</v>
      </c>
      <c r="E981">
        <v>1966.411499</v>
      </c>
      <c r="F981">
        <v>1774.6248779</v>
      </c>
      <c r="G981">
        <v>80</v>
      </c>
      <c r="H981">
        <v>66.116035460999996</v>
      </c>
      <c r="I981">
        <v>50</v>
      </c>
      <c r="J981">
        <v>49.962436676000003</v>
      </c>
      <c r="K981">
        <v>0</v>
      </c>
      <c r="L981">
        <v>2400</v>
      </c>
      <c r="M981">
        <v>2400</v>
      </c>
      <c r="N981">
        <v>0</v>
      </c>
    </row>
    <row r="982" spans="1:14" x14ac:dyDescent="0.25">
      <c r="A982">
        <v>646.27185399999996</v>
      </c>
      <c r="B982" s="1">
        <f>DATE(2012,2,6) + TIME(6,31,28)</f>
        <v>40945.271851851852</v>
      </c>
      <c r="C982">
        <v>955.50061034999999</v>
      </c>
      <c r="D982">
        <v>817.28613281000003</v>
      </c>
      <c r="E982">
        <v>1965.8869629000001</v>
      </c>
      <c r="F982">
        <v>1774.104126</v>
      </c>
      <c r="G982">
        <v>80</v>
      </c>
      <c r="H982">
        <v>65.677459717000005</v>
      </c>
      <c r="I982">
        <v>50</v>
      </c>
      <c r="J982">
        <v>49.962547301999997</v>
      </c>
      <c r="K982">
        <v>0</v>
      </c>
      <c r="L982">
        <v>2400</v>
      </c>
      <c r="M982">
        <v>2400</v>
      </c>
      <c r="N982">
        <v>0</v>
      </c>
    </row>
    <row r="983" spans="1:14" x14ac:dyDescent="0.25">
      <c r="A983">
        <v>648.94156799999996</v>
      </c>
      <c r="B983" s="1">
        <f>DATE(2012,2,8) + TIME(22,35,51)</f>
        <v>40947.941562499997</v>
      </c>
      <c r="C983">
        <v>953.14343262</v>
      </c>
      <c r="D983">
        <v>814.02862548999997</v>
      </c>
      <c r="E983">
        <v>1965.3662108999999</v>
      </c>
      <c r="F983">
        <v>1773.5871582</v>
      </c>
      <c r="G983">
        <v>80</v>
      </c>
      <c r="H983">
        <v>65.209884643999999</v>
      </c>
      <c r="I983">
        <v>50</v>
      </c>
      <c r="J983">
        <v>49.962657927999999</v>
      </c>
      <c r="K983">
        <v>0</v>
      </c>
      <c r="L983">
        <v>2400</v>
      </c>
      <c r="M983">
        <v>2400</v>
      </c>
      <c r="N983">
        <v>0</v>
      </c>
    </row>
    <row r="984" spans="1:14" x14ac:dyDescent="0.25">
      <c r="A984">
        <v>651.62932799999999</v>
      </c>
      <c r="B984" s="1">
        <f>DATE(2012,2,11) + TIME(15,6,13)</f>
        <v>40950.629317129627</v>
      </c>
      <c r="C984">
        <v>950.70263671999999</v>
      </c>
      <c r="D984">
        <v>810.62255859000004</v>
      </c>
      <c r="E984">
        <v>1964.8533935999999</v>
      </c>
      <c r="F984">
        <v>1773.0782471</v>
      </c>
      <c r="G984">
        <v>80</v>
      </c>
      <c r="H984">
        <v>64.724533081000004</v>
      </c>
      <c r="I984">
        <v>50</v>
      </c>
      <c r="J984">
        <v>49.962772369</v>
      </c>
      <c r="K984">
        <v>0</v>
      </c>
      <c r="L984">
        <v>2400</v>
      </c>
      <c r="M984">
        <v>2400</v>
      </c>
      <c r="N984">
        <v>0</v>
      </c>
    </row>
    <row r="985" spans="1:14" x14ac:dyDescent="0.25">
      <c r="A985">
        <v>654.33719299999996</v>
      </c>
      <c r="B985" s="1">
        <f>DATE(2012,2,14) + TIME(8,5,33)</f>
        <v>40953.337187500001</v>
      </c>
      <c r="C985">
        <v>948.18023682</v>
      </c>
      <c r="D985">
        <v>807.07452393000005</v>
      </c>
      <c r="E985">
        <v>1964.3487548999999</v>
      </c>
      <c r="F985">
        <v>1772.5775146000001</v>
      </c>
      <c r="G985">
        <v>80</v>
      </c>
      <c r="H985">
        <v>64.224220275999997</v>
      </c>
      <c r="I985">
        <v>50</v>
      </c>
      <c r="J985">
        <v>49.962882995999998</v>
      </c>
      <c r="K985">
        <v>0</v>
      </c>
      <c r="L985">
        <v>2400</v>
      </c>
      <c r="M985">
        <v>2400</v>
      </c>
      <c r="N985">
        <v>0</v>
      </c>
    </row>
    <row r="986" spans="1:14" x14ac:dyDescent="0.25">
      <c r="A986">
        <v>657.05632800000001</v>
      </c>
      <c r="B986" s="1">
        <f>DATE(2012,2,17) + TIME(1,21,6)</f>
        <v>40956.056319444448</v>
      </c>
      <c r="C986">
        <v>945.57379149999997</v>
      </c>
      <c r="D986">
        <v>803.38208008000004</v>
      </c>
      <c r="E986">
        <v>1963.8513184000001</v>
      </c>
      <c r="F986">
        <v>1772.0838623</v>
      </c>
      <c r="G986">
        <v>80</v>
      </c>
      <c r="H986">
        <v>63.709686279000003</v>
      </c>
      <c r="I986">
        <v>50</v>
      </c>
      <c r="J986">
        <v>49.962997436999999</v>
      </c>
      <c r="K986">
        <v>0</v>
      </c>
      <c r="L986">
        <v>2400</v>
      </c>
      <c r="M986">
        <v>2400</v>
      </c>
      <c r="N986">
        <v>0</v>
      </c>
    </row>
    <row r="987" spans="1:14" x14ac:dyDescent="0.25">
      <c r="A987">
        <v>659.792011</v>
      </c>
      <c r="B987" s="1">
        <f>DATE(2012,2,19) + TIME(19,0,29)</f>
        <v>40958.792002314818</v>
      </c>
      <c r="C987">
        <v>942.89141845999995</v>
      </c>
      <c r="D987">
        <v>799.55395508000004</v>
      </c>
      <c r="E987">
        <v>1963.3621826000001</v>
      </c>
      <c r="F987">
        <v>1771.5986327999999</v>
      </c>
      <c r="G987">
        <v>80</v>
      </c>
      <c r="H987">
        <v>63.181747436999999</v>
      </c>
      <c r="I987">
        <v>50</v>
      </c>
      <c r="J987">
        <v>49.963108063</v>
      </c>
      <c r="K987">
        <v>0</v>
      </c>
      <c r="L987">
        <v>2400</v>
      </c>
      <c r="M987">
        <v>2400</v>
      </c>
      <c r="N987">
        <v>0</v>
      </c>
    </row>
    <row r="988" spans="1:14" x14ac:dyDescent="0.25">
      <c r="A988">
        <v>662.54937500000005</v>
      </c>
      <c r="B988" s="1">
        <f>DATE(2012,2,22) + TIME(13,11,6)</f>
        <v>40961.549375000002</v>
      </c>
      <c r="C988">
        <v>940.12817383000004</v>
      </c>
      <c r="D988">
        <v>795.58306885000002</v>
      </c>
      <c r="E988">
        <v>1962.8798827999999</v>
      </c>
      <c r="F988">
        <v>1771.1201172000001</v>
      </c>
      <c r="G988">
        <v>80</v>
      </c>
      <c r="H988">
        <v>62.639892578000001</v>
      </c>
      <c r="I988">
        <v>50</v>
      </c>
      <c r="J988">
        <v>49.963218689000001</v>
      </c>
      <c r="K988">
        <v>0</v>
      </c>
      <c r="L988">
        <v>2400</v>
      </c>
      <c r="M988">
        <v>2400</v>
      </c>
      <c r="N988">
        <v>0</v>
      </c>
    </row>
    <row r="989" spans="1:14" x14ac:dyDescent="0.25">
      <c r="A989">
        <v>665.32974300000001</v>
      </c>
      <c r="B989" s="1">
        <f>DATE(2012,2,25) + TIME(7,54,49)</f>
        <v>40964.329733796294</v>
      </c>
      <c r="C989">
        <v>937.27899170000001</v>
      </c>
      <c r="D989">
        <v>791.46124268000005</v>
      </c>
      <c r="E989">
        <v>1962.4029541</v>
      </c>
      <c r="F989">
        <v>1770.6469727000001</v>
      </c>
      <c r="G989">
        <v>80</v>
      </c>
      <c r="H989">
        <v>62.083515167000002</v>
      </c>
      <c r="I989">
        <v>50</v>
      </c>
      <c r="J989">
        <v>49.963333130000002</v>
      </c>
      <c r="K989">
        <v>0</v>
      </c>
      <c r="L989">
        <v>2400</v>
      </c>
      <c r="M989">
        <v>2400</v>
      </c>
      <c r="N989">
        <v>0</v>
      </c>
    </row>
    <row r="990" spans="1:14" x14ac:dyDescent="0.25">
      <c r="A990">
        <v>668.12715300000002</v>
      </c>
      <c r="B990" s="1">
        <f>DATE(2012,2,28) + TIME(3,3,5)</f>
        <v>40967.127141203702</v>
      </c>
      <c r="C990">
        <v>934.34210204999999</v>
      </c>
      <c r="D990">
        <v>787.18536376999998</v>
      </c>
      <c r="E990">
        <v>1961.9306641000001</v>
      </c>
      <c r="F990">
        <v>1770.1784668</v>
      </c>
      <c r="G990">
        <v>80</v>
      </c>
      <c r="H990">
        <v>61.512760161999999</v>
      </c>
      <c r="I990">
        <v>50</v>
      </c>
      <c r="J990">
        <v>49.963443755999997</v>
      </c>
      <c r="K990">
        <v>0</v>
      </c>
      <c r="L990">
        <v>2400</v>
      </c>
      <c r="M990">
        <v>2400</v>
      </c>
      <c r="N990">
        <v>0</v>
      </c>
    </row>
    <row r="991" spans="1:14" x14ac:dyDescent="0.25">
      <c r="A991">
        <v>670</v>
      </c>
      <c r="B991" s="1">
        <f>DATE(2012,3,1) + TIME(0,0,0)</f>
        <v>40969</v>
      </c>
      <c r="C991">
        <v>931.32824706999997</v>
      </c>
      <c r="D991">
        <v>782.90502930000002</v>
      </c>
      <c r="E991">
        <v>1961.465332</v>
      </c>
      <c r="F991">
        <v>1769.7169189000001</v>
      </c>
      <c r="G991">
        <v>80</v>
      </c>
      <c r="H991">
        <v>60.992134094000001</v>
      </c>
      <c r="I991">
        <v>50</v>
      </c>
      <c r="J991">
        <v>49.963512420999997</v>
      </c>
      <c r="K991">
        <v>0</v>
      </c>
      <c r="L991">
        <v>2400</v>
      </c>
      <c r="M991">
        <v>2400</v>
      </c>
      <c r="N991">
        <v>0</v>
      </c>
    </row>
    <row r="992" spans="1:14" x14ac:dyDescent="0.25">
      <c r="A992">
        <v>672.81958199999997</v>
      </c>
      <c r="B992" s="1">
        <f>DATE(2012,3,3) + TIME(19,40,11)</f>
        <v>40971.819571759261</v>
      </c>
      <c r="C992">
        <v>929.24731444999998</v>
      </c>
      <c r="D992">
        <v>779.63092041000004</v>
      </c>
      <c r="E992">
        <v>1961.151001</v>
      </c>
      <c r="F992">
        <v>1769.4051514</v>
      </c>
      <c r="G992">
        <v>80</v>
      </c>
      <c r="H992">
        <v>60.499084473000003</v>
      </c>
      <c r="I992">
        <v>50</v>
      </c>
      <c r="J992">
        <v>49.963630676000001</v>
      </c>
      <c r="K992">
        <v>0</v>
      </c>
      <c r="L992">
        <v>2400</v>
      </c>
      <c r="M992">
        <v>2400</v>
      </c>
      <c r="N992">
        <v>0</v>
      </c>
    </row>
    <row r="993" spans="1:14" x14ac:dyDescent="0.25">
      <c r="A993">
        <v>675.68071999999995</v>
      </c>
      <c r="B993" s="1">
        <f>DATE(2012,3,6) + TIME(16,20,14)</f>
        <v>40974.680717592593</v>
      </c>
      <c r="C993">
        <v>926.12109375</v>
      </c>
      <c r="D993">
        <v>775.05084228999999</v>
      </c>
      <c r="E993">
        <v>1960.6956786999999</v>
      </c>
      <c r="F993">
        <v>1768.9536132999999</v>
      </c>
      <c r="G993">
        <v>80</v>
      </c>
      <c r="H993">
        <v>59.917831421000002</v>
      </c>
      <c r="I993">
        <v>50</v>
      </c>
      <c r="J993">
        <v>49.963741302000003</v>
      </c>
      <c r="K993">
        <v>0</v>
      </c>
      <c r="L993">
        <v>2400</v>
      </c>
      <c r="M993">
        <v>2400</v>
      </c>
      <c r="N993">
        <v>0</v>
      </c>
    </row>
    <row r="994" spans="1:14" x14ac:dyDescent="0.25">
      <c r="A994">
        <v>678.56318499999998</v>
      </c>
      <c r="B994" s="1">
        <f>DATE(2012,3,9) + TIME(13,30,59)</f>
        <v>40977.56318287037</v>
      </c>
      <c r="C994">
        <v>922.87493896000001</v>
      </c>
      <c r="D994">
        <v>770.22863770000004</v>
      </c>
      <c r="E994">
        <v>1960.2370605000001</v>
      </c>
      <c r="F994">
        <v>1768.4987793</v>
      </c>
      <c r="G994">
        <v>80</v>
      </c>
      <c r="H994">
        <v>59.302124022999998</v>
      </c>
      <c r="I994">
        <v>50</v>
      </c>
      <c r="J994">
        <v>49.963851929</v>
      </c>
      <c r="K994">
        <v>0</v>
      </c>
      <c r="L994">
        <v>2400</v>
      </c>
      <c r="M994">
        <v>2400</v>
      </c>
      <c r="N994">
        <v>0</v>
      </c>
    </row>
    <row r="995" spans="1:14" x14ac:dyDescent="0.25">
      <c r="A995">
        <v>681.46338300000002</v>
      </c>
      <c r="B995" s="1">
        <f>DATE(2012,3,12) + TIME(11,7,16)</f>
        <v>40980.463379629633</v>
      </c>
      <c r="C995">
        <v>919.54498291000004</v>
      </c>
      <c r="D995">
        <v>765.24102783000001</v>
      </c>
      <c r="E995">
        <v>1959.7810059000001</v>
      </c>
      <c r="F995">
        <v>1768.0463867000001</v>
      </c>
      <c r="G995">
        <v>80</v>
      </c>
      <c r="H995">
        <v>58.668952941999997</v>
      </c>
      <c r="I995">
        <v>50</v>
      </c>
      <c r="J995">
        <v>49.963962555000002</v>
      </c>
      <c r="K995">
        <v>0</v>
      </c>
      <c r="L995">
        <v>2400</v>
      </c>
      <c r="M995">
        <v>2400</v>
      </c>
      <c r="N995">
        <v>0</v>
      </c>
    </row>
    <row r="996" spans="1:14" x14ac:dyDescent="0.25">
      <c r="A996">
        <v>684.379144</v>
      </c>
      <c r="B996" s="1">
        <f>DATE(2012,3,15) + TIME(9,5,58)</f>
        <v>40983.379143518519</v>
      </c>
      <c r="C996">
        <v>916.13922118999994</v>
      </c>
      <c r="D996">
        <v>760.10729979999996</v>
      </c>
      <c r="E996">
        <v>1959.3276367000001</v>
      </c>
      <c r="F996">
        <v>1767.5968018000001</v>
      </c>
      <c r="G996">
        <v>80</v>
      </c>
      <c r="H996">
        <v>58.023483276</v>
      </c>
      <c r="I996">
        <v>50</v>
      </c>
      <c r="J996">
        <v>49.964073181000003</v>
      </c>
      <c r="K996">
        <v>0</v>
      </c>
      <c r="L996">
        <v>2400</v>
      </c>
      <c r="M996">
        <v>2400</v>
      </c>
      <c r="N996">
        <v>0</v>
      </c>
    </row>
    <row r="997" spans="1:14" x14ac:dyDescent="0.25">
      <c r="A997">
        <v>687.316146</v>
      </c>
      <c r="B997" s="1">
        <f>DATE(2012,3,18) + TIME(7,35,14)</f>
        <v>40986.316134259258</v>
      </c>
      <c r="C997">
        <v>912.66308593999997</v>
      </c>
      <c r="D997">
        <v>754.83612060999997</v>
      </c>
      <c r="E997">
        <v>1958.8769531</v>
      </c>
      <c r="F997">
        <v>1767.1497803</v>
      </c>
      <c r="G997">
        <v>80</v>
      </c>
      <c r="H997">
        <v>57.367500305</v>
      </c>
      <c r="I997">
        <v>50</v>
      </c>
      <c r="J997">
        <v>49.964183806999998</v>
      </c>
      <c r="K997">
        <v>0</v>
      </c>
      <c r="L997">
        <v>2400</v>
      </c>
      <c r="M997">
        <v>2400</v>
      </c>
      <c r="N997">
        <v>0</v>
      </c>
    </row>
    <row r="998" spans="1:14" x14ac:dyDescent="0.25">
      <c r="A998">
        <v>690.27511100000004</v>
      </c>
      <c r="B998" s="1">
        <f>DATE(2012,3,21) + TIME(6,36,9)</f>
        <v>40989.275104166663</v>
      </c>
      <c r="C998">
        <v>909.11291503999996</v>
      </c>
      <c r="D998">
        <v>749.42303466999999</v>
      </c>
      <c r="E998">
        <v>1958.4276123</v>
      </c>
      <c r="F998">
        <v>1766.7041016000001</v>
      </c>
      <c r="G998">
        <v>80</v>
      </c>
      <c r="H998">
        <v>56.701251984000002</v>
      </c>
      <c r="I998">
        <v>50</v>
      </c>
      <c r="J998">
        <v>49.964294434000003</v>
      </c>
      <c r="K998">
        <v>0</v>
      </c>
      <c r="L998">
        <v>2400</v>
      </c>
      <c r="M998">
        <v>2400</v>
      </c>
      <c r="N998">
        <v>0</v>
      </c>
    </row>
    <row r="999" spans="1:14" x14ac:dyDescent="0.25">
      <c r="A999">
        <v>693.26191800000004</v>
      </c>
      <c r="B999" s="1">
        <f>DATE(2012,3,24) + TIME(6,17,9)</f>
        <v>40992.26190972222</v>
      </c>
      <c r="C999">
        <v>905.49047852000001</v>
      </c>
      <c r="D999">
        <v>743.86938477000001</v>
      </c>
      <c r="E999">
        <v>1957.9790039</v>
      </c>
      <c r="F999">
        <v>1766.2591553</v>
      </c>
      <c r="G999">
        <v>80</v>
      </c>
      <c r="H999">
        <v>56.025108336999999</v>
      </c>
      <c r="I999">
        <v>50</v>
      </c>
      <c r="J999">
        <v>49.964405059999997</v>
      </c>
      <c r="K999">
        <v>0</v>
      </c>
      <c r="L999">
        <v>2400</v>
      </c>
      <c r="M999">
        <v>2400</v>
      </c>
      <c r="N999">
        <v>0</v>
      </c>
    </row>
    <row r="1000" spans="1:14" x14ac:dyDescent="0.25">
      <c r="A1000">
        <v>696.27647999999999</v>
      </c>
      <c r="B1000" s="1">
        <f>DATE(2012,3,27) + TIME(6,38,7)</f>
        <v>40995.276469907411</v>
      </c>
      <c r="C1000">
        <v>901.79199218999997</v>
      </c>
      <c r="D1000">
        <v>738.16979979999996</v>
      </c>
      <c r="E1000">
        <v>1957.5299072</v>
      </c>
      <c r="F1000">
        <v>1765.8135986</v>
      </c>
      <c r="G1000">
        <v>80</v>
      </c>
      <c r="H1000">
        <v>55.339080811000002</v>
      </c>
      <c r="I1000">
        <v>50</v>
      </c>
      <c r="J1000">
        <v>49.964515685999999</v>
      </c>
      <c r="K1000">
        <v>0</v>
      </c>
      <c r="L1000">
        <v>2400</v>
      </c>
      <c r="M1000">
        <v>2400</v>
      </c>
      <c r="N1000">
        <v>0</v>
      </c>
    </row>
    <row r="1001" spans="1:14" x14ac:dyDescent="0.25">
      <c r="A1001">
        <v>699.31174899999996</v>
      </c>
      <c r="B1001" s="1">
        <f>DATE(2012,3,30) + TIME(7,28,55)</f>
        <v>40998.311747685184</v>
      </c>
      <c r="C1001">
        <v>898.02087401999995</v>
      </c>
      <c r="D1001">
        <v>732.32952881000006</v>
      </c>
      <c r="E1001">
        <v>1957.0797118999999</v>
      </c>
      <c r="F1001">
        <v>1765.3670654</v>
      </c>
      <c r="G1001">
        <v>80</v>
      </c>
      <c r="H1001">
        <v>54.644313812</v>
      </c>
      <c r="I1001">
        <v>50</v>
      </c>
      <c r="J1001">
        <v>49.964626312</v>
      </c>
      <c r="K1001">
        <v>0</v>
      </c>
      <c r="L1001">
        <v>2400</v>
      </c>
      <c r="M1001">
        <v>2400</v>
      </c>
      <c r="N1001">
        <v>0</v>
      </c>
    </row>
    <row r="1002" spans="1:14" x14ac:dyDescent="0.25">
      <c r="A1002">
        <v>701</v>
      </c>
      <c r="B1002" s="1">
        <f>DATE(2012,4,1) + TIME(0,0,0)</f>
        <v>41000</v>
      </c>
      <c r="C1002">
        <v>894.20489501999998</v>
      </c>
      <c r="D1002">
        <v>726.67840576000003</v>
      </c>
      <c r="E1002">
        <v>1956.6350098</v>
      </c>
      <c r="F1002">
        <v>1764.9257812000001</v>
      </c>
      <c r="G1002">
        <v>80</v>
      </c>
      <c r="H1002">
        <v>54.051448821999998</v>
      </c>
      <c r="I1002">
        <v>50</v>
      </c>
      <c r="J1002">
        <v>49.964679717999999</v>
      </c>
      <c r="K1002">
        <v>0</v>
      </c>
      <c r="L1002">
        <v>2400</v>
      </c>
      <c r="M1002">
        <v>2400</v>
      </c>
      <c r="N1002">
        <v>0</v>
      </c>
    </row>
    <row r="1003" spans="1:14" x14ac:dyDescent="0.25">
      <c r="A1003">
        <v>704.05814999999996</v>
      </c>
      <c r="B1003" s="1">
        <f>DATE(2012,4,4) + TIME(1,23,44)</f>
        <v>41003.058148148149</v>
      </c>
      <c r="C1003">
        <v>892.01953125</v>
      </c>
      <c r="D1003">
        <v>722.84661864999998</v>
      </c>
      <c r="E1003">
        <v>1956.3736572</v>
      </c>
      <c r="F1003">
        <v>1764.6663818</v>
      </c>
      <c r="G1003">
        <v>80</v>
      </c>
      <c r="H1003">
        <v>53.505580901999998</v>
      </c>
      <c r="I1003">
        <v>50</v>
      </c>
      <c r="J1003">
        <v>49.964801788000003</v>
      </c>
      <c r="K1003">
        <v>0</v>
      </c>
      <c r="L1003">
        <v>2400</v>
      </c>
      <c r="M1003">
        <v>2400</v>
      </c>
      <c r="N1003">
        <v>0</v>
      </c>
    </row>
    <row r="1004" spans="1:14" x14ac:dyDescent="0.25">
      <c r="A1004">
        <v>707.16639899999996</v>
      </c>
      <c r="B1004" s="1">
        <f>DATE(2012,4,7) + TIME(3,59,36)</f>
        <v>41006.166388888887</v>
      </c>
      <c r="C1004">
        <v>888.14318848000005</v>
      </c>
      <c r="D1004">
        <v>716.85546875</v>
      </c>
      <c r="E1004">
        <v>1955.9282227000001</v>
      </c>
      <c r="F1004">
        <v>1764.2244873</v>
      </c>
      <c r="G1004">
        <v>80</v>
      </c>
      <c r="H1004">
        <v>52.832473755000002</v>
      </c>
      <c r="I1004">
        <v>50</v>
      </c>
      <c r="J1004">
        <v>49.964908600000001</v>
      </c>
      <c r="K1004">
        <v>0</v>
      </c>
      <c r="L1004">
        <v>2400</v>
      </c>
      <c r="M1004">
        <v>2400</v>
      </c>
      <c r="N1004">
        <v>0</v>
      </c>
    </row>
    <row r="1005" spans="1:14" x14ac:dyDescent="0.25">
      <c r="A1005">
        <v>710.31052399999999</v>
      </c>
      <c r="B1005" s="1">
        <f>DATE(2012,4,10) + TIME(7,27,9)</f>
        <v>41009.310520833336</v>
      </c>
      <c r="C1005">
        <v>884.15686034999999</v>
      </c>
      <c r="D1005">
        <v>710.59405518000005</v>
      </c>
      <c r="E1005">
        <v>1955.4724120999999</v>
      </c>
      <c r="F1005">
        <v>1763.7722168</v>
      </c>
      <c r="G1005">
        <v>80</v>
      </c>
      <c r="H1005">
        <v>52.123382567999997</v>
      </c>
      <c r="I1005">
        <v>50</v>
      </c>
      <c r="J1005">
        <v>49.965019226000003</v>
      </c>
      <c r="K1005">
        <v>0</v>
      </c>
      <c r="L1005">
        <v>2400</v>
      </c>
      <c r="M1005">
        <v>2400</v>
      </c>
      <c r="N1005">
        <v>0</v>
      </c>
    </row>
    <row r="1006" spans="1:14" x14ac:dyDescent="0.25">
      <c r="A1006">
        <v>713.48855000000003</v>
      </c>
      <c r="B1006" s="1">
        <f>DATE(2012,4,13) + TIME(11,43,30)</f>
        <v>41012.488541666666</v>
      </c>
      <c r="C1006">
        <v>880.10437012</v>
      </c>
      <c r="D1006">
        <v>704.18023682</v>
      </c>
      <c r="E1006">
        <v>1955.0124512</v>
      </c>
      <c r="F1006">
        <v>1763.3157959</v>
      </c>
      <c r="G1006">
        <v>80</v>
      </c>
      <c r="H1006">
        <v>51.402229308999999</v>
      </c>
      <c r="I1006">
        <v>50</v>
      </c>
      <c r="J1006">
        <v>49.965129851999997</v>
      </c>
      <c r="K1006">
        <v>0</v>
      </c>
      <c r="L1006">
        <v>2400</v>
      </c>
      <c r="M1006">
        <v>2400</v>
      </c>
      <c r="N1006">
        <v>0</v>
      </c>
    </row>
    <row r="1007" spans="1:14" x14ac:dyDescent="0.25">
      <c r="A1007">
        <v>716.70223299999998</v>
      </c>
      <c r="B1007" s="1">
        <f>DATE(2012,4,16) + TIME(16,51,12)</f>
        <v>41015.702222222222</v>
      </c>
      <c r="C1007">
        <v>875.99633788999995</v>
      </c>
      <c r="D1007">
        <v>697.64343262</v>
      </c>
      <c r="E1007">
        <v>1954.5487060999999</v>
      </c>
      <c r="F1007">
        <v>1762.8554687999999</v>
      </c>
      <c r="G1007">
        <v>80</v>
      </c>
      <c r="H1007">
        <v>50.675666808999999</v>
      </c>
      <c r="I1007">
        <v>50</v>
      </c>
      <c r="J1007">
        <v>49.965240479000002</v>
      </c>
      <c r="K1007">
        <v>0</v>
      </c>
      <c r="L1007">
        <v>2400</v>
      </c>
      <c r="M1007">
        <v>2400</v>
      </c>
      <c r="N1007">
        <v>0</v>
      </c>
    </row>
    <row r="1008" spans="1:14" x14ac:dyDescent="0.25">
      <c r="A1008">
        <v>719.95598199999995</v>
      </c>
      <c r="B1008" s="1">
        <f>DATE(2012,4,19) + TIME(22,56,36)</f>
        <v>41018.955972222226</v>
      </c>
      <c r="C1008">
        <v>871.83697510000002</v>
      </c>
      <c r="D1008">
        <v>690.99395751999998</v>
      </c>
      <c r="E1008">
        <v>1954.0805664</v>
      </c>
      <c r="F1008">
        <v>1762.3907471</v>
      </c>
      <c r="G1008">
        <v>80</v>
      </c>
      <c r="H1008">
        <v>49.946029662999997</v>
      </c>
      <c r="I1008">
        <v>50</v>
      </c>
      <c r="J1008">
        <v>49.965354918999999</v>
      </c>
      <c r="K1008">
        <v>0</v>
      </c>
      <c r="L1008">
        <v>2400</v>
      </c>
      <c r="M1008">
        <v>2400</v>
      </c>
      <c r="N1008">
        <v>0</v>
      </c>
    </row>
    <row r="1009" spans="1:14" x14ac:dyDescent="0.25">
      <c r="A1009">
        <v>723.25687800000003</v>
      </c>
      <c r="B1009" s="1">
        <f>DATE(2012,4,23) + TIME(6,9,54)</f>
        <v>41022.256874999999</v>
      </c>
      <c r="C1009">
        <v>867.62841796999999</v>
      </c>
      <c r="D1009">
        <v>684.23333739999998</v>
      </c>
      <c r="E1009">
        <v>1953.6071777</v>
      </c>
      <c r="F1009">
        <v>1761.9206543</v>
      </c>
      <c r="G1009">
        <v>80</v>
      </c>
      <c r="H1009">
        <v>49.212947845000002</v>
      </c>
      <c r="I1009">
        <v>50</v>
      </c>
      <c r="J1009">
        <v>49.965465545999997</v>
      </c>
      <c r="K1009">
        <v>0</v>
      </c>
      <c r="L1009">
        <v>2400</v>
      </c>
      <c r="M1009">
        <v>2400</v>
      </c>
      <c r="N1009">
        <v>0</v>
      </c>
    </row>
    <row r="1010" spans="1:14" x14ac:dyDescent="0.25">
      <c r="A1010">
        <v>726.61245599999995</v>
      </c>
      <c r="B1010" s="1">
        <f>DATE(2012,4,26) + TIME(14,41,56)</f>
        <v>41025.612453703703</v>
      </c>
      <c r="C1010">
        <v>863.36761475000003</v>
      </c>
      <c r="D1010">
        <v>677.35821533000001</v>
      </c>
      <c r="E1010">
        <v>1953.1270752</v>
      </c>
      <c r="F1010">
        <v>1761.4440918</v>
      </c>
      <c r="G1010">
        <v>80</v>
      </c>
      <c r="H1010">
        <v>48.477245330999999</v>
      </c>
      <c r="I1010">
        <v>50</v>
      </c>
      <c r="J1010">
        <v>49.965579986999998</v>
      </c>
      <c r="K1010">
        <v>0</v>
      </c>
      <c r="L1010">
        <v>2400</v>
      </c>
      <c r="M1010">
        <v>2400</v>
      </c>
      <c r="N1010">
        <v>0</v>
      </c>
    </row>
    <row r="1011" spans="1:14" x14ac:dyDescent="0.25">
      <c r="A1011">
        <v>730.02993800000002</v>
      </c>
      <c r="B1011" s="1">
        <f>DATE(2012,4,30) + TIME(0,43,6)</f>
        <v>41029.029930555553</v>
      </c>
      <c r="C1011">
        <v>859.05255126999998</v>
      </c>
      <c r="D1011">
        <v>670.36492920000001</v>
      </c>
      <c r="E1011">
        <v>1952.6392822</v>
      </c>
      <c r="F1011">
        <v>1760.9595947</v>
      </c>
      <c r="G1011">
        <v>80</v>
      </c>
      <c r="H1011">
        <v>47.738914489999999</v>
      </c>
      <c r="I1011">
        <v>50</v>
      </c>
      <c r="J1011">
        <v>49.965694427000003</v>
      </c>
      <c r="K1011">
        <v>0</v>
      </c>
      <c r="L1011">
        <v>2400</v>
      </c>
      <c r="M1011">
        <v>2400</v>
      </c>
      <c r="N1011">
        <v>0</v>
      </c>
    </row>
    <row r="1012" spans="1:14" x14ac:dyDescent="0.25">
      <c r="A1012">
        <v>731</v>
      </c>
      <c r="B1012" s="1">
        <f>DATE(2012,5,1) + TIME(0,0,0)</f>
        <v>41030</v>
      </c>
      <c r="C1012">
        <v>854.74334716999999</v>
      </c>
      <c r="D1012">
        <v>664.18157958999996</v>
      </c>
      <c r="E1012">
        <v>1952.1745605000001</v>
      </c>
      <c r="F1012">
        <v>1760.4980469</v>
      </c>
      <c r="G1012">
        <v>80</v>
      </c>
      <c r="H1012">
        <v>47.252891540999997</v>
      </c>
      <c r="I1012">
        <v>50</v>
      </c>
      <c r="J1012">
        <v>49.965705872000001</v>
      </c>
      <c r="K1012">
        <v>0</v>
      </c>
      <c r="L1012">
        <v>2400</v>
      </c>
      <c r="M1012">
        <v>2400</v>
      </c>
      <c r="N1012">
        <v>0</v>
      </c>
    </row>
    <row r="1013" spans="1:14" x14ac:dyDescent="0.25">
      <c r="A1013">
        <v>731.000001</v>
      </c>
      <c r="B1013" s="1">
        <f>DATE(2012,5,1) + TIME(0,0,0)</f>
        <v>41030</v>
      </c>
      <c r="C1013">
        <v>1046.8146973</v>
      </c>
      <c r="D1013">
        <v>855.60821533000001</v>
      </c>
      <c r="E1013">
        <v>1759.5900879000001</v>
      </c>
      <c r="F1013">
        <v>1567.8665771000001</v>
      </c>
      <c r="G1013">
        <v>80</v>
      </c>
      <c r="H1013">
        <v>47.253032683999997</v>
      </c>
      <c r="I1013">
        <v>50</v>
      </c>
      <c r="J1013">
        <v>49.965591431</v>
      </c>
      <c r="K1013">
        <v>2400</v>
      </c>
      <c r="L1013">
        <v>0</v>
      </c>
      <c r="M1013">
        <v>0</v>
      </c>
      <c r="N1013">
        <v>2400</v>
      </c>
    </row>
    <row r="1014" spans="1:14" x14ac:dyDescent="0.25">
      <c r="A1014">
        <v>731.00000399999999</v>
      </c>
      <c r="B1014" s="1">
        <f>DATE(2012,5,1) + TIME(0,0,0)</f>
        <v>41030</v>
      </c>
      <c r="C1014">
        <v>1049.5130615</v>
      </c>
      <c r="D1014">
        <v>858.17224121000004</v>
      </c>
      <c r="E1014">
        <v>1756.9011230000001</v>
      </c>
      <c r="F1014">
        <v>1565.1754149999999</v>
      </c>
      <c r="G1014">
        <v>80</v>
      </c>
      <c r="H1014">
        <v>47.253459929999998</v>
      </c>
      <c r="I1014">
        <v>50</v>
      </c>
      <c r="J1014">
        <v>49.965251922999997</v>
      </c>
      <c r="K1014">
        <v>2400</v>
      </c>
      <c r="L1014">
        <v>0</v>
      </c>
      <c r="M1014">
        <v>0</v>
      </c>
      <c r="N1014">
        <v>2400</v>
      </c>
    </row>
    <row r="1015" spans="1:14" x14ac:dyDescent="0.25">
      <c r="A1015">
        <v>731.00001299999997</v>
      </c>
      <c r="B1015" s="1">
        <f>DATE(2012,5,1) + TIME(0,0,1)</f>
        <v>41030.000011574077</v>
      </c>
      <c r="C1015">
        <v>1057.3070068</v>
      </c>
      <c r="D1015">
        <v>865.60137939000003</v>
      </c>
      <c r="E1015">
        <v>1749.1348877</v>
      </c>
      <c r="F1015">
        <v>1557.402832</v>
      </c>
      <c r="G1015">
        <v>80</v>
      </c>
      <c r="H1015">
        <v>47.254711151000002</v>
      </c>
      <c r="I1015">
        <v>50</v>
      </c>
      <c r="J1015">
        <v>49.964267731</v>
      </c>
      <c r="K1015">
        <v>2400</v>
      </c>
      <c r="L1015">
        <v>0</v>
      </c>
      <c r="M1015">
        <v>0</v>
      </c>
      <c r="N1015">
        <v>2400</v>
      </c>
    </row>
    <row r="1016" spans="1:14" x14ac:dyDescent="0.25">
      <c r="A1016">
        <v>731.00004000000001</v>
      </c>
      <c r="B1016" s="1">
        <f>DATE(2012,5,1) + TIME(0,0,3)</f>
        <v>41030.000034722223</v>
      </c>
      <c r="C1016">
        <v>1078.3392334</v>
      </c>
      <c r="D1016">
        <v>885.80810546999999</v>
      </c>
      <c r="E1016">
        <v>1728.1849365</v>
      </c>
      <c r="F1016">
        <v>1536.4370117000001</v>
      </c>
      <c r="G1016">
        <v>80</v>
      </c>
      <c r="H1016">
        <v>47.258213042999998</v>
      </c>
      <c r="I1016">
        <v>50</v>
      </c>
      <c r="J1016">
        <v>49.961616515999999</v>
      </c>
      <c r="K1016">
        <v>2400</v>
      </c>
      <c r="L1016">
        <v>0</v>
      </c>
      <c r="M1016">
        <v>0</v>
      </c>
      <c r="N1016">
        <v>2400</v>
      </c>
    </row>
    <row r="1017" spans="1:14" x14ac:dyDescent="0.25">
      <c r="A1017">
        <v>731.00012100000004</v>
      </c>
      <c r="B1017" s="1">
        <f>DATE(2012,5,1) + TIME(0,0,10)</f>
        <v>41030.000115740739</v>
      </c>
      <c r="C1017">
        <v>1126.7086182</v>
      </c>
      <c r="D1017">
        <v>932.98748779000005</v>
      </c>
      <c r="E1017">
        <v>1680.0522461</v>
      </c>
      <c r="F1017">
        <v>1488.2742920000001</v>
      </c>
      <c r="G1017">
        <v>80</v>
      </c>
      <c r="H1017">
        <v>47.267101287999999</v>
      </c>
      <c r="I1017">
        <v>50</v>
      </c>
      <c r="J1017">
        <v>49.955532073999997</v>
      </c>
      <c r="K1017">
        <v>2400</v>
      </c>
      <c r="L1017">
        <v>0</v>
      </c>
      <c r="M1017">
        <v>0</v>
      </c>
      <c r="N1017">
        <v>2400</v>
      </c>
    </row>
    <row r="1018" spans="1:14" x14ac:dyDescent="0.25">
      <c r="A1018">
        <v>731.00036399999999</v>
      </c>
      <c r="B1018" s="1">
        <f>DATE(2012,5,1) + TIME(0,0,31)</f>
        <v>41030.000358796293</v>
      </c>
      <c r="C1018">
        <v>1210.4498291</v>
      </c>
      <c r="D1018">
        <v>1016.2269287</v>
      </c>
      <c r="E1018">
        <v>1596.7150879000001</v>
      </c>
      <c r="F1018">
        <v>1404.9144286999999</v>
      </c>
      <c r="G1018">
        <v>80</v>
      </c>
      <c r="H1018">
        <v>47.286632537999999</v>
      </c>
      <c r="I1018">
        <v>50</v>
      </c>
      <c r="J1018">
        <v>49.944988250999998</v>
      </c>
      <c r="K1018">
        <v>2400</v>
      </c>
      <c r="L1018">
        <v>0</v>
      </c>
      <c r="M1018">
        <v>0</v>
      </c>
      <c r="N1018">
        <v>2400</v>
      </c>
    </row>
    <row r="1019" spans="1:14" x14ac:dyDescent="0.25">
      <c r="A1019">
        <v>731.00109299999997</v>
      </c>
      <c r="B1019" s="1">
        <f>DATE(2012,5,1) + TIME(0,1,34)</f>
        <v>41030.001087962963</v>
      </c>
      <c r="C1019">
        <v>1315.9829102000001</v>
      </c>
      <c r="D1019">
        <v>1122.402832</v>
      </c>
      <c r="E1019">
        <v>1491.7751464999999</v>
      </c>
      <c r="F1019">
        <v>1299.9985352000001</v>
      </c>
      <c r="G1019">
        <v>80</v>
      </c>
      <c r="H1019">
        <v>47.327331543</v>
      </c>
      <c r="I1019">
        <v>50</v>
      </c>
      <c r="J1019">
        <v>49.931674956999998</v>
      </c>
      <c r="K1019">
        <v>2400</v>
      </c>
      <c r="L1019">
        <v>0</v>
      </c>
      <c r="M1019">
        <v>0</v>
      </c>
      <c r="N1019">
        <v>2400</v>
      </c>
    </row>
    <row r="1020" spans="1:14" x14ac:dyDescent="0.25">
      <c r="A1020">
        <v>731.00328000000002</v>
      </c>
      <c r="B1020" s="1">
        <f>DATE(2012,5,1) + TIME(0,4,43)</f>
        <v>41030.003275462965</v>
      </c>
      <c r="C1020">
        <v>1427.2370605000001</v>
      </c>
      <c r="D1020">
        <v>1234.7452393000001</v>
      </c>
      <c r="E1020">
        <v>1382.2637939000001</v>
      </c>
      <c r="F1020">
        <v>1190.5725098</v>
      </c>
      <c r="G1020">
        <v>80</v>
      </c>
      <c r="H1020">
        <v>47.423267365000001</v>
      </c>
      <c r="I1020">
        <v>50</v>
      </c>
      <c r="J1020">
        <v>49.917629241999997</v>
      </c>
      <c r="K1020">
        <v>2400</v>
      </c>
      <c r="L1020">
        <v>0</v>
      </c>
      <c r="M1020">
        <v>0</v>
      </c>
      <c r="N1020">
        <v>2400</v>
      </c>
    </row>
    <row r="1021" spans="1:14" x14ac:dyDescent="0.25">
      <c r="A1021">
        <v>731.00984100000005</v>
      </c>
      <c r="B1021" s="1">
        <f>DATE(2012,5,1) + TIME(0,14,10)</f>
        <v>41030.009837962964</v>
      </c>
      <c r="C1021">
        <v>1542.0423584</v>
      </c>
      <c r="D1021">
        <v>1351.0196533000001</v>
      </c>
      <c r="E1021">
        <v>1272.4144286999999</v>
      </c>
      <c r="F1021">
        <v>1080.8795166</v>
      </c>
      <c r="G1021">
        <v>80</v>
      </c>
      <c r="H1021">
        <v>47.680870056000003</v>
      </c>
      <c r="I1021">
        <v>50</v>
      </c>
      <c r="J1021">
        <v>49.903053284000002</v>
      </c>
      <c r="K1021">
        <v>2400</v>
      </c>
      <c r="L1021">
        <v>0</v>
      </c>
      <c r="M1021">
        <v>0</v>
      </c>
      <c r="N1021">
        <v>2400</v>
      </c>
    </row>
    <row r="1022" spans="1:14" x14ac:dyDescent="0.25">
      <c r="A1022">
        <v>731.02952400000004</v>
      </c>
      <c r="B1022" s="1">
        <f>DATE(2012,5,1) + TIME(0,42,30)</f>
        <v>41030.029513888891</v>
      </c>
      <c r="C1022">
        <v>1663.7093506000001</v>
      </c>
      <c r="D1022">
        <v>1475.3039550999999</v>
      </c>
      <c r="E1022">
        <v>1160.7562256000001</v>
      </c>
      <c r="F1022">
        <v>969.38378906000003</v>
      </c>
      <c r="G1022">
        <v>80</v>
      </c>
      <c r="H1022">
        <v>48.408248901</v>
      </c>
      <c r="I1022">
        <v>50</v>
      </c>
      <c r="J1022">
        <v>49.886814117</v>
      </c>
      <c r="K1022">
        <v>2400</v>
      </c>
      <c r="L1022">
        <v>0</v>
      </c>
      <c r="M1022">
        <v>0</v>
      </c>
      <c r="N1022">
        <v>2400</v>
      </c>
    </row>
    <row r="1023" spans="1:14" x14ac:dyDescent="0.25">
      <c r="A1023">
        <v>731.05561799999998</v>
      </c>
      <c r="B1023" s="1">
        <f>DATE(2012,5,1) + TIME(1,20,5)</f>
        <v>41030.055613425924</v>
      </c>
      <c r="C1023">
        <v>1742.2387695</v>
      </c>
      <c r="D1023">
        <v>1556.6455077999999</v>
      </c>
      <c r="E1023">
        <v>1089.1610106999999</v>
      </c>
      <c r="F1023">
        <v>897.84442138999998</v>
      </c>
      <c r="G1023">
        <v>80</v>
      </c>
      <c r="H1023">
        <v>49.335193633999999</v>
      </c>
      <c r="I1023">
        <v>50</v>
      </c>
      <c r="J1023">
        <v>49.874774932999998</v>
      </c>
      <c r="K1023">
        <v>2400</v>
      </c>
      <c r="L1023">
        <v>0</v>
      </c>
      <c r="M1023">
        <v>0</v>
      </c>
      <c r="N1023">
        <v>2400</v>
      </c>
    </row>
    <row r="1024" spans="1:14" x14ac:dyDescent="0.25">
      <c r="A1024">
        <v>731.08274800000004</v>
      </c>
      <c r="B1024" s="1">
        <f>DATE(2012,5,1) + TIME(1,59,9)</f>
        <v>41030.082743055558</v>
      </c>
      <c r="C1024">
        <v>1791.1986084</v>
      </c>
      <c r="D1024">
        <v>1608.2353516000001</v>
      </c>
      <c r="E1024">
        <v>1043.4405518000001</v>
      </c>
      <c r="F1024">
        <v>852.13262939000003</v>
      </c>
      <c r="G1024">
        <v>80</v>
      </c>
      <c r="H1024">
        <v>50.267269134999999</v>
      </c>
      <c r="I1024">
        <v>50</v>
      </c>
      <c r="J1024">
        <v>49.865783690999997</v>
      </c>
      <c r="K1024">
        <v>2400</v>
      </c>
      <c r="L1024">
        <v>0</v>
      </c>
      <c r="M1024">
        <v>0</v>
      </c>
      <c r="N1024">
        <v>2400</v>
      </c>
    </row>
    <row r="1025" spans="1:14" x14ac:dyDescent="0.25">
      <c r="A1025">
        <v>731.11076700000001</v>
      </c>
      <c r="B1025" s="1">
        <f>DATE(2012,5,1) + TIME(2,39,30)</f>
        <v>41030.110763888886</v>
      </c>
      <c r="C1025">
        <v>1824.6582031</v>
      </c>
      <c r="D1025">
        <v>1644.2165527</v>
      </c>
      <c r="E1025">
        <v>1011.010437</v>
      </c>
      <c r="F1025">
        <v>819.69750977000001</v>
      </c>
      <c r="G1025">
        <v>80</v>
      </c>
      <c r="H1025">
        <v>51.199211120999998</v>
      </c>
      <c r="I1025">
        <v>50</v>
      </c>
      <c r="J1025">
        <v>49.858322143999999</v>
      </c>
      <c r="K1025">
        <v>2400</v>
      </c>
      <c r="L1025">
        <v>0</v>
      </c>
      <c r="M1025">
        <v>0</v>
      </c>
      <c r="N1025">
        <v>2400</v>
      </c>
    </row>
    <row r="1026" spans="1:14" x14ac:dyDescent="0.25">
      <c r="A1026">
        <v>731.13965499999995</v>
      </c>
      <c r="B1026" s="1">
        <f>DATE(2012,5,1) + TIME(3,21,6)</f>
        <v>41030.139652777776</v>
      </c>
      <c r="C1026">
        <v>1848.7532959</v>
      </c>
      <c r="D1026">
        <v>1670.7486572</v>
      </c>
      <c r="E1026">
        <v>986.66784668000003</v>
      </c>
      <c r="F1026">
        <v>795.34692383000004</v>
      </c>
      <c r="G1026">
        <v>80</v>
      </c>
      <c r="H1026">
        <v>52.129760742000002</v>
      </c>
      <c r="I1026">
        <v>50</v>
      </c>
      <c r="J1026">
        <v>49.851760863999999</v>
      </c>
      <c r="K1026">
        <v>2400</v>
      </c>
      <c r="L1026">
        <v>0</v>
      </c>
      <c r="M1026">
        <v>0</v>
      </c>
      <c r="N1026">
        <v>2400</v>
      </c>
    </row>
    <row r="1027" spans="1:14" x14ac:dyDescent="0.25">
      <c r="A1027">
        <v>731.16943600000002</v>
      </c>
      <c r="B1027" s="1">
        <f>DATE(2012,5,1) + TIME(4,3,59)</f>
        <v>41030.169432870367</v>
      </c>
      <c r="C1027">
        <v>1866.6796875</v>
      </c>
      <c r="D1027">
        <v>1691.0380858999999</v>
      </c>
      <c r="E1027">
        <v>967.76739501999998</v>
      </c>
      <c r="F1027">
        <v>776.43835449000005</v>
      </c>
      <c r="G1027">
        <v>80</v>
      </c>
      <c r="H1027">
        <v>53.058231354</v>
      </c>
      <c r="I1027">
        <v>50</v>
      </c>
      <c r="J1027">
        <v>49.845771790000001</v>
      </c>
      <c r="K1027">
        <v>2400</v>
      </c>
      <c r="L1027">
        <v>0</v>
      </c>
      <c r="M1027">
        <v>0</v>
      </c>
      <c r="N1027">
        <v>2400</v>
      </c>
    </row>
    <row r="1028" spans="1:14" x14ac:dyDescent="0.25">
      <c r="A1028">
        <v>731.20015100000001</v>
      </c>
      <c r="B1028" s="1">
        <f>DATE(2012,5,1) + TIME(4,48,13)</f>
        <v>41030.200150462966</v>
      </c>
      <c r="C1028">
        <v>1880.3010254000001</v>
      </c>
      <c r="D1028">
        <v>1706.9533690999999</v>
      </c>
      <c r="E1028">
        <v>952.77215576000003</v>
      </c>
      <c r="F1028">
        <v>761.43572998000002</v>
      </c>
      <c r="G1028">
        <v>80</v>
      </c>
      <c r="H1028">
        <v>53.984317779999998</v>
      </c>
      <c r="I1028">
        <v>50</v>
      </c>
      <c r="J1028">
        <v>49.840164184999999</v>
      </c>
      <c r="K1028">
        <v>2400</v>
      </c>
      <c r="L1028">
        <v>0</v>
      </c>
      <c r="M1028">
        <v>0</v>
      </c>
      <c r="N1028">
        <v>2400</v>
      </c>
    </row>
    <row r="1029" spans="1:14" x14ac:dyDescent="0.25">
      <c r="A1029">
        <v>731.23186199999998</v>
      </c>
      <c r="B1029" s="1">
        <f>DATE(2012,5,1) + TIME(5,33,52)</f>
        <v>41030.231851851851</v>
      </c>
      <c r="C1029">
        <v>1890.7873535000001</v>
      </c>
      <c r="D1029">
        <v>1719.6689452999999</v>
      </c>
      <c r="E1029">
        <v>940.70916748000002</v>
      </c>
      <c r="F1029">
        <v>749.36614989999998</v>
      </c>
      <c r="G1029">
        <v>80</v>
      </c>
      <c r="H1029">
        <v>54.907993316999999</v>
      </c>
      <c r="I1029">
        <v>50</v>
      </c>
      <c r="J1029">
        <v>49.834819793999998</v>
      </c>
      <c r="K1029">
        <v>2400</v>
      </c>
      <c r="L1029">
        <v>0</v>
      </c>
      <c r="M1029">
        <v>0</v>
      </c>
      <c r="N1029">
        <v>2400</v>
      </c>
    </row>
    <row r="1030" spans="1:14" x14ac:dyDescent="0.25">
      <c r="A1030">
        <v>731.26461700000004</v>
      </c>
      <c r="B1030" s="1">
        <f>DATE(2012,5,1) + TIME(6,21,2)</f>
        <v>41030.264606481483</v>
      </c>
      <c r="C1030">
        <v>1898.9084473</v>
      </c>
      <c r="D1030">
        <v>1729.9562988</v>
      </c>
      <c r="E1030">
        <v>930.93054199000005</v>
      </c>
      <c r="F1030">
        <v>739.58154296999999</v>
      </c>
      <c r="G1030">
        <v>80</v>
      </c>
      <c r="H1030">
        <v>55.828723906999997</v>
      </c>
      <c r="I1030">
        <v>50</v>
      </c>
      <c r="J1030">
        <v>49.829650878999999</v>
      </c>
      <c r="K1030">
        <v>2400</v>
      </c>
      <c r="L1030">
        <v>0</v>
      </c>
      <c r="M1030">
        <v>0</v>
      </c>
      <c r="N1030">
        <v>2400</v>
      </c>
    </row>
    <row r="1031" spans="1:14" x14ac:dyDescent="0.25">
      <c r="A1031">
        <v>731.29848900000002</v>
      </c>
      <c r="B1031" s="1">
        <f>DATE(2012,5,1) + TIME(7,9,49)</f>
        <v>41030.298483796294</v>
      </c>
      <c r="C1031">
        <v>1905.1988524999999</v>
      </c>
      <c r="D1031">
        <v>1738.3521728999999</v>
      </c>
      <c r="E1031">
        <v>922.97515868999994</v>
      </c>
      <c r="F1031">
        <v>731.62072753999996</v>
      </c>
      <c r="G1031">
        <v>80</v>
      </c>
      <c r="H1031">
        <v>56.746322632000002</v>
      </c>
      <c r="I1031">
        <v>50</v>
      </c>
      <c r="J1031">
        <v>49.824596405000001</v>
      </c>
      <c r="K1031">
        <v>2400</v>
      </c>
      <c r="L1031">
        <v>0</v>
      </c>
      <c r="M1031">
        <v>0</v>
      </c>
      <c r="N1031">
        <v>2400</v>
      </c>
    </row>
    <row r="1032" spans="1:14" x14ac:dyDescent="0.25">
      <c r="A1032">
        <v>731.33355400000005</v>
      </c>
      <c r="B1032" s="1">
        <f>DATE(2012,5,1) + TIME(8,0,19)</f>
        <v>41030.333553240744</v>
      </c>
      <c r="C1032">
        <v>1910.0401611</v>
      </c>
      <c r="D1032">
        <v>1745.2401123</v>
      </c>
      <c r="E1032">
        <v>916.50323486000002</v>
      </c>
      <c r="F1032">
        <v>725.14385986000002</v>
      </c>
      <c r="G1032">
        <v>80</v>
      </c>
      <c r="H1032">
        <v>57.660614013999997</v>
      </c>
      <c r="I1032">
        <v>50</v>
      </c>
      <c r="J1032">
        <v>49.819610595999997</v>
      </c>
      <c r="K1032">
        <v>2400</v>
      </c>
      <c r="L1032">
        <v>0</v>
      </c>
      <c r="M1032">
        <v>0</v>
      </c>
      <c r="N1032">
        <v>2400</v>
      </c>
    </row>
    <row r="1033" spans="1:14" x14ac:dyDescent="0.25">
      <c r="A1033">
        <v>731.36990300000002</v>
      </c>
      <c r="B1033" s="1">
        <f>DATE(2012,5,1) + TIME(8,52,39)</f>
        <v>41030.369895833333</v>
      </c>
      <c r="C1033">
        <v>1913.7137451000001</v>
      </c>
      <c r="D1033">
        <v>1750.9036865</v>
      </c>
      <c r="E1033">
        <v>911.25488281000003</v>
      </c>
      <c r="F1033">
        <v>719.89086913999995</v>
      </c>
      <c r="G1033">
        <v>80</v>
      </c>
      <c r="H1033">
        <v>58.571422577</v>
      </c>
      <c r="I1033">
        <v>50</v>
      </c>
      <c r="J1033">
        <v>49.814647675000003</v>
      </c>
      <c r="K1033">
        <v>2400</v>
      </c>
      <c r="L1033">
        <v>0</v>
      </c>
      <c r="M1033">
        <v>0</v>
      </c>
      <c r="N1033">
        <v>2400</v>
      </c>
    </row>
    <row r="1034" spans="1:14" x14ac:dyDescent="0.25">
      <c r="A1034">
        <v>731.40763500000003</v>
      </c>
      <c r="B1034" s="1">
        <f>DATE(2012,5,1) + TIME(9,46,59)</f>
        <v>41030.407627314817</v>
      </c>
      <c r="C1034">
        <v>1916.432251</v>
      </c>
      <c r="D1034">
        <v>1755.557251</v>
      </c>
      <c r="E1034">
        <v>907.02478026999995</v>
      </c>
      <c r="F1034">
        <v>715.65643310999997</v>
      </c>
      <c r="G1034">
        <v>80</v>
      </c>
      <c r="H1034">
        <v>59.478569030999999</v>
      </c>
      <c r="I1034">
        <v>50</v>
      </c>
      <c r="J1034">
        <v>49.809677123999997</v>
      </c>
      <c r="K1034">
        <v>2400</v>
      </c>
      <c r="L1034">
        <v>0</v>
      </c>
      <c r="M1034">
        <v>0</v>
      </c>
      <c r="N1034">
        <v>2400</v>
      </c>
    </row>
    <row r="1035" spans="1:14" x14ac:dyDescent="0.25">
      <c r="A1035">
        <v>731.44686300000001</v>
      </c>
      <c r="B1035" s="1">
        <f>DATE(2012,5,1) + TIME(10,43,28)</f>
        <v>41030.446851851855</v>
      </c>
      <c r="C1035">
        <v>1918.3613281</v>
      </c>
      <c r="D1035">
        <v>1759.3677978999999</v>
      </c>
      <c r="E1035">
        <v>903.64617920000001</v>
      </c>
      <c r="F1035">
        <v>712.27362060999997</v>
      </c>
      <c r="G1035">
        <v>80</v>
      </c>
      <c r="H1035">
        <v>60.381587981999999</v>
      </c>
      <c r="I1035">
        <v>50</v>
      </c>
      <c r="J1035">
        <v>49.804668427000003</v>
      </c>
      <c r="K1035">
        <v>2400</v>
      </c>
      <c r="L1035">
        <v>0</v>
      </c>
      <c r="M1035">
        <v>0</v>
      </c>
      <c r="N1035">
        <v>2400</v>
      </c>
    </row>
    <row r="1036" spans="1:14" x14ac:dyDescent="0.25">
      <c r="A1036">
        <v>731.48771499999998</v>
      </c>
      <c r="B1036" s="1">
        <f>DATE(2012,5,1) + TIME(11,42,18)</f>
        <v>41030.487708333334</v>
      </c>
      <c r="C1036">
        <v>1919.6324463000001</v>
      </c>
      <c r="D1036">
        <v>1762.4685059000001</v>
      </c>
      <c r="E1036">
        <v>900.98065185999997</v>
      </c>
      <c r="F1036">
        <v>709.60412598000005</v>
      </c>
      <c r="G1036">
        <v>80</v>
      </c>
      <c r="H1036">
        <v>61.280155182000001</v>
      </c>
      <c r="I1036">
        <v>50</v>
      </c>
      <c r="J1036">
        <v>49.799594878999997</v>
      </c>
      <c r="K1036">
        <v>2400</v>
      </c>
      <c r="L1036">
        <v>0</v>
      </c>
      <c r="M1036">
        <v>0</v>
      </c>
      <c r="N1036">
        <v>2400</v>
      </c>
    </row>
    <row r="1037" spans="1:14" x14ac:dyDescent="0.25">
      <c r="A1037">
        <v>731.53033500000004</v>
      </c>
      <c r="B1037" s="1">
        <f>DATE(2012,5,1) + TIME(12,43,40)</f>
        <v>41030.530324074076</v>
      </c>
      <c r="C1037">
        <v>1920.3518065999999</v>
      </c>
      <c r="D1037">
        <v>1764.9672852000001</v>
      </c>
      <c r="E1037">
        <v>898.91156006000006</v>
      </c>
      <c r="F1037">
        <v>707.53112793000003</v>
      </c>
      <c r="G1037">
        <v>80</v>
      </c>
      <c r="H1037">
        <v>62.174411773999999</v>
      </c>
      <c r="I1037">
        <v>50</v>
      </c>
      <c r="J1037">
        <v>49.794425963999998</v>
      </c>
      <c r="K1037">
        <v>2400</v>
      </c>
      <c r="L1037">
        <v>0</v>
      </c>
      <c r="M1037">
        <v>0</v>
      </c>
      <c r="N1037">
        <v>2400</v>
      </c>
    </row>
    <row r="1038" spans="1:14" x14ac:dyDescent="0.25">
      <c r="A1038">
        <v>731.57488699999999</v>
      </c>
      <c r="B1038" s="1">
        <f>DATE(2012,5,1) + TIME(13,47,50)</f>
        <v>41030.574884259258</v>
      </c>
      <c r="C1038">
        <v>1920.6070557</v>
      </c>
      <c r="D1038">
        <v>1766.953125</v>
      </c>
      <c r="E1038">
        <v>897.33917236000002</v>
      </c>
      <c r="F1038">
        <v>705.95495604999996</v>
      </c>
      <c r="G1038">
        <v>80</v>
      </c>
      <c r="H1038">
        <v>63.064109801999997</v>
      </c>
      <c r="I1038">
        <v>50</v>
      </c>
      <c r="J1038">
        <v>49.789134979000004</v>
      </c>
      <c r="K1038">
        <v>2400</v>
      </c>
      <c r="L1038">
        <v>0</v>
      </c>
      <c r="M1038">
        <v>0</v>
      </c>
      <c r="N1038">
        <v>2400</v>
      </c>
    </row>
    <row r="1039" spans="1:14" x14ac:dyDescent="0.25">
      <c r="A1039">
        <v>731.62158899999997</v>
      </c>
      <c r="B1039" s="1">
        <f>DATE(2012,5,1) + TIME(14,55,5)</f>
        <v>41030.62158564815</v>
      </c>
      <c r="C1039">
        <v>1920.4710693</v>
      </c>
      <c r="D1039">
        <v>1768.5008545000001</v>
      </c>
      <c r="E1039">
        <v>896.17755126999998</v>
      </c>
      <c r="F1039">
        <v>704.78948975000003</v>
      </c>
      <c r="G1039">
        <v>80</v>
      </c>
      <c r="H1039">
        <v>63.949501038000001</v>
      </c>
      <c r="I1039">
        <v>50</v>
      </c>
      <c r="J1039">
        <v>49.783687592</v>
      </c>
      <c r="K1039">
        <v>2400</v>
      </c>
      <c r="L1039">
        <v>0</v>
      </c>
      <c r="M1039">
        <v>0</v>
      </c>
      <c r="N1039">
        <v>2400</v>
      </c>
    </row>
    <row r="1040" spans="1:14" x14ac:dyDescent="0.25">
      <c r="A1040">
        <v>731.67063900000005</v>
      </c>
      <c r="B1040" s="1">
        <f>DATE(2012,5,1) + TIME(16,5,43)</f>
        <v>41030.670636574076</v>
      </c>
      <c r="C1040">
        <v>1920.0045166</v>
      </c>
      <c r="D1040">
        <v>1769.6716309000001</v>
      </c>
      <c r="E1040">
        <v>895.35357666000004</v>
      </c>
      <c r="F1040">
        <v>703.96166991999996</v>
      </c>
      <c r="G1040">
        <v>80</v>
      </c>
      <c r="H1040">
        <v>64.829887389999996</v>
      </c>
      <c r="I1040">
        <v>50</v>
      </c>
      <c r="J1040">
        <v>49.778064727999997</v>
      </c>
      <c r="K1040">
        <v>2400</v>
      </c>
      <c r="L1040">
        <v>0</v>
      </c>
      <c r="M1040">
        <v>0</v>
      </c>
      <c r="N1040">
        <v>2400</v>
      </c>
    </row>
    <row r="1041" spans="1:14" x14ac:dyDescent="0.25">
      <c r="A1041">
        <v>731.72228500000006</v>
      </c>
      <c r="B1041" s="1">
        <f>DATE(2012,5,1) + TIME(17,20,5)</f>
        <v>41030.722280092596</v>
      </c>
      <c r="C1041">
        <v>1919.2592772999999</v>
      </c>
      <c r="D1041">
        <v>1770.5183105000001</v>
      </c>
      <c r="E1041">
        <v>894.80340576000003</v>
      </c>
      <c r="F1041">
        <v>703.40759276999995</v>
      </c>
      <c r="G1041">
        <v>80</v>
      </c>
      <c r="H1041">
        <v>65.705009459999999</v>
      </c>
      <c r="I1041">
        <v>50</v>
      </c>
      <c r="J1041">
        <v>49.772235870000003</v>
      </c>
      <c r="K1041">
        <v>2400</v>
      </c>
      <c r="L1041">
        <v>0</v>
      </c>
      <c r="M1041">
        <v>0</v>
      </c>
      <c r="N1041">
        <v>2400</v>
      </c>
    </row>
    <row r="1042" spans="1:14" x14ac:dyDescent="0.25">
      <c r="A1042">
        <v>731.77682100000004</v>
      </c>
      <c r="B1042" s="1">
        <f>DATE(2012,5,1) + TIME(18,38,37)</f>
        <v>41030.776817129627</v>
      </c>
      <c r="C1042">
        <v>1918.2791748</v>
      </c>
      <c r="D1042">
        <v>1771.0853271000001</v>
      </c>
      <c r="E1042">
        <v>894.47216796999999</v>
      </c>
      <c r="F1042">
        <v>703.07232666000004</v>
      </c>
      <c r="G1042">
        <v>80</v>
      </c>
      <c r="H1042">
        <v>66.574348450000002</v>
      </c>
      <c r="I1042">
        <v>50</v>
      </c>
      <c r="J1042">
        <v>49.766159058</v>
      </c>
      <c r="K1042">
        <v>2400</v>
      </c>
      <c r="L1042">
        <v>0</v>
      </c>
      <c r="M1042">
        <v>0</v>
      </c>
      <c r="N1042">
        <v>2400</v>
      </c>
    </row>
    <row r="1043" spans="1:14" x14ac:dyDescent="0.25">
      <c r="A1043">
        <v>731.83459400000004</v>
      </c>
      <c r="B1043" s="1">
        <f>DATE(2012,5,1) + TIME(20,1,48)</f>
        <v>41030.834583333337</v>
      </c>
      <c r="C1043">
        <v>1917.1014404</v>
      </c>
      <c r="D1043">
        <v>1771.4106445</v>
      </c>
      <c r="E1043">
        <v>894.3125</v>
      </c>
      <c r="F1043">
        <v>702.90850829999999</v>
      </c>
      <c r="G1043">
        <v>80</v>
      </c>
      <c r="H1043">
        <v>67.437438964999998</v>
      </c>
      <c r="I1043">
        <v>50</v>
      </c>
      <c r="J1043">
        <v>49.759807586999997</v>
      </c>
      <c r="K1043">
        <v>2400</v>
      </c>
      <c r="L1043">
        <v>0</v>
      </c>
      <c r="M1043">
        <v>0</v>
      </c>
      <c r="N1043">
        <v>2400</v>
      </c>
    </row>
    <row r="1044" spans="1:14" x14ac:dyDescent="0.25">
      <c r="A1044">
        <v>731.89600600000006</v>
      </c>
      <c r="B1044" s="1">
        <f>DATE(2012,5,1) + TIME(21,30,14)</f>
        <v>41030.895995370367</v>
      </c>
      <c r="C1044">
        <v>1915.7578125</v>
      </c>
      <c r="D1044">
        <v>1771.5262451000001</v>
      </c>
      <c r="E1044">
        <v>894.28399658000001</v>
      </c>
      <c r="F1044">
        <v>702.87567138999998</v>
      </c>
      <c r="G1044">
        <v>80</v>
      </c>
      <c r="H1044">
        <v>68.293647766000007</v>
      </c>
      <c r="I1044">
        <v>50</v>
      </c>
      <c r="J1044">
        <v>49.753139496000003</v>
      </c>
      <c r="K1044">
        <v>2400</v>
      </c>
      <c r="L1044">
        <v>0</v>
      </c>
      <c r="M1044">
        <v>0</v>
      </c>
      <c r="N1044">
        <v>2400</v>
      </c>
    </row>
    <row r="1045" spans="1:14" x14ac:dyDescent="0.25">
      <c r="A1045">
        <v>731.96154899999999</v>
      </c>
      <c r="B1045" s="1">
        <f>DATE(2012,5,1) + TIME(23,4,37)</f>
        <v>41030.961539351854</v>
      </c>
      <c r="C1045">
        <v>1914.2745361</v>
      </c>
      <c r="D1045">
        <v>1771.4588623</v>
      </c>
      <c r="E1045">
        <v>894.35241699000005</v>
      </c>
      <c r="F1045">
        <v>702.93945312000005</v>
      </c>
      <c r="G1045">
        <v>80</v>
      </c>
      <c r="H1045">
        <v>69.142417907999999</v>
      </c>
      <c r="I1045">
        <v>50</v>
      </c>
      <c r="J1045">
        <v>49.746101379000002</v>
      </c>
      <c r="K1045">
        <v>2400</v>
      </c>
      <c r="L1045">
        <v>0</v>
      </c>
      <c r="M1045">
        <v>0</v>
      </c>
      <c r="N1045">
        <v>2400</v>
      </c>
    </row>
    <row r="1046" spans="1:14" x14ac:dyDescent="0.25">
      <c r="A1046">
        <v>732.03182600000002</v>
      </c>
      <c r="B1046" s="1">
        <f>DATE(2012,5,2) + TIME(0,45,49)</f>
        <v>41031.031817129631</v>
      </c>
      <c r="C1046">
        <v>1912.6730957</v>
      </c>
      <c r="D1046">
        <v>1771.2305908000001</v>
      </c>
      <c r="E1046">
        <v>894.48889159999999</v>
      </c>
      <c r="F1046">
        <v>703.07110595999995</v>
      </c>
      <c r="G1046">
        <v>80</v>
      </c>
      <c r="H1046">
        <v>69.983146667</v>
      </c>
      <c r="I1046">
        <v>50</v>
      </c>
      <c r="J1046">
        <v>49.738639831999997</v>
      </c>
      <c r="K1046">
        <v>2400</v>
      </c>
      <c r="L1046">
        <v>0</v>
      </c>
      <c r="M1046">
        <v>0</v>
      </c>
      <c r="N1046">
        <v>2400</v>
      </c>
    </row>
    <row r="1047" spans="1:14" x14ac:dyDescent="0.25">
      <c r="A1047">
        <v>732.10756800000001</v>
      </c>
      <c r="B1047" s="1">
        <f>DATE(2012,5,2) + TIME(2,34,53)</f>
        <v>41031.107557870368</v>
      </c>
      <c r="C1047">
        <v>1910.9710693</v>
      </c>
      <c r="D1047">
        <v>1770.8585204999999</v>
      </c>
      <c r="E1047">
        <v>894.66949463000003</v>
      </c>
      <c r="F1047">
        <v>703.24652100000003</v>
      </c>
      <c r="G1047">
        <v>80</v>
      </c>
      <c r="H1047">
        <v>70.814399718999994</v>
      </c>
      <c r="I1047">
        <v>50</v>
      </c>
      <c r="J1047">
        <v>49.730693817000002</v>
      </c>
      <c r="K1047">
        <v>2400</v>
      </c>
      <c r="L1047">
        <v>0</v>
      </c>
      <c r="M1047">
        <v>0</v>
      </c>
      <c r="N1047">
        <v>2400</v>
      </c>
    </row>
    <row r="1048" spans="1:14" x14ac:dyDescent="0.25">
      <c r="A1048">
        <v>732.18968299999995</v>
      </c>
      <c r="B1048" s="1">
        <f>DATE(2012,5,2) + TIME(4,33,8)</f>
        <v>41031.189675925925</v>
      </c>
      <c r="C1048">
        <v>1909.1826172000001</v>
      </c>
      <c r="D1048">
        <v>1770.3574219</v>
      </c>
      <c r="E1048">
        <v>894.87451171999999</v>
      </c>
      <c r="F1048">
        <v>703.44598388999998</v>
      </c>
      <c r="G1048">
        <v>80</v>
      </c>
      <c r="H1048">
        <v>71.635772704999994</v>
      </c>
      <c r="I1048">
        <v>50</v>
      </c>
      <c r="J1048">
        <v>49.722179412999999</v>
      </c>
      <c r="K1048">
        <v>2400</v>
      </c>
      <c r="L1048">
        <v>0</v>
      </c>
      <c r="M1048">
        <v>0</v>
      </c>
      <c r="N1048">
        <v>2400</v>
      </c>
    </row>
    <row r="1049" spans="1:14" x14ac:dyDescent="0.25">
      <c r="A1049">
        <v>732.27933399999995</v>
      </c>
      <c r="B1049" s="1">
        <f>DATE(2012,5,2) + TIME(6,42,14)</f>
        <v>41031.279328703706</v>
      </c>
      <c r="C1049">
        <v>1907.3183594</v>
      </c>
      <c r="D1049">
        <v>1769.7373047000001</v>
      </c>
      <c r="E1049">
        <v>895.08819579999999</v>
      </c>
      <c r="F1049">
        <v>703.65362548999997</v>
      </c>
      <c r="G1049">
        <v>80</v>
      </c>
      <c r="H1049">
        <v>72.446220397999994</v>
      </c>
      <c r="I1049">
        <v>50</v>
      </c>
      <c r="J1049">
        <v>49.712993621999999</v>
      </c>
      <c r="K1049">
        <v>2400</v>
      </c>
      <c r="L1049">
        <v>0</v>
      </c>
      <c r="M1049">
        <v>0</v>
      </c>
      <c r="N1049">
        <v>2400</v>
      </c>
    </row>
    <row r="1050" spans="1:14" x14ac:dyDescent="0.25">
      <c r="A1050">
        <v>732.37805100000003</v>
      </c>
      <c r="B1050" s="1">
        <f>DATE(2012,5,2) + TIME(9,4,23)</f>
        <v>41031.37804398148</v>
      </c>
      <c r="C1050">
        <v>1905.3852539</v>
      </c>
      <c r="D1050">
        <v>1769.0048827999999</v>
      </c>
      <c r="E1050">
        <v>895.29803466999999</v>
      </c>
      <c r="F1050">
        <v>703.85681151999995</v>
      </c>
      <c r="G1050">
        <v>80</v>
      </c>
      <c r="H1050">
        <v>73.244682311999995</v>
      </c>
      <c r="I1050">
        <v>50</v>
      </c>
      <c r="J1050">
        <v>49.703014373999999</v>
      </c>
      <c r="K1050">
        <v>2400</v>
      </c>
      <c r="L1050">
        <v>0</v>
      </c>
      <c r="M1050">
        <v>0</v>
      </c>
      <c r="N1050">
        <v>2400</v>
      </c>
    </row>
    <row r="1051" spans="1:14" x14ac:dyDescent="0.25">
      <c r="A1051">
        <v>732.48773800000004</v>
      </c>
      <c r="B1051" s="1">
        <f>DATE(2012,5,2) + TIME(11,42,20)</f>
        <v>41031.48773148148</v>
      </c>
      <c r="C1051">
        <v>1903.3887939000001</v>
      </c>
      <c r="D1051">
        <v>1768.1634521000001</v>
      </c>
      <c r="E1051">
        <v>895.49414062000005</v>
      </c>
      <c r="F1051">
        <v>704.04565430000002</v>
      </c>
      <c r="G1051">
        <v>80</v>
      </c>
      <c r="H1051">
        <v>74.028961182000003</v>
      </c>
      <c r="I1051">
        <v>50</v>
      </c>
      <c r="J1051">
        <v>49.692081451</v>
      </c>
      <c r="K1051">
        <v>2400</v>
      </c>
      <c r="L1051">
        <v>0</v>
      </c>
      <c r="M1051">
        <v>0</v>
      </c>
      <c r="N1051">
        <v>2400</v>
      </c>
    </row>
    <row r="1052" spans="1:14" x14ac:dyDescent="0.25">
      <c r="A1052">
        <v>732.601629</v>
      </c>
      <c r="B1052" s="1">
        <f>DATE(2012,5,2) + TIME(14,26,20)</f>
        <v>41031.601620370369</v>
      </c>
      <c r="C1052">
        <v>1901.4335937999999</v>
      </c>
      <c r="D1052">
        <v>1767.2381591999999</v>
      </c>
      <c r="E1052">
        <v>895.65667725000003</v>
      </c>
      <c r="F1052">
        <v>704.20135498000002</v>
      </c>
      <c r="G1052">
        <v>80</v>
      </c>
      <c r="H1052">
        <v>74.745422363000003</v>
      </c>
      <c r="I1052">
        <v>50</v>
      </c>
      <c r="J1052">
        <v>49.680793762</v>
      </c>
      <c r="K1052">
        <v>2400</v>
      </c>
      <c r="L1052">
        <v>0</v>
      </c>
      <c r="M1052">
        <v>0</v>
      </c>
      <c r="N1052">
        <v>2400</v>
      </c>
    </row>
    <row r="1053" spans="1:14" x14ac:dyDescent="0.25">
      <c r="A1053">
        <v>732.71606199999997</v>
      </c>
      <c r="B1053" s="1">
        <f>DATE(2012,5,2) + TIME(17,11,7)</f>
        <v>41031.716053240743</v>
      </c>
      <c r="C1053">
        <v>1899.5963135</v>
      </c>
      <c r="D1053">
        <v>1766.2912598</v>
      </c>
      <c r="E1053">
        <v>895.78356933999999</v>
      </c>
      <c r="F1053">
        <v>704.32171631000006</v>
      </c>
      <c r="G1053">
        <v>80</v>
      </c>
      <c r="H1053">
        <v>75.377883910999998</v>
      </c>
      <c r="I1053">
        <v>50</v>
      </c>
      <c r="J1053">
        <v>49.669475554999998</v>
      </c>
      <c r="K1053">
        <v>2400</v>
      </c>
      <c r="L1053">
        <v>0</v>
      </c>
      <c r="M1053">
        <v>0</v>
      </c>
      <c r="N1053">
        <v>2400</v>
      </c>
    </row>
    <row r="1054" spans="1:14" x14ac:dyDescent="0.25">
      <c r="A1054">
        <v>732.83175100000005</v>
      </c>
      <c r="B1054" s="1">
        <f>DATE(2012,5,2) + TIME(19,57,43)</f>
        <v>41031.831747685188</v>
      </c>
      <c r="C1054">
        <v>1897.8815918</v>
      </c>
      <c r="D1054">
        <v>1765.3529053</v>
      </c>
      <c r="E1054">
        <v>895.88128661999997</v>
      </c>
      <c r="F1054">
        <v>704.41271973000005</v>
      </c>
      <c r="G1054">
        <v>80</v>
      </c>
      <c r="H1054">
        <v>75.938781738000003</v>
      </c>
      <c r="I1054">
        <v>50</v>
      </c>
      <c r="J1054">
        <v>49.658061981000003</v>
      </c>
      <c r="K1054">
        <v>2400</v>
      </c>
      <c r="L1054">
        <v>0</v>
      </c>
      <c r="M1054">
        <v>0</v>
      </c>
      <c r="N1054">
        <v>2400</v>
      </c>
    </row>
    <row r="1055" spans="1:14" x14ac:dyDescent="0.25">
      <c r="A1055">
        <v>732.949164</v>
      </c>
      <c r="B1055" s="1">
        <f>DATE(2012,5,2) + TIME(22,46,47)</f>
        <v>41031.949155092596</v>
      </c>
      <c r="C1055">
        <v>1896.2753906</v>
      </c>
      <c r="D1055">
        <v>1764.4254149999999</v>
      </c>
      <c r="E1055">
        <v>895.95458984000004</v>
      </c>
      <c r="F1055">
        <v>704.47912598000005</v>
      </c>
      <c r="G1055">
        <v>80</v>
      </c>
      <c r="H1055">
        <v>76.437217712000006</v>
      </c>
      <c r="I1055">
        <v>50</v>
      </c>
      <c r="J1055">
        <v>49.646518706999998</v>
      </c>
      <c r="K1055">
        <v>2400</v>
      </c>
      <c r="L1055">
        <v>0</v>
      </c>
      <c r="M1055">
        <v>0</v>
      </c>
      <c r="N1055">
        <v>2400</v>
      </c>
    </row>
    <row r="1056" spans="1:14" x14ac:dyDescent="0.25">
      <c r="A1056">
        <v>733.06876499999998</v>
      </c>
      <c r="B1056" s="1">
        <f>DATE(2012,5,3) + TIME(1,39,1)</f>
        <v>41032.068761574075</v>
      </c>
      <c r="C1056">
        <v>1894.7655029</v>
      </c>
      <c r="D1056">
        <v>1763.5098877</v>
      </c>
      <c r="E1056">
        <v>896.00775146000001</v>
      </c>
      <c r="F1056">
        <v>704.52520751999998</v>
      </c>
      <c r="G1056">
        <v>80</v>
      </c>
      <c r="H1056">
        <v>76.880653381000002</v>
      </c>
      <c r="I1056">
        <v>50</v>
      </c>
      <c r="J1056">
        <v>49.634803771999998</v>
      </c>
      <c r="K1056">
        <v>2400</v>
      </c>
      <c r="L1056">
        <v>0</v>
      </c>
      <c r="M1056">
        <v>0</v>
      </c>
      <c r="N1056">
        <v>2400</v>
      </c>
    </row>
    <row r="1057" spans="1:14" x14ac:dyDescent="0.25">
      <c r="A1057">
        <v>733.19102199999998</v>
      </c>
      <c r="B1057" s="1">
        <f>DATE(2012,5,3) + TIME(4,35,4)</f>
        <v>41032.191018518519</v>
      </c>
      <c r="C1057">
        <v>1893.3406981999999</v>
      </c>
      <c r="D1057">
        <v>1762.6063231999999</v>
      </c>
      <c r="E1057">
        <v>896.04437256000006</v>
      </c>
      <c r="F1057">
        <v>704.55444336000005</v>
      </c>
      <c r="G1057">
        <v>80</v>
      </c>
      <c r="H1057">
        <v>77.275329589999998</v>
      </c>
      <c r="I1057">
        <v>50</v>
      </c>
      <c r="J1057">
        <v>49.622875213999997</v>
      </c>
      <c r="K1057">
        <v>2400</v>
      </c>
      <c r="L1057">
        <v>0</v>
      </c>
      <c r="M1057">
        <v>0</v>
      </c>
      <c r="N1057">
        <v>2400</v>
      </c>
    </row>
    <row r="1058" spans="1:14" x14ac:dyDescent="0.25">
      <c r="A1058">
        <v>733.316418</v>
      </c>
      <c r="B1058" s="1">
        <f>DATE(2012,5,3) + TIME(7,35,38)</f>
        <v>41032.316412037035</v>
      </c>
      <c r="C1058">
        <v>1891.9912108999999</v>
      </c>
      <c r="D1058">
        <v>1761.7139893000001</v>
      </c>
      <c r="E1058">
        <v>896.06750488</v>
      </c>
      <c r="F1058">
        <v>704.57000731999995</v>
      </c>
      <c r="G1058">
        <v>80</v>
      </c>
      <c r="H1058">
        <v>77.626571655000006</v>
      </c>
      <c r="I1058">
        <v>50</v>
      </c>
      <c r="J1058">
        <v>49.610702515</v>
      </c>
      <c r="K1058">
        <v>2400</v>
      </c>
      <c r="L1058">
        <v>0</v>
      </c>
      <c r="M1058">
        <v>0</v>
      </c>
      <c r="N1058">
        <v>2400</v>
      </c>
    </row>
    <row r="1059" spans="1:14" x14ac:dyDescent="0.25">
      <c r="A1059">
        <v>733.44546300000002</v>
      </c>
      <c r="B1059" s="1">
        <f>DATE(2012,5,3) + TIME(10,41,28)</f>
        <v>41032.445462962962</v>
      </c>
      <c r="C1059">
        <v>1890.7078856999999</v>
      </c>
      <c r="D1059">
        <v>1760.8314209</v>
      </c>
      <c r="E1059">
        <v>896.07958984000004</v>
      </c>
      <c r="F1059">
        <v>704.57427978999999</v>
      </c>
      <c r="G1059">
        <v>80</v>
      </c>
      <c r="H1059">
        <v>77.938949585000003</v>
      </c>
      <c r="I1059">
        <v>50</v>
      </c>
      <c r="J1059">
        <v>49.598232269</v>
      </c>
      <c r="K1059">
        <v>2400</v>
      </c>
      <c r="L1059">
        <v>0</v>
      </c>
      <c r="M1059">
        <v>0</v>
      </c>
      <c r="N1059">
        <v>2400</v>
      </c>
    </row>
    <row r="1060" spans="1:14" x14ac:dyDescent="0.25">
      <c r="A1060">
        <v>733.57875899999999</v>
      </c>
      <c r="B1060" s="1">
        <f>DATE(2012,5,3) + TIME(13,53,24)</f>
        <v>41032.578750000001</v>
      </c>
      <c r="C1060">
        <v>1889.4824219</v>
      </c>
      <c r="D1060">
        <v>1759.9567870999999</v>
      </c>
      <c r="E1060">
        <v>896.08264159999999</v>
      </c>
      <c r="F1060">
        <v>704.56921387</v>
      </c>
      <c r="G1060">
        <v>80</v>
      </c>
      <c r="H1060">
        <v>78.216529846</v>
      </c>
      <c r="I1060">
        <v>50</v>
      </c>
      <c r="J1060">
        <v>49.585422516000001</v>
      </c>
      <c r="K1060">
        <v>2400</v>
      </c>
      <c r="L1060">
        <v>0</v>
      </c>
      <c r="M1060">
        <v>0</v>
      </c>
      <c r="N1060">
        <v>2400</v>
      </c>
    </row>
    <row r="1061" spans="1:14" x14ac:dyDescent="0.25">
      <c r="A1061">
        <v>733.71690000000001</v>
      </c>
      <c r="B1061" s="1">
        <f>DATE(2012,5,3) + TIME(17,12,20)</f>
        <v>41032.716898148145</v>
      </c>
      <c r="C1061">
        <v>1888.307251</v>
      </c>
      <c r="D1061">
        <v>1759.0880127</v>
      </c>
      <c r="E1061">
        <v>896.07836913999995</v>
      </c>
      <c r="F1061">
        <v>704.55651854999996</v>
      </c>
      <c r="G1061">
        <v>80</v>
      </c>
      <c r="H1061">
        <v>78.462715149000005</v>
      </c>
      <c r="I1061">
        <v>50</v>
      </c>
      <c r="J1061">
        <v>49.572223663000003</v>
      </c>
      <c r="K1061">
        <v>2400</v>
      </c>
      <c r="L1061">
        <v>0</v>
      </c>
      <c r="M1061">
        <v>0</v>
      </c>
      <c r="N1061">
        <v>2400</v>
      </c>
    </row>
    <row r="1062" spans="1:14" x14ac:dyDescent="0.25">
      <c r="A1062">
        <v>733.86052299999994</v>
      </c>
      <c r="B1062" s="1">
        <f>DATE(2012,5,3) + TIME(20,39,9)</f>
        <v>41032.860520833332</v>
      </c>
      <c r="C1062">
        <v>1887.175293</v>
      </c>
      <c r="D1062">
        <v>1758.2229004000001</v>
      </c>
      <c r="E1062">
        <v>896.06787109000004</v>
      </c>
      <c r="F1062">
        <v>704.53729248000002</v>
      </c>
      <c r="G1062">
        <v>80</v>
      </c>
      <c r="H1062">
        <v>78.680511475000003</v>
      </c>
      <c r="I1062">
        <v>50</v>
      </c>
      <c r="J1062">
        <v>49.558582305999998</v>
      </c>
      <c r="K1062">
        <v>2400</v>
      </c>
      <c r="L1062">
        <v>0</v>
      </c>
      <c r="M1062">
        <v>0</v>
      </c>
      <c r="N1062">
        <v>2400</v>
      </c>
    </row>
    <row r="1063" spans="1:14" x14ac:dyDescent="0.25">
      <c r="A1063">
        <v>734.01039200000002</v>
      </c>
      <c r="B1063" s="1">
        <f>DATE(2012,5,4) + TIME(0,14,57)</f>
        <v>41033.010381944441</v>
      </c>
      <c r="C1063">
        <v>1886.0803223</v>
      </c>
      <c r="D1063">
        <v>1757.3590088000001</v>
      </c>
      <c r="E1063">
        <v>896.05230713000003</v>
      </c>
      <c r="F1063">
        <v>704.51251220999995</v>
      </c>
      <c r="G1063">
        <v>80</v>
      </c>
      <c r="H1063">
        <v>78.872642517000003</v>
      </c>
      <c r="I1063">
        <v>50</v>
      </c>
      <c r="J1063">
        <v>49.544437408</v>
      </c>
      <c r="K1063">
        <v>2400</v>
      </c>
      <c r="L1063">
        <v>0</v>
      </c>
      <c r="M1063">
        <v>0</v>
      </c>
      <c r="N1063">
        <v>2400</v>
      </c>
    </row>
    <row r="1064" spans="1:14" x14ac:dyDescent="0.25">
      <c r="A1064">
        <v>734.16737699999999</v>
      </c>
      <c r="B1064" s="1">
        <f>DATE(2012,5,4) + TIME(4,1,1)</f>
        <v>41033.167372685188</v>
      </c>
      <c r="C1064">
        <v>1885.0157471</v>
      </c>
      <c r="D1064">
        <v>1756.4936522999999</v>
      </c>
      <c r="E1064">
        <v>896.03222656000003</v>
      </c>
      <c r="F1064">
        <v>704.48291015999996</v>
      </c>
      <c r="G1064">
        <v>80</v>
      </c>
      <c r="H1064">
        <v>79.041549683</v>
      </c>
      <c r="I1064">
        <v>50</v>
      </c>
      <c r="J1064">
        <v>49.529720306000002</v>
      </c>
      <c r="K1064">
        <v>2400</v>
      </c>
      <c r="L1064">
        <v>0</v>
      </c>
      <c r="M1064">
        <v>0</v>
      </c>
      <c r="N1064">
        <v>2400</v>
      </c>
    </row>
    <row r="1065" spans="1:14" x14ac:dyDescent="0.25">
      <c r="A1065">
        <v>734.33247500000004</v>
      </c>
      <c r="B1065" s="1">
        <f>DATE(2012,5,4) + TIME(7,58,45)</f>
        <v>41033.332465277781</v>
      </c>
      <c r="C1065">
        <v>1883.9753418</v>
      </c>
      <c r="D1065">
        <v>1755.6239014</v>
      </c>
      <c r="E1065">
        <v>896.00830078000001</v>
      </c>
      <c r="F1065">
        <v>704.44891356999995</v>
      </c>
      <c r="G1065">
        <v>80</v>
      </c>
      <c r="H1065">
        <v>79.189414978000002</v>
      </c>
      <c r="I1065">
        <v>50</v>
      </c>
      <c r="J1065">
        <v>49.514347076</v>
      </c>
      <c r="K1065">
        <v>2400</v>
      </c>
      <c r="L1065">
        <v>0</v>
      </c>
      <c r="M1065">
        <v>0</v>
      </c>
      <c r="N1065">
        <v>2400</v>
      </c>
    </row>
    <row r="1066" spans="1:14" x14ac:dyDescent="0.25">
      <c r="A1066">
        <v>734.50686099999996</v>
      </c>
      <c r="B1066" s="1">
        <f>DATE(2012,5,4) + TIME(12,9,52)</f>
        <v>41033.506851851853</v>
      </c>
      <c r="C1066">
        <v>1882.953125</v>
      </c>
      <c r="D1066">
        <v>1754.7463379000001</v>
      </c>
      <c r="E1066">
        <v>895.98083496000004</v>
      </c>
      <c r="F1066">
        <v>704.41088866999996</v>
      </c>
      <c r="G1066">
        <v>80</v>
      </c>
      <c r="H1066">
        <v>79.318222046000002</v>
      </c>
      <c r="I1066">
        <v>50</v>
      </c>
      <c r="J1066">
        <v>49.498233794999997</v>
      </c>
      <c r="K1066">
        <v>2400</v>
      </c>
      <c r="L1066">
        <v>0</v>
      </c>
      <c r="M1066">
        <v>0</v>
      </c>
      <c r="N1066">
        <v>2400</v>
      </c>
    </row>
    <row r="1067" spans="1:14" x14ac:dyDescent="0.25">
      <c r="A1067">
        <v>734.69196999999997</v>
      </c>
      <c r="B1067" s="1">
        <f>DATE(2012,5,4) + TIME(16,36,26)</f>
        <v>41033.691967592589</v>
      </c>
      <c r="C1067">
        <v>1881.9428711</v>
      </c>
      <c r="D1067">
        <v>1753.8576660000001</v>
      </c>
      <c r="E1067">
        <v>895.95007324000005</v>
      </c>
      <c r="F1067">
        <v>704.36889647999999</v>
      </c>
      <c r="G1067">
        <v>80</v>
      </c>
      <c r="H1067">
        <v>79.429817200000002</v>
      </c>
      <c r="I1067">
        <v>50</v>
      </c>
      <c r="J1067">
        <v>49.481269836000003</v>
      </c>
      <c r="K1067">
        <v>2400</v>
      </c>
      <c r="L1067">
        <v>0</v>
      </c>
      <c r="M1067">
        <v>0</v>
      </c>
      <c r="N1067">
        <v>2400</v>
      </c>
    </row>
    <row r="1068" spans="1:14" x14ac:dyDescent="0.25">
      <c r="A1068">
        <v>734.88871600000004</v>
      </c>
      <c r="B1068" s="1">
        <f>DATE(2012,5,4) + TIME(21,19,45)</f>
        <v>41033.888715277775</v>
      </c>
      <c r="C1068">
        <v>1880.9387207</v>
      </c>
      <c r="D1068">
        <v>1752.9537353999999</v>
      </c>
      <c r="E1068">
        <v>895.91589354999996</v>
      </c>
      <c r="F1068">
        <v>704.32293701000003</v>
      </c>
      <c r="G1068">
        <v>80</v>
      </c>
      <c r="H1068">
        <v>79.525550842000001</v>
      </c>
      <c r="I1068">
        <v>50</v>
      </c>
      <c r="J1068">
        <v>49.463378906000003</v>
      </c>
      <c r="K1068">
        <v>2400</v>
      </c>
      <c r="L1068">
        <v>0</v>
      </c>
      <c r="M1068">
        <v>0</v>
      </c>
      <c r="N1068">
        <v>2400</v>
      </c>
    </row>
    <row r="1069" spans="1:14" x14ac:dyDescent="0.25">
      <c r="A1069">
        <v>735.096498</v>
      </c>
      <c r="B1069" s="1">
        <f>DATE(2012,5,5) + TIME(2,18,57)</f>
        <v>41034.096493055556</v>
      </c>
      <c r="C1069">
        <v>1879.9388428</v>
      </c>
      <c r="D1069">
        <v>1752.0339355000001</v>
      </c>
      <c r="E1069">
        <v>895.87835693</v>
      </c>
      <c r="F1069">
        <v>704.27313231999995</v>
      </c>
      <c r="G1069">
        <v>80</v>
      </c>
      <c r="H1069">
        <v>79.606307982999994</v>
      </c>
      <c r="I1069">
        <v>50</v>
      </c>
      <c r="J1069">
        <v>49.444599152000002</v>
      </c>
      <c r="K1069">
        <v>2400</v>
      </c>
      <c r="L1069">
        <v>0</v>
      </c>
      <c r="M1069">
        <v>0</v>
      </c>
      <c r="N1069">
        <v>2400</v>
      </c>
    </row>
    <row r="1070" spans="1:14" x14ac:dyDescent="0.25">
      <c r="A1070">
        <v>735.31712200000004</v>
      </c>
      <c r="B1070" s="1">
        <f>DATE(2012,5,5) + TIME(7,36,39)</f>
        <v>41034.317118055558</v>
      </c>
      <c r="C1070">
        <v>1878.9448242000001</v>
      </c>
      <c r="D1070">
        <v>1751.1030272999999</v>
      </c>
      <c r="E1070">
        <v>895.83789062000005</v>
      </c>
      <c r="F1070">
        <v>704.21966553000004</v>
      </c>
      <c r="G1070">
        <v>80</v>
      </c>
      <c r="H1070">
        <v>79.674018860000004</v>
      </c>
      <c r="I1070">
        <v>50</v>
      </c>
      <c r="J1070">
        <v>49.424800873000002</v>
      </c>
      <c r="K1070">
        <v>2400</v>
      </c>
      <c r="L1070">
        <v>0</v>
      </c>
      <c r="M1070">
        <v>0</v>
      </c>
      <c r="N1070">
        <v>2400</v>
      </c>
    </row>
    <row r="1071" spans="1:14" x14ac:dyDescent="0.25">
      <c r="A1071">
        <v>735.54855699999996</v>
      </c>
      <c r="B1071" s="1">
        <f>DATE(2012,5,5) + TIME(13,9,55)</f>
        <v>41034.54855324074</v>
      </c>
      <c r="C1071">
        <v>1877.9516602000001</v>
      </c>
      <c r="D1071">
        <v>1750.1571045000001</v>
      </c>
      <c r="E1071">
        <v>895.79400635000002</v>
      </c>
      <c r="F1071">
        <v>704.16241454999999</v>
      </c>
      <c r="G1071">
        <v>80</v>
      </c>
      <c r="H1071">
        <v>79.729560852000006</v>
      </c>
      <c r="I1071">
        <v>50</v>
      </c>
      <c r="J1071">
        <v>49.404117583999998</v>
      </c>
      <c r="K1071">
        <v>2400</v>
      </c>
      <c r="L1071">
        <v>0</v>
      </c>
      <c r="M1071">
        <v>0</v>
      </c>
      <c r="N1071">
        <v>2400</v>
      </c>
    </row>
    <row r="1072" spans="1:14" x14ac:dyDescent="0.25">
      <c r="A1072">
        <v>735.78075000000001</v>
      </c>
      <c r="B1072" s="1">
        <f>DATE(2012,5,5) + TIME(18,44,16)</f>
        <v>41034.780740740738</v>
      </c>
      <c r="C1072">
        <v>1876.9710693</v>
      </c>
      <c r="D1072">
        <v>1749.2084961</v>
      </c>
      <c r="E1072">
        <v>895.74682616999996</v>
      </c>
      <c r="F1072">
        <v>704.10253906000003</v>
      </c>
      <c r="G1072">
        <v>80</v>
      </c>
      <c r="H1072">
        <v>79.773162842000005</v>
      </c>
      <c r="I1072">
        <v>50</v>
      </c>
      <c r="J1072">
        <v>49.383251190000003</v>
      </c>
      <c r="K1072">
        <v>2400</v>
      </c>
      <c r="L1072">
        <v>0</v>
      </c>
      <c r="M1072">
        <v>0</v>
      </c>
      <c r="N1072">
        <v>2400</v>
      </c>
    </row>
    <row r="1073" spans="1:14" x14ac:dyDescent="0.25">
      <c r="A1073">
        <v>736.01483099999996</v>
      </c>
      <c r="B1073" s="1">
        <f>DATE(2012,5,6) + TIME(0,21,21)</f>
        <v>41035.014826388891</v>
      </c>
      <c r="C1073">
        <v>1876.0354004000001</v>
      </c>
      <c r="D1073">
        <v>1748.2943115</v>
      </c>
      <c r="E1073">
        <v>895.69921875</v>
      </c>
      <c r="F1073">
        <v>704.04174805000002</v>
      </c>
      <c r="G1073">
        <v>80</v>
      </c>
      <c r="H1073">
        <v>79.807525635000005</v>
      </c>
      <c r="I1073">
        <v>50</v>
      </c>
      <c r="J1073">
        <v>49.362163543999998</v>
      </c>
      <c r="K1073">
        <v>2400</v>
      </c>
      <c r="L1073">
        <v>0</v>
      </c>
      <c r="M1073">
        <v>0</v>
      </c>
      <c r="N1073">
        <v>2400</v>
      </c>
    </row>
    <row r="1074" spans="1:14" x14ac:dyDescent="0.25">
      <c r="A1074">
        <v>736.25187100000005</v>
      </c>
      <c r="B1074" s="1">
        <f>DATE(2012,5,6) + TIME(6,2,41)</f>
        <v>41035.251863425925</v>
      </c>
      <c r="C1074">
        <v>1875.1361084</v>
      </c>
      <c r="D1074">
        <v>1747.4085693</v>
      </c>
      <c r="E1074">
        <v>895.65106201000003</v>
      </c>
      <c r="F1074">
        <v>703.98004149999997</v>
      </c>
      <c r="G1074">
        <v>80</v>
      </c>
      <c r="H1074">
        <v>79.834693908999995</v>
      </c>
      <c r="I1074">
        <v>50</v>
      </c>
      <c r="J1074">
        <v>49.340812683000003</v>
      </c>
      <c r="K1074">
        <v>2400</v>
      </c>
      <c r="L1074">
        <v>0</v>
      </c>
      <c r="M1074">
        <v>0</v>
      </c>
      <c r="N1074">
        <v>2400</v>
      </c>
    </row>
    <row r="1075" spans="1:14" x14ac:dyDescent="0.25">
      <c r="A1075">
        <v>736.49290099999996</v>
      </c>
      <c r="B1075" s="1">
        <f>DATE(2012,5,6) + TIME(11,49,46)</f>
        <v>41035.492893518516</v>
      </c>
      <c r="C1075">
        <v>1874.2655029</v>
      </c>
      <c r="D1075">
        <v>1746.5455322</v>
      </c>
      <c r="E1075">
        <v>895.60223388999998</v>
      </c>
      <c r="F1075">
        <v>703.91723633000004</v>
      </c>
      <c r="G1075">
        <v>80</v>
      </c>
      <c r="H1075">
        <v>79.856224060000002</v>
      </c>
      <c r="I1075">
        <v>50</v>
      </c>
      <c r="J1075">
        <v>49.319137572999999</v>
      </c>
      <c r="K1075">
        <v>2400</v>
      </c>
      <c r="L1075">
        <v>0</v>
      </c>
      <c r="M1075">
        <v>0</v>
      </c>
      <c r="N1075">
        <v>2400</v>
      </c>
    </row>
    <row r="1076" spans="1:14" x14ac:dyDescent="0.25">
      <c r="A1076">
        <v>736.73895100000004</v>
      </c>
      <c r="B1076" s="1">
        <f>DATE(2012,5,6) + TIME(17,44,5)</f>
        <v>41035.738946759258</v>
      </c>
      <c r="C1076">
        <v>1873.4172363</v>
      </c>
      <c r="D1076">
        <v>1745.6999512</v>
      </c>
      <c r="E1076">
        <v>895.55249022999999</v>
      </c>
      <c r="F1076">
        <v>703.85308838000003</v>
      </c>
      <c r="G1076">
        <v>80</v>
      </c>
      <c r="H1076">
        <v>79.873313904</v>
      </c>
      <c r="I1076">
        <v>50</v>
      </c>
      <c r="J1076">
        <v>49.297080993999998</v>
      </c>
      <c r="K1076">
        <v>2400</v>
      </c>
      <c r="L1076">
        <v>0</v>
      </c>
      <c r="M1076">
        <v>0</v>
      </c>
      <c r="N1076">
        <v>2400</v>
      </c>
    </row>
    <row r="1077" spans="1:14" x14ac:dyDescent="0.25">
      <c r="A1077">
        <v>736.99122499999999</v>
      </c>
      <c r="B1077" s="1">
        <f>DATE(2012,5,6) + TIME(23,47,21)</f>
        <v>41035.991215277776</v>
      </c>
      <c r="C1077">
        <v>1872.5856934000001</v>
      </c>
      <c r="D1077">
        <v>1744.8676757999999</v>
      </c>
      <c r="E1077">
        <v>895.50170897999999</v>
      </c>
      <c r="F1077">
        <v>703.78741454999999</v>
      </c>
      <c r="G1077">
        <v>80</v>
      </c>
      <c r="H1077">
        <v>79.886886597</v>
      </c>
      <c r="I1077">
        <v>50</v>
      </c>
      <c r="J1077">
        <v>49.274562836000001</v>
      </c>
      <c r="K1077">
        <v>2400</v>
      </c>
      <c r="L1077">
        <v>0</v>
      </c>
      <c r="M1077">
        <v>0</v>
      </c>
      <c r="N1077">
        <v>2400</v>
      </c>
    </row>
    <row r="1078" spans="1:14" x14ac:dyDescent="0.25">
      <c r="A1078">
        <v>737.25075700000002</v>
      </c>
      <c r="B1078" s="1">
        <f>DATE(2012,5,7) + TIME(6,1,5)</f>
        <v>41036.250752314816</v>
      </c>
      <c r="C1078">
        <v>1871.7657471</v>
      </c>
      <c r="D1078">
        <v>1744.0441894999999</v>
      </c>
      <c r="E1078">
        <v>895.44952393000005</v>
      </c>
      <c r="F1078">
        <v>703.71997069999998</v>
      </c>
      <c r="G1078">
        <v>80</v>
      </c>
      <c r="H1078">
        <v>79.897666931000003</v>
      </c>
      <c r="I1078">
        <v>50</v>
      </c>
      <c r="J1078">
        <v>49.251510619999998</v>
      </c>
      <c r="K1078">
        <v>2400</v>
      </c>
      <c r="L1078">
        <v>0</v>
      </c>
      <c r="M1078">
        <v>0</v>
      </c>
      <c r="N1078">
        <v>2400</v>
      </c>
    </row>
    <row r="1079" spans="1:14" x14ac:dyDescent="0.25">
      <c r="A1079">
        <v>737.51874699999996</v>
      </c>
      <c r="B1079" s="1">
        <f>DATE(2012,5,7) + TIME(12,26,59)</f>
        <v>41036.518738425926</v>
      </c>
      <c r="C1079">
        <v>1870.9533690999999</v>
      </c>
      <c r="D1079">
        <v>1743.2260742000001</v>
      </c>
      <c r="E1079">
        <v>895.39575194999998</v>
      </c>
      <c r="F1079">
        <v>703.65039062000005</v>
      </c>
      <c r="G1079">
        <v>80</v>
      </c>
      <c r="H1079">
        <v>79.906234741000006</v>
      </c>
      <c r="I1079">
        <v>50</v>
      </c>
      <c r="J1079">
        <v>49.227848053000002</v>
      </c>
      <c r="K1079">
        <v>2400</v>
      </c>
      <c r="L1079">
        <v>0</v>
      </c>
      <c r="M1079">
        <v>0</v>
      </c>
      <c r="N1079">
        <v>2400</v>
      </c>
    </row>
    <row r="1080" spans="1:14" x14ac:dyDescent="0.25">
      <c r="A1080">
        <v>737.796558</v>
      </c>
      <c r="B1080" s="1">
        <f>DATE(2012,5,7) + TIME(19,7,2)</f>
        <v>41036.796550925923</v>
      </c>
      <c r="C1080">
        <v>1870.1445312000001</v>
      </c>
      <c r="D1080">
        <v>1742.4100341999999</v>
      </c>
      <c r="E1080">
        <v>895.34014893000005</v>
      </c>
      <c r="F1080">
        <v>703.57843018000005</v>
      </c>
      <c r="G1080">
        <v>80</v>
      </c>
      <c r="H1080">
        <v>79.913032532000003</v>
      </c>
      <c r="I1080">
        <v>50</v>
      </c>
      <c r="J1080">
        <v>49.203468323000003</v>
      </c>
      <c r="K1080">
        <v>2400</v>
      </c>
      <c r="L1080">
        <v>0</v>
      </c>
      <c r="M1080">
        <v>0</v>
      </c>
      <c r="N1080">
        <v>2400</v>
      </c>
    </row>
    <row r="1081" spans="1:14" x14ac:dyDescent="0.25">
      <c r="A1081">
        <v>738.08573699999999</v>
      </c>
      <c r="B1081" s="1">
        <f>DATE(2012,5,8) + TIME(2,3,27)</f>
        <v>41037.085729166669</v>
      </c>
      <c r="C1081">
        <v>1869.3354492000001</v>
      </c>
      <c r="D1081">
        <v>1741.5926514</v>
      </c>
      <c r="E1081">
        <v>895.28240966999999</v>
      </c>
      <c r="F1081">
        <v>703.50366211000005</v>
      </c>
      <c r="G1081">
        <v>80</v>
      </c>
      <c r="H1081">
        <v>79.918434142999999</v>
      </c>
      <c r="I1081">
        <v>50</v>
      </c>
      <c r="J1081">
        <v>49.178268433</v>
      </c>
      <c r="K1081">
        <v>2400</v>
      </c>
      <c r="L1081">
        <v>0</v>
      </c>
      <c r="M1081">
        <v>0</v>
      </c>
      <c r="N1081">
        <v>2400</v>
      </c>
    </row>
    <row r="1082" spans="1:14" x14ac:dyDescent="0.25">
      <c r="A1082">
        <v>738.38801999999998</v>
      </c>
      <c r="B1082" s="1">
        <f>DATE(2012,5,8) + TIME(9,18,44)</f>
        <v>41037.388009259259</v>
      </c>
      <c r="C1082">
        <v>1868.5222168</v>
      </c>
      <c r="D1082">
        <v>1740.7702637</v>
      </c>
      <c r="E1082">
        <v>895.22216796999999</v>
      </c>
      <c r="F1082">
        <v>703.42578125</v>
      </c>
      <c r="G1082">
        <v>80</v>
      </c>
      <c r="H1082">
        <v>79.922721863000007</v>
      </c>
      <c r="I1082">
        <v>50</v>
      </c>
      <c r="J1082">
        <v>49.152122497999997</v>
      </c>
      <c r="K1082">
        <v>2400</v>
      </c>
      <c r="L1082">
        <v>0</v>
      </c>
      <c r="M1082">
        <v>0</v>
      </c>
      <c r="N1082">
        <v>2400</v>
      </c>
    </row>
    <row r="1083" spans="1:14" x14ac:dyDescent="0.25">
      <c r="A1083">
        <v>738.70494199999996</v>
      </c>
      <c r="B1083" s="1">
        <f>DATE(2012,5,8) + TIME(16,55,6)</f>
        <v>41037.704930555556</v>
      </c>
      <c r="C1083">
        <v>1867.7011719</v>
      </c>
      <c r="D1083">
        <v>1739.9394531</v>
      </c>
      <c r="E1083">
        <v>895.15905762</v>
      </c>
      <c r="F1083">
        <v>703.34417725000003</v>
      </c>
      <c r="G1083">
        <v>80</v>
      </c>
      <c r="H1083">
        <v>79.926132202000005</v>
      </c>
      <c r="I1083">
        <v>50</v>
      </c>
      <c r="J1083">
        <v>49.124916077000002</v>
      </c>
      <c r="K1083">
        <v>2400</v>
      </c>
      <c r="L1083">
        <v>0</v>
      </c>
      <c r="M1083">
        <v>0</v>
      </c>
      <c r="N1083">
        <v>2400</v>
      </c>
    </row>
    <row r="1084" spans="1:14" x14ac:dyDescent="0.25">
      <c r="A1084">
        <v>739.03452700000003</v>
      </c>
      <c r="B1084" s="1">
        <f>DATE(2012,5,9) + TIME(0,49,43)</f>
        <v>41038.034525462965</v>
      </c>
      <c r="C1084">
        <v>1866.8701172000001</v>
      </c>
      <c r="D1084">
        <v>1739.0981445</v>
      </c>
      <c r="E1084">
        <v>895.09252930000002</v>
      </c>
      <c r="F1084">
        <v>703.25872803000004</v>
      </c>
      <c r="G1084">
        <v>80</v>
      </c>
      <c r="H1084">
        <v>79.928802489999995</v>
      </c>
      <c r="I1084">
        <v>50</v>
      </c>
      <c r="J1084">
        <v>49.096748351999999</v>
      </c>
      <c r="K1084">
        <v>2400</v>
      </c>
      <c r="L1084">
        <v>0</v>
      </c>
      <c r="M1084">
        <v>0</v>
      </c>
      <c r="N1084">
        <v>2400</v>
      </c>
    </row>
    <row r="1085" spans="1:14" x14ac:dyDescent="0.25">
      <c r="A1085">
        <v>739.37883599999998</v>
      </c>
      <c r="B1085" s="1">
        <f>DATE(2012,5,9) + TIME(9,5,31)</f>
        <v>41038.378831018519</v>
      </c>
      <c r="C1085">
        <v>1866.0345459</v>
      </c>
      <c r="D1085">
        <v>1738.2525635</v>
      </c>
      <c r="E1085">
        <v>895.02319336000005</v>
      </c>
      <c r="F1085">
        <v>703.16961670000001</v>
      </c>
      <c r="G1085">
        <v>80</v>
      </c>
      <c r="H1085">
        <v>79.930923461999996</v>
      </c>
      <c r="I1085">
        <v>50</v>
      </c>
      <c r="J1085">
        <v>49.067489623999997</v>
      </c>
      <c r="K1085">
        <v>2400</v>
      </c>
      <c r="L1085">
        <v>0</v>
      </c>
      <c r="M1085">
        <v>0</v>
      </c>
      <c r="N1085">
        <v>2400</v>
      </c>
    </row>
    <row r="1086" spans="1:14" x14ac:dyDescent="0.25">
      <c r="A1086">
        <v>739.74002700000005</v>
      </c>
      <c r="B1086" s="1">
        <f>DATE(2012,5,9) + TIME(17,45,38)</f>
        <v>41038.740023148152</v>
      </c>
      <c r="C1086">
        <v>1865.1911620999999</v>
      </c>
      <c r="D1086">
        <v>1737.3990478999999</v>
      </c>
      <c r="E1086">
        <v>894.95068359000004</v>
      </c>
      <c r="F1086">
        <v>703.07635498000002</v>
      </c>
      <c r="G1086">
        <v>80</v>
      </c>
      <c r="H1086">
        <v>79.932601929</v>
      </c>
      <c r="I1086">
        <v>50</v>
      </c>
      <c r="J1086">
        <v>49.037006378000001</v>
      </c>
      <c r="K1086">
        <v>2400</v>
      </c>
      <c r="L1086">
        <v>0</v>
      </c>
      <c r="M1086">
        <v>0</v>
      </c>
      <c r="N1086">
        <v>2400</v>
      </c>
    </row>
    <row r="1087" spans="1:14" x14ac:dyDescent="0.25">
      <c r="A1087">
        <v>740.10838000000001</v>
      </c>
      <c r="B1087" s="1">
        <f>DATE(2012,5,10) + TIME(2,36,3)</f>
        <v>41039.108368055553</v>
      </c>
      <c r="C1087">
        <v>1864.3369141000001</v>
      </c>
      <c r="D1087">
        <v>1736.5347899999999</v>
      </c>
      <c r="E1087">
        <v>894.87371826000003</v>
      </c>
      <c r="F1087">
        <v>702.97894286999997</v>
      </c>
      <c r="G1087">
        <v>80</v>
      </c>
      <c r="H1087">
        <v>79.933906554999993</v>
      </c>
      <c r="I1087">
        <v>50</v>
      </c>
      <c r="J1087">
        <v>49.005836487000003</v>
      </c>
      <c r="K1087">
        <v>2400</v>
      </c>
      <c r="L1087">
        <v>0</v>
      </c>
      <c r="M1087">
        <v>0</v>
      </c>
      <c r="N1087">
        <v>2400</v>
      </c>
    </row>
    <row r="1088" spans="1:14" x14ac:dyDescent="0.25">
      <c r="A1088">
        <v>740.47928000000002</v>
      </c>
      <c r="B1088" s="1">
        <f>DATE(2012,5,10) + TIME(11,30,9)</f>
        <v>41039.479270833333</v>
      </c>
      <c r="C1088">
        <v>1863.4943848</v>
      </c>
      <c r="D1088">
        <v>1735.6831055</v>
      </c>
      <c r="E1088">
        <v>894.79486083999996</v>
      </c>
      <c r="F1088">
        <v>702.87939453000001</v>
      </c>
      <c r="G1088">
        <v>80</v>
      </c>
      <c r="H1088">
        <v>79.934921265</v>
      </c>
      <c r="I1088">
        <v>50</v>
      </c>
      <c r="J1088">
        <v>48.974315642999997</v>
      </c>
      <c r="K1088">
        <v>2400</v>
      </c>
      <c r="L1088">
        <v>0</v>
      </c>
      <c r="M1088">
        <v>0</v>
      </c>
      <c r="N1088">
        <v>2400</v>
      </c>
    </row>
    <row r="1089" spans="1:14" x14ac:dyDescent="0.25">
      <c r="A1089">
        <v>740.85448599999995</v>
      </c>
      <c r="B1089" s="1">
        <f>DATE(2012,5,10) + TIME(20,30,27)</f>
        <v>41039.854479166665</v>
      </c>
      <c r="C1089">
        <v>1862.6730957</v>
      </c>
      <c r="D1089">
        <v>1734.8531493999999</v>
      </c>
      <c r="E1089">
        <v>894.71551513999998</v>
      </c>
      <c r="F1089">
        <v>702.77862548999997</v>
      </c>
      <c r="G1089">
        <v>80</v>
      </c>
      <c r="H1089">
        <v>79.935722350999995</v>
      </c>
      <c r="I1089">
        <v>50</v>
      </c>
      <c r="J1089">
        <v>48.942417145</v>
      </c>
      <c r="K1089">
        <v>2400</v>
      </c>
      <c r="L1089">
        <v>0</v>
      </c>
      <c r="M1089">
        <v>0</v>
      </c>
      <c r="N1089">
        <v>2400</v>
      </c>
    </row>
    <row r="1090" spans="1:14" x14ac:dyDescent="0.25">
      <c r="A1090">
        <v>741.23517200000003</v>
      </c>
      <c r="B1090" s="1">
        <f>DATE(2012,5,11) + TIME(5,38,38)</f>
        <v>41040.235162037039</v>
      </c>
      <c r="C1090">
        <v>1861.8682861</v>
      </c>
      <c r="D1090">
        <v>1734.0405272999999</v>
      </c>
      <c r="E1090">
        <v>894.63513183999999</v>
      </c>
      <c r="F1090">
        <v>702.67639159999999</v>
      </c>
      <c r="G1090">
        <v>80</v>
      </c>
      <c r="H1090">
        <v>79.936370850000003</v>
      </c>
      <c r="I1090">
        <v>50</v>
      </c>
      <c r="J1090">
        <v>48.910118103000002</v>
      </c>
      <c r="K1090">
        <v>2400</v>
      </c>
      <c r="L1090">
        <v>0</v>
      </c>
      <c r="M1090">
        <v>0</v>
      </c>
      <c r="N1090">
        <v>2400</v>
      </c>
    </row>
    <row r="1091" spans="1:14" x14ac:dyDescent="0.25">
      <c r="A1091">
        <v>741.62251900000001</v>
      </c>
      <c r="B1091" s="1">
        <f>DATE(2012,5,11) + TIME(14,56,25)</f>
        <v>41040.622511574074</v>
      </c>
      <c r="C1091">
        <v>1861.0766602000001</v>
      </c>
      <c r="D1091">
        <v>1733.2416992000001</v>
      </c>
      <c r="E1091">
        <v>894.55352783000001</v>
      </c>
      <c r="F1091">
        <v>702.57238770000004</v>
      </c>
      <c r="G1091">
        <v>80</v>
      </c>
      <c r="H1091">
        <v>79.936889648000005</v>
      </c>
      <c r="I1091">
        <v>50</v>
      </c>
      <c r="J1091">
        <v>48.877365112</v>
      </c>
      <c r="K1091">
        <v>2400</v>
      </c>
      <c r="L1091">
        <v>0</v>
      </c>
      <c r="M1091">
        <v>0</v>
      </c>
      <c r="N1091">
        <v>2400</v>
      </c>
    </row>
    <row r="1092" spans="1:14" x14ac:dyDescent="0.25">
      <c r="A1092">
        <v>742.018237</v>
      </c>
      <c r="B1092" s="1">
        <f>DATE(2012,5,12) + TIME(0,26,15)</f>
        <v>41041.018229166664</v>
      </c>
      <c r="C1092">
        <v>1860.2950439000001</v>
      </c>
      <c r="D1092">
        <v>1732.4534911999999</v>
      </c>
      <c r="E1092">
        <v>894.47039795000001</v>
      </c>
      <c r="F1092">
        <v>702.46630859000004</v>
      </c>
      <c r="G1092">
        <v>80</v>
      </c>
      <c r="H1092">
        <v>79.937324524000005</v>
      </c>
      <c r="I1092">
        <v>50</v>
      </c>
      <c r="J1092">
        <v>48.844070434999999</v>
      </c>
      <c r="K1092">
        <v>2400</v>
      </c>
      <c r="L1092">
        <v>0</v>
      </c>
      <c r="M1092">
        <v>0</v>
      </c>
      <c r="N1092">
        <v>2400</v>
      </c>
    </row>
    <row r="1093" spans="1:14" x14ac:dyDescent="0.25">
      <c r="A1093">
        <v>742.42422699999997</v>
      </c>
      <c r="B1093" s="1">
        <f>DATE(2012,5,12) + TIME(10,10,53)</f>
        <v>41041.424224537041</v>
      </c>
      <c r="C1093">
        <v>1859.5197754000001</v>
      </c>
      <c r="D1093">
        <v>1731.6723632999999</v>
      </c>
      <c r="E1093">
        <v>894.38531493999994</v>
      </c>
      <c r="F1093">
        <v>702.35766602000001</v>
      </c>
      <c r="G1093">
        <v>80</v>
      </c>
      <c r="H1093">
        <v>79.937683105000005</v>
      </c>
      <c r="I1093">
        <v>50</v>
      </c>
      <c r="J1093">
        <v>48.810119628999999</v>
      </c>
      <c r="K1093">
        <v>2400</v>
      </c>
      <c r="L1093">
        <v>0</v>
      </c>
      <c r="M1093">
        <v>0</v>
      </c>
      <c r="N1093">
        <v>2400</v>
      </c>
    </row>
    <row r="1094" spans="1:14" x14ac:dyDescent="0.25">
      <c r="A1094">
        <v>742.84216700000002</v>
      </c>
      <c r="B1094" s="1">
        <f>DATE(2012,5,12) + TIME(20,12,43)</f>
        <v>41041.842164351852</v>
      </c>
      <c r="C1094">
        <v>1858.7471923999999</v>
      </c>
      <c r="D1094">
        <v>1730.8944091999999</v>
      </c>
      <c r="E1094">
        <v>894.29791260000002</v>
      </c>
      <c r="F1094">
        <v>702.24597168000003</v>
      </c>
      <c r="G1094">
        <v>80</v>
      </c>
      <c r="H1094">
        <v>79.937980651999993</v>
      </c>
      <c r="I1094">
        <v>50</v>
      </c>
      <c r="J1094">
        <v>48.775398254000002</v>
      </c>
      <c r="K1094">
        <v>2400</v>
      </c>
      <c r="L1094">
        <v>0</v>
      </c>
      <c r="M1094">
        <v>0</v>
      </c>
      <c r="N1094">
        <v>2400</v>
      </c>
    </row>
    <row r="1095" spans="1:14" x14ac:dyDescent="0.25">
      <c r="A1095">
        <v>743.274134</v>
      </c>
      <c r="B1095" s="1">
        <f>DATE(2012,5,13) + TIME(6,34,45)</f>
        <v>41042.274131944447</v>
      </c>
      <c r="C1095">
        <v>1857.9744873</v>
      </c>
      <c r="D1095">
        <v>1730.1168213000001</v>
      </c>
      <c r="E1095">
        <v>894.20776366999996</v>
      </c>
      <c r="F1095">
        <v>702.13079833999996</v>
      </c>
      <c r="G1095">
        <v>80</v>
      </c>
      <c r="H1095">
        <v>79.938240050999994</v>
      </c>
      <c r="I1095">
        <v>50</v>
      </c>
      <c r="J1095">
        <v>48.739768982000001</v>
      </c>
      <c r="K1095">
        <v>2400</v>
      </c>
      <c r="L1095">
        <v>0</v>
      </c>
      <c r="M1095">
        <v>0</v>
      </c>
      <c r="N1095">
        <v>2400</v>
      </c>
    </row>
    <row r="1096" spans="1:14" x14ac:dyDescent="0.25">
      <c r="A1096">
        <v>743.72244699999999</v>
      </c>
      <c r="B1096" s="1">
        <f>DATE(2012,5,13) + TIME(17,20,19)</f>
        <v>41042.722442129627</v>
      </c>
      <c r="C1096">
        <v>1857.1982422000001</v>
      </c>
      <c r="D1096">
        <v>1729.3363036999999</v>
      </c>
      <c r="E1096">
        <v>894.11431885000002</v>
      </c>
      <c r="F1096">
        <v>702.01147461000005</v>
      </c>
      <c r="G1096">
        <v>80</v>
      </c>
      <c r="H1096">
        <v>79.938468932999996</v>
      </c>
      <c r="I1096">
        <v>50</v>
      </c>
      <c r="J1096">
        <v>48.703079224</v>
      </c>
      <c r="K1096">
        <v>2400</v>
      </c>
      <c r="L1096">
        <v>0</v>
      </c>
      <c r="M1096">
        <v>0</v>
      </c>
      <c r="N1096">
        <v>2400</v>
      </c>
    </row>
    <row r="1097" spans="1:14" x14ac:dyDescent="0.25">
      <c r="A1097">
        <v>744.18976399999997</v>
      </c>
      <c r="B1097" s="1">
        <f>DATE(2012,5,14) + TIME(4,33,15)</f>
        <v>41043.189756944441</v>
      </c>
      <c r="C1097">
        <v>1856.4151611</v>
      </c>
      <c r="D1097">
        <v>1728.5493164</v>
      </c>
      <c r="E1097">
        <v>894.01715088000003</v>
      </c>
      <c r="F1097">
        <v>701.88739013999998</v>
      </c>
      <c r="G1097">
        <v>80</v>
      </c>
      <c r="H1097">
        <v>79.938659668</v>
      </c>
      <c r="I1097">
        <v>50</v>
      </c>
      <c r="J1097">
        <v>48.665142058999997</v>
      </c>
      <c r="K1097">
        <v>2400</v>
      </c>
      <c r="L1097">
        <v>0</v>
      </c>
      <c r="M1097">
        <v>0</v>
      </c>
      <c r="N1097">
        <v>2400</v>
      </c>
    </row>
    <row r="1098" spans="1:14" x14ac:dyDescent="0.25">
      <c r="A1098">
        <v>744.67248800000004</v>
      </c>
      <c r="B1098" s="1">
        <f>DATE(2012,5,14) + TIME(16,8,22)</f>
        <v>41043.672476851854</v>
      </c>
      <c r="C1098">
        <v>1855.6220702999999</v>
      </c>
      <c r="D1098">
        <v>1727.7530518000001</v>
      </c>
      <c r="E1098">
        <v>893.91522216999999</v>
      </c>
      <c r="F1098">
        <v>701.75805663999995</v>
      </c>
      <c r="G1098">
        <v>80</v>
      </c>
      <c r="H1098">
        <v>79.938827515</v>
      </c>
      <c r="I1098">
        <v>50</v>
      </c>
      <c r="J1098">
        <v>48.626094817999999</v>
      </c>
      <c r="K1098">
        <v>2400</v>
      </c>
      <c r="L1098">
        <v>0</v>
      </c>
      <c r="M1098">
        <v>0</v>
      </c>
      <c r="N1098">
        <v>2400</v>
      </c>
    </row>
    <row r="1099" spans="1:14" x14ac:dyDescent="0.25">
      <c r="A1099">
        <v>745.17008499999997</v>
      </c>
      <c r="B1099" s="1">
        <f>DATE(2012,5,15) + TIME(4,4,55)</f>
        <v>41044.170081018521</v>
      </c>
      <c r="C1099">
        <v>1854.8256836</v>
      </c>
      <c r="D1099">
        <v>1726.9539795000001</v>
      </c>
      <c r="E1099">
        <v>893.80963135000002</v>
      </c>
      <c r="F1099">
        <v>701.62414550999995</v>
      </c>
      <c r="G1099">
        <v>80</v>
      </c>
      <c r="H1099">
        <v>79.938972473000007</v>
      </c>
      <c r="I1099">
        <v>50</v>
      </c>
      <c r="J1099">
        <v>48.585971831999998</v>
      </c>
      <c r="K1099">
        <v>2400</v>
      </c>
      <c r="L1099">
        <v>0</v>
      </c>
      <c r="M1099">
        <v>0</v>
      </c>
      <c r="N1099">
        <v>2400</v>
      </c>
    </row>
    <row r="1100" spans="1:14" x14ac:dyDescent="0.25">
      <c r="A1100">
        <v>745.66963599999997</v>
      </c>
      <c r="B1100" s="1">
        <f>DATE(2012,5,15) + TIME(16,4,16)</f>
        <v>41044.669629629629</v>
      </c>
      <c r="C1100">
        <v>1854.0281981999999</v>
      </c>
      <c r="D1100">
        <v>1726.1542969</v>
      </c>
      <c r="E1100">
        <v>893.69976807</v>
      </c>
      <c r="F1100">
        <v>701.48626708999996</v>
      </c>
      <c r="G1100">
        <v>80</v>
      </c>
      <c r="H1100">
        <v>79.939094542999996</v>
      </c>
      <c r="I1100">
        <v>50</v>
      </c>
      <c r="J1100">
        <v>48.545440673999998</v>
      </c>
      <c r="K1100">
        <v>2400</v>
      </c>
      <c r="L1100">
        <v>0</v>
      </c>
      <c r="M1100">
        <v>0</v>
      </c>
      <c r="N1100">
        <v>2400</v>
      </c>
    </row>
    <row r="1101" spans="1:14" x14ac:dyDescent="0.25">
      <c r="A1101">
        <v>746.172867</v>
      </c>
      <c r="B1101" s="1">
        <f>DATE(2012,5,16) + TIME(4,8,55)</f>
        <v>41045.172858796293</v>
      </c>
      <c r="C1101">
        <v>1853.2486572</v>
      </c>
      <c r="D1101">
        <v>1725.3732910000001</v>
      </c>
      <c r="E1101">
        <v>893.58935546999999</v>
      </c>
      <c r="F1101">
        <v>701.34704590000001</v>
      </c>
      <c r="G1101">
        <v>80</v>
      </c>
      <c r="H1101">
        <v>79.939201354999994</v>
      </c>
      <c r="I1101">
        <v>50</v>
      </c>
      <c r="J1101">
        <v>48.504566193000002</v>
      </c>
      <c r="K1101">
        <v>2400</v>
      </c>
      <c r="L1101">
        <v>0</v>
      </c>
      <c r="M1101">
        <v>0</v>
      </c>
      <c r="N1101">
        <v>2400</v>
      </c>
    </row>
    <row r="1102" spans="1:14" x14ac:dyDescent="0.25">
      <c r="A1102">
        <v>746.68195400000002</v>
      </c>
      <c r="B1102" s="1">
        <f>DATE(2012,5,16) + TIME(16,22,0)</f>
        <v>41045.681944444441</v>
      </c>
      <c r="C1102">
        <v>1852.4840088000001</v>
      </c>
      <c r="D1102">
        <v>1724.6076660000001</v>
      </c>
      <c r="E1102">
        <v>893.47790526999995</v>
      </c>
      <c r="F1102">
        <v>701.20617675999995</v>
      </c>
      <c r="G1102">
        <v>80</v>
      </c>
      <c r="H1102">
        <v>79.939292907999999</v>
      </c>
      <c r="I1102">
        <v>50</v>
      </c>
      <c r="J1102">
        <v>48.463317871000001</v>
      </c>
      <c r="K1102">
        <v>2400</v>
      </c>
      <c r="L1102">
        <v>0</v>
      </c>
      <c r="M1102">
        <v>0</v>
      </c>
      <c r="N1102">
        <v>2400</v>
      </c>
    </row>
    <row r="1103" spans="1:14" x14ac:dyDescent="0.25">
      <c r="A1103">
        <v>747.19905700000004</v>
      </c>
      <c r="B1103" s="1">
        <f>DATE(2012,5,17) + TIME(4,46,38)</f>
        <v>41046.199050925927</v>
      </c>
      <c r="C1103">
        <v>1851.7304687999999</v>
      </c>
      <c r="D1103">
        <v>1723.8536377</v>
      </c>
      <c r="E1103">
        <v>893.36492920000001</v>
      </c>
      <c r="F1103">
        <v>701.06304932</v>
      </c>
      <c r="G1103">
        <v>80</v>
      </c>
      <c r="H1103">
        <v>79.939376831000004</v>
      </c>
      <c r="I1103">
        <v>50</v>
      </c>
      <c r="J1103">
        <v>48.421607971</v>
      </c>
      <c r="K1103">
        <v>2400</v>
      </c>
      <c r="L1103">
        <v>0</v>
      </c>
      <c r="M1103">
        <v>0</v>
      </c>
      <c r="N1103">
        <v>2400</v>
      </c>
    </row>
    <row r="1104" spans="1:14" x14ac:dyDescent="0.25">
      <c r="A1104">
        <v>747.72659499999997</v>
      </c>
      <c r="B1104" s="1">
        <f>DATE(2012,5,17) + TIME(17,26,17)</f>
        <v>41046.726585648146</v>
      </c>
      <c r="C1104">
        <v>1850.9842529</v>
      </c>
      <c r="D1104">
        <v>1723.1075439000001</v>
      </c>
      <c r="E1104">
        <v>893.24987793000003</v>
      </c>
      <c r="F1104">
        <v>700.91711425999995</v>
      </c>
      <c r="G1104">
        <v>80</v>
      </c>
      <c r="H1104">
        <v>79.939460753999995</v>
      </c>
      <c r="I1104">
        <v>50</v>
      </c>
      <c r="J1104">
        <v>48.379318237</v>
      </c>
      <c r="K1104">
        <v>2400</v>
      </c>
      <c r="L1104">
        <v>0</v>
      </c>
      <c r="M1104">
        <v>0</v>
      </c>
      <c r="N1104">
        <v>2400</v>
      </c>
    </row>
    <row r="1105" spans="1:14" x14ac:dyDescent="0.25">
      <c r="A1105">
        <v>748.26692000000003</v>
      </c>
      <c r="B1105" s="1">
        <f>DATE(2012,5,18) + TIME(6,24,21)</f>
        <v>41047.266909722224</v>
      </c>
      <c r="C1105">
        <v>1850.2420654</v>
      </c>
      <c r="D1105">
        <v>1722.3657227000001</v>
      </c>
      <c r="E1105">
        <v>893.13220215000001</v>
      </c>
      <c r="F1105">
        <v>700.76782227000001</v>
      </c>
      <c r="G1105">
        <v>80</v>
      </c>
      <c r="H1105">
        <v>79.939529418999996</v>
      </c>
      <c r="I1105">
        <v>50</v>
      </c>
      <c r="J1105">
        <v>48.336296081999997</v>
      </c>
      <c r="K1105">
        <v>2400</v>
      </c>
      <c r="L1105">
        <v>0</v>
      </c>
      <c r="M1105">
        <v>0</v>
      </c>
      <c r="N1105">
        <v>2400</v>
      </c>
    </row>
    <row r="1106" spans="1:14" x14ac:dyDescent="0.25">
      <c r="A1106">
        <v>748.82243800000003</v>
      </c>
      <c r="B1106" s="1">
        <f>DATE(2012,5,18) + TIME(19,44,18)</f>
        <v>41047.822430555556</v>
      </c>
      <c r="C1106">
        <v>1849.5004882999999</v>
      </c>
      <c r="D1106">
        <v>1721.625</v>
      </c>
      <c r="E1106">
        <v>893.01123046999999</v>
      </c>
      <c r="F1106">
        <v>700.61431885000002</v>
      </c>
      <c r="G1106">
        <v>80</v>
      </c>
      <c r="H1106">
        <v>79.939598083000007</v>
      </c>
      <c r="I1106">
        <v>50</v>
      </c>
      <c r="J1106">
        <v>48.292388916</v>
      </c>
      <c r="K1106">
        <v>2400</v>
      </c>
      <c r="L1106">
        <v>0</v>
      </c>
      <c r="M1106">
        <v>0</v>
      </c>
      <c r="N1106">
        <v>2400</v>
      </c>
    </row>
    <row r="1107" spans="1:14" x14ac:dyDescent="0.25">
      <c r="A1107">
        <v>749.39597300000003</v>
      </c>
      <c r="B1107" s="1">
        <f>DATE(2012,5,19) + TIME(9,30,12)</f>
        <v>41048.395972222221</v>
      </c>
      <c r="C1107">
        <v>1848.7567139</v>
      </c>
      <c r="D1107">
        <v>1720.8824463000001</v>
      </c>
      <c r="E1107">
        <v>892.88647461000005</v>
      </c>
      <c r="F1107">
        <v>700.45605468999997</v>
      </c>
      <c r="G1107">
        <v>80</v>
      </c>
      <c r="H1107">
        <v>79.939659118999998</v>
      </c>
      <c r="I1107">
        <v>50</v>
      </c>
      <c r="J1107">
        <v>48.247409820999998</v>
      </c>
      <c r="K1107">
        <v>2400</v>
      </c>
      <c r="L1107">
        <v>0</v>
      </c>
      <c r="M1107">
        <v>0</v>
      </c>
      <c r="N1107">
        <v>2400</v>
      </c>
    </row>
    <row r="1108" spans="1:14" x14ac:dyDescent="0.25">
      <c r="A1108">
        <v>749.99072100000001</v>
      </c>
      <c r="B1108" s="1">
        <f>DATE(2012,5,19) + TIME(23,46,38)</f>
        <v>41048.990717592591</v>
      </c>
      <c r="C1108">
        <v>1848.0073242000001</v>
      </c>
      <c r="D1108">
        <v>1720.1348877</v>
      </c>
      <c r="E1108">
        <v>892.75720215000001</v>
      </c>
      <c r="F1108">
        <v>700.29199218999997</v>
      </c>
      <c r="G1108">
        <v>80</v>
      </c>
      <c r="H1108">
        <v>79.939720154</v>
      </c>
      <c r="I1108">
        <v>50</v>
      </c>
      <c r="J1108">
        <v>48.201148987000003</v>
      </c>
      <c r="K1108">
        <v>2400</v>
      </c>
      <c r="L1108">
        <v>0</v>
      </c>
      <c r="M1108">
        <v>0</v>
      </c>
      <c r="N1108">
        <v>2400</v>
      </c>
    </row>
    <row r="1109" spans="1:14" x14ac:dyDescent="0.25">
      <c r="A1109">
        <v>750.61030000000005</v>
      </c>
      <c r="B1109" s="1">
        <f>DATE(2012,5,20) + TIME(14,38,49)</f>
        <v>41049.610289351855</v>
      </c>
      <c r="C1109">
        <v>1847.2492675999999</v>
      </c>
      <c r="D1109">
        <v>1719.3787841999999</v>
      </c>
      <c r="E1109">
        <v>892.62261963000003</v>
      </c>
      <c r="F1109">
        <v>700.12127685999997</v>
      </c>
      <c r="G1109">
        <v>80</v>
      </c>
      <c r="H1109">
        <v>79.939773560000006</v>
      </c>
      <c r="I1109">
        <v>50</v>
      </c>
      <c r="J1109">
        <v>48.153366089000002</v>
      </c>
      <c r="K1109">
        <v>2400</v>
      </c>
      <c r="L1109">
        <v>0</v>
      </c>
      <c r="M1109">
        <v>0</v>
      </c>
      <c r="N1109">
        <v>2400</v>
      </c>
    </row>
    <row r="1110" spans="1:14" x14ac:dyDescent="0.25">
      <c r="A1110">
        <v>751.25649499999997</v>
      </c>
      <c r="B1110" s="1">
        <f>DATE(2012,5,21) + TIME(6,9,21)</f>
        <v>41050.256493055553</v>
      </c>
      <c r="C1110">
        <v>1846.4787598</v>
      </c>
      <c r="D1110">
        <v>1718.6109618999999</v>
      </c>
      <c r="E1110">
        <v>892.48175048999997</v>
      </c>
      <c r="F1110">
        <v>699.94281006000006</v>
      </c>
      <c r="G1110">
        <v>80</v>
      </c>
      <c r="H1110">
        <v>79.939834594999994</v>
      </c>
      <c r="I1110">
        <v>50</v>
      </c>
      <c r="J1110">
        <v>48.103893280000001</v>
      </c>
      <c r="K1110">
        <v>2400</v>
      </c>
      <c r="L1110">
        <v>0</v>
      </c>
      <c r="M1110">
        <v>0</v>
      </c>
      <c r="N1110">
        <v>2400</v>
      </c>
    </row>
    <row r="1111" spans="1:14" x14ac:dyDescent="0.25">
      <c r="A1111">
        <v>751.90335000000005</v>
      </c>
      <c r="B1111" s="1">
        <f>DATE(2012,5,21) + TIME(21,40,49)</f>
        <v>41050.903344907405</v>
      </c>
      <c r="C1111">
        <v>1845.6960449000001</v>
      </c>
      <c r="D1111">
        <v>1717.8314209</v>
      </c>
      <c r="E1111">
        <v>892.33294678000004</v>
      </c>
      <c r="F1111">
        <v>699.75701904000005</v>
      </c>
      <c r="G1111">
        <v>80</v>
      </c>
      <c r="H1111">
        <v>79.939880371000001</v>
      </c>
      <c r="I1111">
        <v>50</v>
      </c>
      <c r="J1111">
        <v>48.053791046000001</v>
      </c>
      <c r="K1111">
        <v>2400</v>
      </c>
      <c r="L1111">
        <v>0</v>
      </c>
      <c r="M1111">
        <v>0</v>
      </c>
      <c r="N1111">
        <v>2400</v>
      </c>
    </row>
    <row r="1112" spans="1:14" x14ac:dyDescent="0.25">
      <c r="A1112">
        <v>752.55374500000005</v>
      </c>
      <c r="B1112" s="1">
        <f>DATE(2012,5,22) + TIME(13,17,23)</f>
        <v>41051.553738425922</v>
      </c>
      <c r="C1112">
        <v>1844.9304199000001</v>
      </c>
      <c r="D1112">
        <v>1717.0692139</v>
      </c>
      <c r="E1112">
        <v>892.18365478999999</v>
      </c>
      <c r="F1112">
        <v>699.56939696999996</v>
      </c>
      <c r="G1112">
        <v>80</v>
      </c>
      <c r="H1112">
        <v>79.939933776999993</v>
      </c>
      <c r="I1112">
        <v>50</v>
      </c>
      <c r="J1112">
        <v>48.003261565999999</v>
      </c>
      <c r="K1112">
        <v>2400</v>
      </c>
      <c r="L1112">
        <v>0</v>
      </c>
      <c r="M1112">
        <v>0</v>
      </c>
      <c r="N1112">
        <v>2400</v>
      </c>
    </row>
    <row r="1113" spans="1:14" x14ac:dyDescent="0.25">
      <c r="A1113">
        <v>753.21058200000004</v>
      </c>
      <c r="B1113" s="1">
        <f>DATE(2012,5,23) + TIME(5,3,14)</f>
        <v>41052.210578703707</v>
      </c>
      <c r="C1113">
        <v>1844.1787108999999</v>
      </c>
      <c r="D1113">
        <v>1716.3211670000001</v>
      </c>
      <c r="E1113">
        <v>892.03314208999996</v>
      </c>
      <c r="F1113">
        <v>699.37951659999999</v>
      </c>
      <c r="G1113">
        <v>80</v>
      </c>
      <c r="H1113">
        <v>79.939979553000001</v>
      </c>
      <c r="I1113">
        <v>50</v>
      </c>
      <c r="J1113">
        <v>47.952327728</v>
      </c>
      <c r="K1113">
        <v>2400</v>
      </c>
      <c r="L1113">
        <v>0</v>
      </c>
      <c r="M1113">
        <v>0</v>
      </c>
      <c r="N1113">
        <v>2400</v>
      </c>
    </row>
    <row r="1114" spans="1:14" x14ac:dyDescent="0.25">
      <c r="A1114">
        <v>753.87673900000004</v>
      </c>
      <c r="B1114" s="1">
        <f>DATE(2012,5,23) + TIME(21,2,30)</f>
        <v>41052.876736111109</v>
      </c>
      <c r="C1114">
        <v>1843.4370117000001</v>
      </c>
      <c r="D1114">
        <v>1715.5836182</v>
      </c>
      <c r="E1114">
        <v>891.88049316000001</v>
      </c>
      <c r="F1114">
        <v>699.18658446999996</v>
      </c>
      <c r="G1114">
        <v>80</v>
      </c>
      <c r="H1114">
        <v>79.940032959000007</v>
      </c>
      <c r="I1114">
        <v>50</v>
      </c>
      <c r="J1114">
        <v>47.900909423999998</v>
      </c>
      <c r="K1114">
        <v>2400</v>
      </c>
      <c r="L1114">
        <v>0</v>
      </c>
      <c r="M1114">
        <v>0</v>
      </c>
      <c r="N1114">
        <v>2400</v>
      </c>
    </row>
    <row r="1115" spans="1:14" x14ac:dyDescent="0.25">
      <c r="A1115">
        <v>754.55533300000002</v>
      </c>
      <c r="B1115" s="1">
        <f>DATE(2012,5,24) + TIME(13,19,40)</f>
        <v>41053.555324074077</v>
      </c>
      <c r="C1115">
        <v>1842.7019043</v>
      </c>
      <c r="D1115">
        <v>1714.8527832</v>
      </c>
      <c r="E1115">
        <v>891.72503661999997</v>
      </c>
      <c r="F1115">
        <v>698.98974609000004</v>
      </c>
      <c r="G1115">
        <v>80</v>
      </c>
      <c r="H1115">
        <v>79.940078735</v>
      </c>
      <c r="I1115">
        <v>50</v>
      </c>
      <c r="J1115">
        <v>47.848854064999998</v>
      </c>
      <c r="K1115">
        <v>2400</v>
      </c>
      <c r="L1115">
        <v>0</v>
      </c>
      <c r="M1115">
        <v>0</v>
      </c>
      <c r="N1115">
        <v>2400</v>
      </c>
    </row>
    <row r="1116" spans="1:14" x14ac:dyDescent="0.25">
      <c r="A1116">
        <v>755.24958000000004</v>
      </c>
      <c r="B1116" s="1">
        <f>DATE(2012,5,25) + TIME(5,59,23)</f>
        <v>41054.249571759261</v>
      </c>
      <c r="C1116">
        <v>1841.9697266000001</v>
      </c>
      <c r="D1116">
        <v>1714.1252440999999</v>
      </c>
      <c r="E1116">
        <v>891.56585693</v>
      </c>
      <c r="F1116">
        <v>698.78808593999997</v>
      </c>
      <c r="G1116">
        <v>80</v>
      </c>
      <c r="H1116">
        <v>79.940124511999997</v>
      </c>
      <c r="I1116">
        <v>50</v>
      </c>
      <c r="J1116">
        <v>47.795967101999999</v>
      </c>
      <c r="K1116">
        <v>2400</v>
      </c>
      <c r="L1116">
        <v>0</v>
      </c>
      <c r="M1116">
        <v>0</v>
      </c>
      <c r="N1116">
        <v>2400</v>
      </c>
    </row>
    <row r="1117" spans="1:14" x14ac:dyDescent="0.25">
      <c r="A1117">
        <v>755.96165499999995</v>
      </c>
      <c r="B1117" s="1">
        <f>DATE(2012,5,25) + TIME(23,4,46)</f>
        <v>41054.961643518516</v>
      </c>
      <c r="C1117">
        <v>1841.2371826000001</v>
      </c>
      <c r="D1117">
        <v>1713.3977050999999</v>
      </c>
      <c r="E1117">
        <v>891.40209961000005</v>
      </c>
      <c r="F1117">
        <v>698.58056640999996</v>
      </c>
      <c r="G1117">
        <v>80</v>
      </c>
      <c r="H1117">
        <v>79.940177917</v>
      </c>
      <c r="I1117">
        <v>50</v>
      </c>
      <c r="J1117">
        <v>47.742088318</v>
      </c>
      <c r="K1117">
        <v>2400</v>
      </c>
      <c r="L1117">
        <v>0</v>
      </c>
      <c r="M1117">
        <v>0</v>
      </c>
      <c r="N1117">
        <v>2400</v>
      </c>
    </row>
    <row r="1118" spans="1:14" x14ac:dyDescent="0.25">
      <c r="A1118">
        <v>756.69169499999998</v>
      </c>
      <c r="B1118" s="1">
        <f>DATE(2012,5,26) + TIME(16,36,2)</f>
        <v>41055.691689814812</v>
      </c>
      <c r="C1118">
        <v>1840.5024414</v>
      </c>
      <c r="D1118">
        <v>1712.6682129000001</v>
      </c>
      <c r="E1118">
        <v>891.23303223000005</v>
      </c>
      <c r="F1118">
        <v>698.36639404000005</v>
      </c>
      <c r="G1118">
        <v>80</v>
      </c>
      <c r="H1118">
        <v>79.940223693999997</v>
      </c>
      <c r="I1118">
        <v>50</v>
      </c>
      <c r="J1118">
        <v>47.687129974000001</v>
      </c>
      <c r="K1118">
        <v>2400</v>
      </c>
      <c r="L1118">
        <v>0</v>
      </c>
      <c r="M1118">
        <v>0</v>
      </c>
      <c r="N1118">
        <v>2400</v>
      </c>
    </row>
    <row r="1119" spans="1:14" x14ac:dyDescent="0.25">
      <c r="A1119">
        <v>757.44284700000003</v>
      </c>
      <c r="B1119" s="1">
        <f>DATE(2012,5,27) + TIME(10,37,41)</f>
        <v>41056.442835648151</v>
      </c>
      <c r="C1119">
        <v>1839.7653809000001</v>
      </c>
      <c r="D1119">
        <v>1711.9367675999999</v>
      </c>
      <c r="E1119">
        <v>891.05865478999999</v>
      </c>
      <c r="F1119">
        <v>698.14532470999995</v>
      </c>
      <c r="G1119">
        <v>80</v>
      </c>
      <c r="H1119">
        <v>79.940277100000003</v>
      </c>
      <c r="I1119">
        <v>50</v>
      </c>
      <c r="J1119">
        <v>47.630920410000002</v>
      </c>
      <c r="K1119">
        <v>2400</v>
      </c>
      <c r="L1119">
        <v>0</v>
      </c>
      <c r="M1119">
        <v>0</v>
      </c>
      <c r="N1119">
        <v>2400</v>
      </c>
    </row>
    <row r="1120" spans="1:14" x14ac:dyDescent="0.25">
      <c r="A1120">
        <v>758.21897200000001</v>
      </c>
      <c r="B1120" s="1">
        <f>DATE(2012,5,28) + TIME(5,15,19)</f>
        <v>41057.218969907408</v>
      </c>
      <c r="C1120">
        <v>1839.0235596</v>
      </c>
      <c r="D1120">
        <v>1711.2008057</v>
      </c>
      <c r="E1120">
        <v>890.87811279000005</v>
      </c>
      <c r="F1120">
        <v>697.91613770000004</v>
      </c>
      <c r="G1120">
        <v>80</v>
      </c>
      <c r="H1120">
        <v>79.940322875999996</v>
      </c>
      <c r="I1120">
        <v>50</v>
      </c>
      <c r="J1120">
        <v>47.573242188000002</v>
      </c>
      <c r="K1120">
        <v>2400</v>
      </c>
      <c r="L1120">
        <v>0</v>
      </c>
      <c r="M1120">
        <v>0</v>
      </c>
      <c r="N1120">
        <v>2400</v>
      </c>
    </row>
    <row r="1121" spans="1:14" x14ac:dyDescent="0.25">
      <c r="A1121">
        <v>759.02441599999997</v>
      </c>
      <c r="B1121" s="1">
        <f>DATE(2012,5,29) + TIME(0,35,9)</f>
        <v>41058.024409722224</v>
      </c>
      <c r="C1121">
        <v>1838.2736815999999</v>
      </c>
      <c r="D1121">
        <v>1710.4572754000001</v>
      </c>
      <c r="E1121">
        <v>890.69030762</v>
      </c>
      <c r="F1121">
        <v>697.67749022999999</v>
      </c>
      <c r="G1121">
        <v>80</v>
      </c>
      <c r="H1121">
        <v>79.940376282000003</v>
      </c>
      <c r="I1121">
        <v>50</v>
      </c>
      <c r="J1121">
        <v>47.513824462999999</v>
      </c>
      <c r="K1121">
        <v>2400</v>
      </c>
      <c r="L1121">
        <v>0</v>
      </c>
      <c r="M1121">
        <v>0</v>
      </c>
      <c r="N1121">
        <v>2400</v>
      </c>
    </row>
    <row r="1122" spans="1:14" x14ac:dyDescent="0.25">
      <c r="A1122">
        <v>759.83046300000001</v>
      </c>
      <c r="B1122" s="1">
        <f>DATE(2012,5,29) + TIME(19,55,52)</f>
        <v>41058.830462962964</v>
      </c>
      <c r="C1122">
        <v>1837.5135498</v>
      </c>
      <c r="D1122">
        <v>1709.7037353999999</v>
      </c>
      <c r="E1122">
        <v>890.49279784999999</v>
      </c>
      <c r="F1122">
        <v>697.42907715000001</v>
      </c>
      <c r="G1122">
        <v>80</v>
      </c>
      <c r="H1122">
        <v>79.940429687999995</v>
      </c>
      <c r="I1122">
        <v>50</v>
      </c>
      <c r="J1122">
        <v>47.453628539999997</v>
      </c>
      <c r="K1122">
        <v>2400</v>
      </c>
      <c r="L1122">
        <v>0</v>
      </c>
      <c r="M1122">
        <v>0</v>
      </c>
      <c r="N1122">
        <v>2400</v>
      </c>
    </row>
    <row r="1123" spans="1:14" x14ac:dyDescent="0.25">
      <c r="A1123">
        <v>760.64046399999995</v>
      </c>
      <c r="B1123" s="1">
        <f>DATE(2012,5,30) + TIME(15,22,16)</f>
        <v>41059.640462962961</v>
      </c>
      <c r="C1123">
        <v>1836.7681885</v>
      </c>
      <c r="D1123">
        <v>1708.9652100000001</v>
      </c>
      <c r="E1123">
        <v>890.29394531000003</v>
      </c>
      <c r="F1123">
        <v>697.17742920000001</v>
      </c>
      <c r="G1123">
        <v>80</v>
      </c>
      <c r="H1123">
        <v>79.940475464000002</v>
      </c>
      <c r="I1123">
        <v>50</v>
      </c>
      <c r="J1123">
        <v>47.392963408999996</v>
      </c>
      <c r="K1123">
        <v>2400</v>
      </c>
      <c r="L1123">
        <v>0</v>
      </c>
      <c r="M1123">
        <v>0</v>
      </c>
      <c r="N1123">
        <v>2400</v>
      </c>
    </row>
    <row r="1124" spans="1:14" x14ac:dyDescent="0.25">
      <c r="A1124">
        <v>761.45782999999994</v>
      </c>
      <c r="B1124" s="1">
        <f>DATE(2012,5,31) + TIME(10,59,16)</f>
        <v>41060.457824074074</v>
      </c>
      <c r="C1124">
        <v>1836.0347899999999</v>
      </c>
      <c r="D1124">
        <v>1708.2387695</v>
      </c>
      <c r="E1124">
        <v>890.09283446999996</v>
      </c>
      <c r="F1124">
        <v>696.921875</v>
      </c>
      <c r="G1124">
        <v>80</v>
      </c>
      <c r="H1124">
        <v>79.940528869999994</v>
      </c>
      <c r="I1124">
        <v>50</v>
      </c>
      <c r="J1124">
        <v>47.331867217999999</v>
      </c>
      <c r="K1124">
        <v>2400</v>
      </c>
      <c r="L1124">
        <v>0</v>
      </c>
      <c r="M1124">
        <v>0</v>
      </c>
      <c r="N1124">
        <v>2400</v>
      </c>
    </row>
    <row r="1125" spans="1:14" x14ac:dyDescent="0.25">
      <c r="A1125">
        <v>762</v>
      </c>
      <c r="B1125" s="1">
        <f>DATE(2012,6,1) + TIME(0,0,0)</f>
        <v>41061</v>
      </c>
      <c r="C1125">
        <v>1835.3242187999999</v>
      </c>
      <c r="D1125">
        <v>1707.5351562000001</v>
      </c>
      <c r="E1125">
        <v>889.87707520000004</v>
      </c>
      <c r="F1125">
        <v>696.67608643000005</v>
      </c>
      <c r="G1125">
        <v>80</v>
      </c>
      <c r="H1125">
        <v>79.940544127999999</v>
      </c>
      <c r="I1125">
        <v>50</v>
      </c>
      <c r="J1125">
        <v>47.283325195000003</v>
      </c>
      <c r="K1125">
        <v>2400</v>
      </c>
      <c r="L1125">
        <v>0</v>
      </c>
      <c r="M1125">
        <v>0</v>
      </c>
      <c r="N1125">
        <v>2400</v>
      </c>
    </row>
    <row r="1126" spans="1:14" x14ac:dyDescent="0.25">
      <c r="A1126">
        <v>762.82811200000003</v>
      </c>
      <c r="B1126" s="1">
        <f>DATE(2012,6,1) + TIME(19,52,28)</f>
        <v>41061.828101851854</v>
      </c>
      <c r="C1126">
        <v>1834.8287353999999</v>
      </c>
      <c r="D1126">
        <v>1707.0444336</v>
      </c>
      <c r="E1126">
        <v>889.75347899999997</v>
      </c>
      <c r="F1126">
        <v>696.48107909999999</v>
      </c>
      <c r="G1126">
        <v>80</v>
      </c>
      <c r="H1126">
        <v>79.940620421999995</v>
      </c>
      <c r="I1126">
        <v>50</v>
      </c>
      <c r="J1126">
        <v>47.225528717000003</v>
      </c>
      <c r="K1126">
        <v>2400</v>
      </c>
      <c r="L1126">
        <v>0</v>
      </c>
      <c r="M1126">
        <v>0</v>
      </c>
      <c r="N1126">
        <v>2400</v>
      </c>
    </row>
    <row r="1127" spans="1:14" x14ac:dyDescent="0.25">
      <c r="A1127">
        <v>763.68200899999999</v>
      </c>
      <c r="B1127" s="1">
        <f>DATE(2012,6,2) + TIME(16,22,5)</f>
        <v>41062.682002314818</v>
      </c>
      <c r="C1127">
        <v>1834.1258545000001</v>
      </c>
      <c r="D1127">
        <v>1706.3488769999999</v>
      </c>
      <c r="E1127">
        <v>889.54339600000003</v>
      </c>
      <c r="F1127">
        <v>696.21563720999995</v>
      </c>
      <c r="G1127">
        <v>80</v>
      </c>
      <c r="H1127">
        <v>79.940673828000001</v>
      </c>
      <c r="I1127">
        <v>50</v>
      </c>
      <c r="J1127">
        <v>47.16476059</v>
      </c>
      <c r="K1127">
        <v>2400</v>
      </c>
      <c r="L1127">
        <v>0</v>
      </c>
      <c r="M1127">
        <v>0</v>
      </c>
      <c r="N1127">
        <v>2400</v>
      </c>
    </row>
    <row r="1128" spans="1:14" x14ac:dyDescent="0.25">
      <c r="A1128">
        <v>764.556648</v>
      </c>
      <c r="B1128" s="1">
        <f>DATE(2012,6,3) + TIME(13,21,34)</f>
        <v>41063.556643518517</v>
      </c>
      <c r="C1128">
        <v>1833.4095459</v>
      </c>
      <c r="D1128">
        <v>1705.6400146000001</v>
      </c>
      <c r="E1128">
        <v>889.32415771000001</v>
      </c>
      <c r="F1128">
        <v>695.93743896000001</v>
      </c>
      <c r="G1128">
        <v>80</v>
      </c>
      <c r="H1128">
        <v>79.940719603999995</v>
      </c>
      <c r="I1128">
        <v>50</v>
      </c>
      <c r="J1128">
        <v>47.101757050000003</v>
      </c>
      <c r="K1128">
        <v>2400</v>
      </c>
      <c r="L1128">
        <v>0</v>
      </c>
      <c r="M1128">
        <v>0</v>
      </c>
      <c r="N1128">
        <v>2400</v>
      </c>
    </row>
    <row r="1129" spans="1:14" x14ac:dyDescent="0.25">
      <c r="A1129">
        <v>765.455872</v>
      </c>
      <c r="B1129" s="1">
        <f>DATE(2012,6,4) + TIME(10,56,27)</f>
        <v>41064.455868055556</v>
      </c>
      <c r="C1129">
        <v>1832.6890868999999</v>
      </c>
      <c r="D1129">
        <v>1704.9274902</v>
      </c>
      <c r="E1129">
        <v>889.09783935999997</v>
      </c>
      <c r="F1129">
        <v>695.64831543000003</v>
      </c>
      <c r="G1129">
        <v>80</v>
      </c>
      <c r="H1129">
        <v>79.94078064</v>
      </c>
      <c r="I1129">
        <v>50</v>
      </c>
      <c r="J1129">
        <v>47.036781310999999</v>
      </c>
      <c r="K1129">
        <v>2400</v>
      </c>
      <c r="L1129">
        <v>0</v>
      </c>
      <c r="M1129">
        <v>0</v>
      </c>
      <c r="N1129">
        <v>2400</v>
      </c>
    </row>
    <row r="1130" spans="1:14" x14ac:dyDescent="0.25">
      <c r="A1130">
        <v>766.38434600000005</v>
      </c>
      <c r="B1130" s="1">
        <f>DATE(2012,6,5) + TIME(9,13,27)</f>
        <v>41065.384340277778</v>
      </c>
      <c r="C1130">
        <v>1831.9627685999999</v>
      </c>
      <c r="D1130">
        <v>1704.2091064000001</v>
      </c>
      <c r="E1130">
        <v>888.86297606999995</v>
      </c>
      <c r="F1130">
        <v>695.34710693</v>
      </c>
      <c r="G1130">
        <v>80</v>
      </c>
      <c r="H1130">
        <v>79.940834045000003</v>
      </c>
      <c r="I1130">
        <v>50</v>
      </c>
      <c r="J1130">
        <v>46.969787598000003</v>
      </c>
      <c r="K1130">
        <v>2400</v>
      </c>
      <c r="L1130">
        <v>0</v>
      </c>
      <c r="M1130">
        <v>0</v>
      </c>
      <c r="N1130">
        <v>2400</v>
      </c>
    </row>
    <row r="1131" spans="1:14" x14ac:dyDescent="0.25">
      <c r="A1131">
        <v>767.34207600000002</v>
      </c>
      <c r="B1131" s="1">
        <f>DATE(2012,6,6) + TIME(8,12,35)</f>
        <v>41066.34207175926</v>
      </c>
      <c r="C1131">
        <v>1831.2276611</v>
      </c>
      <c r="D1131">
        <v>1703.4824219</v>
      </c>
      <c r="E1131">
        <v>888.61791991999996</v>
      </c>
      <c r="F1131">
        <v>695.03216553000004</v>
      </c>
      <c r="G1131">
        <v>80</v>
      </c>
      <c r="H1131">
        <v>79.940887450999995</v>
      </c>
      <c r="I1131">
        <v>50</v>
      </c>
      <c r="J1131">
        <v>46.900753021</v>
      </c>
      <c r="K1131">
        <v>2400</v>
      </c>
      <c r="L1131">
        <v>0</v>
      </c>
      <c r="M1131">
        <v>0</v>
      </c>
      <c r="N1131">
        <v>2400</v>
      </c>
    </row>
    <row r="1132" spans="1:14" x14ac:dyDescent="0.25">
      <c r="A1132">
        <v>768.30564100000004</v>
      </c>
      <c r="B1132" s="1">
        <f>DATE(2012,6,7) + TIME(7,20,7)</f>
        <v>41067.305636574078</v>
      </c>
      <c r="C1132">
        <v>1830.4851074000001</v>
      </c>
      <c r="D1132">
        <v>1702.7482910000001</v>
      </c>
      <c r="E1132">
        <v>888.36163329999999</v>
      </c>
      <c r="F1132">
        <v>694.70391845999995</v>
      </c>
      <c r="G1132">
        <v>80</v>
      </c>
      <c r="H1132">
        <v>79.940948485999996</v>
      </c>
      <c r="I1132">
        <v>50</v>
      </c>
      <c r="J1132">
        <v>46.830455780000001</v>
      </c>
      <c r="K1132">
        <v>2400</v>
      </c>
      <c r="L1132">
        <v>0</v>
      </c>
      <c r="M1132">
        <v>0</v>
      </c>
      <c r="N1132">
        <v>2400</v>
      </c>
    </row>
    <row r="1133" spans="1:14" x14ac:dyDescent="0.25">
      <c r="A1133">
        <v>769.27450699999997</v>
      </c>
      <c r="B1133" s="1">
        <f>DATE(2012,6,8) + TIME(6,35,17)</f>
        <v>41068.274502314816</v>
      </c>
      <c r="C1133">
        <v>1829.7518310999999</v>
      </c>
      <c r="D1133">
        <v>1702.0238036999999</v>
      </c>
      <c r="E1133">
        <v>888.10101318</v>
      </c>
      <c r="F1133">
        <v>694.36834716999999</v>
      </c>
      <c r="G1133">
        <v>80</v>
      </c>
      <c r="H1133">
        <v>79.941001892000003</v>
      </c>
      <c r="I1133">
        <v>50</v>
      </c>
      <c r="J1133">
        <v>46.759380341000004</v>
      </c>
      <c r="K1133">
        <v>2400</v>
      </c>
      <c r="L1133">
        <v>0</v>
      </c>
      <c r="M1133">
        <v>0</v>
      </c>
      <c r="N1133">
        <v>2400</v>
      </c>
    </row>
    <row r="1134" spans="1:14" x14ac:dyDescent="0.25">
      <c r="A1134">
        <v>770.25265999999999</v>
      </c>
      <c r="B1134" s="1">
        <f>DATE(2012,6,9) + TIME(6,3,49)</f>
        <v>41069.252650462964</v>
      </c>
      <c r="C1134">
        <v>1829.0285644999999</v>
      </c>
      <c r="D1134">
        <v>1701.309082</v>
      </c>
      <c r="E1134">
        <v>887.83612060999997</v>
      </c>
      <c r="F1134">
        <v>694.02557373000002</v>
      </c>
      <c r="G1134">
        <v>80</v>
      </c>
      <c r="H1134">
        <v>79.941062927000004</v>
      </c>
      <c r="I1134">
        <v>50</v>
      </c>
      <c r="J1134">
        <v>46.687606811999999</v>
      </c>
      <c r="K1134">
        <v>2400</v>
      </c>
      <c r="L1134">
        <v>0</v>
      </c>
      <c r="M1134">
        <v>0</v>
      </c>
      <c r="N1134">
        <v>2400</v>
      </c>
    </row>
    <row r="1135" spans="1:14" x14ac:dyDescent="0.25">
      <c r="A1135">
        <v>771.24419699999999</v>
      </c>
      <c r="B1135" s="1">
        <f>DATE(2012,6,10) + TIME(5,51,38)</f>
        <v>41070.244189814817</v>
      </c>
      <c r="C1135">
        <v>1828.3120117000001</v>
      </c>
      <c r="D1135">
        <v>1700.6013184000001</v>
      </c>
      <c r="E1135">
        <v>887.56567383000004</v>
      </c>
      <c r="F1135">
        <v>693.67407227000001</v>
      </c>
      <c r="G1135">
        <v>80</v>
      </c>
      <c r="H1135">
        <v>79.941116332999997</v>
      </c>
      <c r="I1135">
        <v>50</v>
      </c>
      <c r="J1135">
        <v>46.615013122999997</v>
      </c>
      <c r="K1135">
        <v>2400</v>
      </c>
      <c r="L1135">
        <v>0</v>
      </c>
      <c r="M1135">
        <v>0</v>
      </c>
      <c r="N1135">
        <v>2400</v>
      </c>
    </row>
    <row r="1136" spans="1:14" x14ac:dyDescent="0.25">
      <c r="A1136">
        <v>772.25334799999996</v>
      </c>
      <c r="B1136" s="1">
        <f>DATE(2012,6,11) + TIME(6,4,49)</f>
        <v>41071.253344907411</v>
      </c>
      <c r="C1136">
        <v>1827.5992432</v>
      </c>
      <c r="D1136">
        <v>1699.8973389</v>
      </c>
      <c r="E1136">
        <v>887.28814696999996</v>
      </c>
      <c r="F1136">
        <v>693.31225586000005</v>
      </c>
      <c r="G1136">
        <v>80</v>
      </c>
      <c r="H1136">
        <v>79.941177367999998</v>
      </c>
      <c r="I1136">
        <v>50</v>
      </c>
      <c r="J1136">
        <v>46.541362761999999</v>
      </c>
      <c r="K1136">
        <v>2400</v>
      </c>
      <c r="L1136">
        <v>0</v>
      </c>
      <c r="M1136">
        <v>0</v>
      </c>
      <c r="N1136">
        <v>2400</v>
      </c>
    </row>
    <row r="1137" spans="1:14" x14ac:dyDescent="0.25">
      <c r="A1137">
        <v>773.28482099999997</v>
      </c>
      <c r="B1137" s="1">
        <f>DATE(2012,6,12) + TIME(6,50,8)</f>
        <v>41072.284814814811</v>
      </c>
      <c r="C1137">
        <v>1826.8870850000001</v>
      </c>
      <c r="D1137">
        <v>1699.1940918</v>
      </c>
      <c r="E1137">
        <v>887.00207520000004</v>
      </c>
      <c r="F1137">
        <v>692.93804932</v>
      </c>
      <c r="G1137">
        <v>80</v>
      </c>
      <c r="H1137">
        <v>79.941238403</v>
      </c>
      <c r="I1137">
        <v>50</v>
      </c>
      <c r="J1137">
        <v>46.466350554999998</v>
      </c>
      <c r="K1137">
        <v>2400</v>
      </c>
      <c r="L1137">
        <v>0</v>
      </c>
      <c r="M1137">
        <v>0</v>
      </c>
      <c r="N1137">
        <v>2400</v>
      </c>
    </row>
    <row r="1138" spans="1:14" x14ac:dyDescent="0.25">
      <c r="A1138">
        <v>774.34380299999998</v>
      </c>
      <c r="B1138" s="1">
        <f>DATE(2012,6,13) + TIME(8,15,4)</f>
        <v>41073.3437962963</v>
      </c>
      <c r="C1138">
        <v>1826.1724853999999</v>
      </c>
      <c r="D1138">
        <v>1698.4886475000001</v>
      </c>
      <c r="E1138">
        <v>886.70587158000001</v>
      </c>
      <c r="F1138">
        <v>692.54919433999999</v>
      </c>
      <c r="G1138">
        <v>80</v>
      </c>
      <c r="H1138">
        <v>79.941299438000001</v>
      </c>
      <c r="I1138">
        <v>50</v>
      </c>
      <c r="J1138">
        <v>46.389625549000002</v>
      </c>
      <c r="K1138">
        <v>2400</v>
      </c>
      <c r="L1138">
        <v>0</v>
      </c>
      <c r="M1138">
        <v>0</v>
      </c>
      <c r="N1138">
        <v>2400</v>
      </c>
    </row>
    <row r="1139" spans="1:14" x14ac:dyDescent="0.25">
      <c r="A1139">
        <v>775.43150400000002</v>
      </c>
      <c r="B1139" s="1">
        <f>DATE(2012,6,14) + TIME(10,21,21)</f>
        <v>41074.431493055556</v>
      </c>
      <c r="C1139">
        <v>1825.4522704999999</v>
      </c>
      <c r="D1139">
        <v>1697.7777100000001</v>
      </c>
      <c r="E1139">
        <v>886.39746093999997</v>
      </c>
      <c r="F1139">
        <v>692.14331055000002</v>
      </c>
      <c r="G1139">
        <v>80</v>
      </c>
      <c r="H1139">
        <v>79.941368103000002</v>
      </c>
      <c r="I1139">
        <v>50</v>
      </c>
      <c r="J1139">
        <v>46.310932158999996</v>
      </c>
      <c r="K1139">
        <v>2400</v>
      </c>
      <c r="L1139">
        <v>0</v>
      </c>
      <c r="M1139">
        <v>0</v>
      </c>
      <c r="N1139">
        <v>2400</v>
      </c>
    </row>
    <row r="1140" spans="1:14" x14ac:dyDescent="0.25">
      <c r="A1140">
        <v>776.541065</v>
      </c>
      <c r="B1140" s="1">
        <f>DATE(2012,6,15) + TIME(12,59,8)</f>
        <v>41075.541064814817</v>
      </c>
      <c r="C1140">
        <v>1824.7261963000001</v>
      </c>
      <c r="D1140">
        <v>1697.0610352000001</v>
      </c>
      <c r="E1140">
        <v>886.07580566000001</v>
      </c>
      <c r="F1140">
        <v>691.71929932</v>
      </c>
      <c r="G1140">
        <v>80</v>
      </c>
      <c r="H1140">
        <v>79.941429138000004</v>
      </c>
      <c r="I1140">
        <v>50</v>
      </c>
      <c r="J1140">
        <v>46.230339049999998</v>
      </c>
      <c r="K1140">
        <v>2400</v>
      </c>
      <c r="L1140">
        <v>0</v>
      </c>
      <c r="M1140">
        <v>0</v>
      </c>
      <c r="N1140">
        <v>2400</v>
      </c>
    </row>
    <row r="1141" spans="1:14" x14ac:dyDescent="0.25">
      <c r="A1141">
        <v>777.65761699999996</v>
      </c>
      <c r="B1141" s="1">
        <f>DATE(2012,6,16) + TIME(15,46,58)</f>
        <v>41076.65761574074</v>
      </c>
      <c r="C1141">
        <v>1823.9991454999999</v>
      </c>
      <c r="D1141">
        <v>1696.3436279</v>
      </c>
      <c r="E1141">
        <v>885.74249268000005</v>
      </c>
      <c r="F1141">
        <v>691.27911376999998</v>
      </c>
      <c r="G1141">
        <v>80</v>
      </c>
      <c r="H1141">
        <v>79.941490173000005</v>
      </c>
      <c r="I1141">
        <v>50</v>
      </c>
      <c r="J1141">
        <v>46.148395538000003</v>
      </c>
      <c r="K1141">
        <v>2400</v>
      </c>
      <c r="L1141">
        <v>0</v>
      </c>
      <c r="M1141">
        <v>0</v>
      </c>
      <c r="N1141">
        <v>2400</v>
      </c>
    </row>
    <row r="1142" spans="1:14" x14ac:dyDescent="0.25">
      <c r="A1142">
        <v>778.78059299999995</v>
      </c>
      <c r="B1142" s="1">
        <f>DATE(2012,6,17) + TIME(18,44,3)</f>
        <v>41077.780590277776</v>
      </c>
      <c r="C1142">
        <v>1823.2802733999999</v>
      </c>
      <c r="D1142">
        <v>1695.6341553</v>
      </c>
      <c r="E1142">
        <v>885.40209961000005</v>
      </c>
      <c r="F1142">
        <v>690.82714843999997</v>
      </c>
      <c r="G1142">
        <v>80</v>
      </c>
      <c r="H1142">
        <v>79.941558838000006</v>
      </c>
      <c r="I1142">
        <v>50</v>
      </c>
      <c r="J1142">
        <v>46.065475464000002</v>
      </c>
      <c r="K1142">
        <v>2400</v>
      </c>
      <c r="L1142">
        <v>0</v>
      </c>
      <c r="M1142">
        <v>0</v>
      </c>
      <c r="N1142">
        <v>2400</v>
      </c>
    </row>
    <row r="1143" spans="1:14" x14ac:dyDescent="0.25">
      <c r="A1143">
        <v>779.91399799999999</v>
      </c>
      <c r="B1143" s="1">
        <f>DATE(2012,6,18) + TIME(21,56,9)</f>
        <v>41078.913993055554</v>
      </c>
      <c r="C1143">
        <v>1822.5695800999999</v>
      </c>
      <c r="D1143">
        <v>1694.9331055</v>
      </c>
      <c r="E1143">
        <v>885.05456543000003</v>
      </c>
      <c r="F1143">
        <v>690.36309814000003</v>
      </c>
      <c r="G1143">
        <v>80</v>
      </c>
      <c r="H1143">
        <v>79.941619872999993</v>
      </c>
      <c r="I1143">
        <v>50</v>
      </c>
      <c r="J1143">
        <v>45.981601714999996</v>
      </c>
      <c r="K1143">
        <v>2400</v>
      </c>
      <c r="L1143">
        <v>0</v>
      </c>
      <c r="M1143">
        <v>0</v>
      </c>
      <c r="N1143">
        <v>2400</v>
      </c>
    </row>
    <row r="1144" spans="1:14" x14ac:dyDescent="0.25">
      <c r="A1144">
        <v>781.06240500000001</v>
      </c>
      <c r="B1144" s="1">
        <f>DATE(2012,6,20) + TIME(1,29,51)</f>
        <v>41080.062395833331</v>
      </c>
      <c r="C1144">
        <v>1821.8647461</v>
      </c>
      <c r="D1144">
        <v>1694.237793</v>
      </c>
      <c r="E1144">
        <v>884.69842529000005</v>
      </c>
      <c r="F1144">
        <v>689.88519286999997</v>
      </c>
      <c r="G1144">
        <v>80</v>
      </c>
      <c r="H1144">
        <v>79.941688537999994</v>
      </c>
      <c r="I1144">
        <v>50</v>
      </c>
      <c r="J1144">
        <v>45.896583557</v>
      </c>
      <c r="K1144">
        <v>2400</v>
      </c>
      <c r="L1144">
        <v>0</v>
      </c>
      <c r="M1144">
        <v>0</v>
      </c>
      <c r="N1144">
        <v>2400</v>
      </c>
    </row>
    <row r="1145" spans="1:14" x14ac:dyDescent="0.25">
      <c r="A1145">
        <v>782.23064899999997</v>
      </c>
      <c r="B1145" s="1">
        <f>DATE(2012,6,21) + TIME(5,32,8)</f>
        <v>41081.23064814815</v>
      </c>
      <c r="C1145">
        <v>1821.1628418</v>
      </c>
      <c r="D1145">
        <v>1693.5454102000001</v>
      </c>
      <c r="E1145">
        <v>884.33184814000003</v>
      </c>
      <c r="F1145">
        <v>689.39105225000003</v>
      </c>
      <c r="G1145">
        <v>80</v>
      </c>
      <c r="H1145">
        <v>79.941749572999996</v>
      </c>
      <c r="I1145">
        <v>50</v>
      </c>
      <c r="J1145">
        <v>45.810119628999999</v>
      </c>
      <c r="K1145">
        <v>2400</v>
      </c>
      <c r="L1145">
        <v>0</v>
      </c>
      <c r="M1145">
        <v>0</v>
      </c>
      <c r="N1145">
        <v>2400</v>
      </c>
    </row>
    <row r="1146" spans="1:14" x14ac:dyDescent="0.25">
      <c r="A1146">
        <v>783.42301499999996</v>
      </c>
      <c r="B1146" s="1">
        <f>DATE(2012,6,22) + TIME(10,9,8)</f>
        <v>41082.423009259262</v>
      </c>
      <c r="C1146">
        <v>1820.4608154</v>
      </c>
      <c r="D1146">
        <v>1692.8530272999999</v>
      </c>
      <c r="E1146">
        <v>883.95288086000005</v>
      </c>
      <c r="F1146">
        <v>688.87799071999996</v>
      </c>
      <c r="G1146">
        <v>80</v>
      </c>
      <c r="H1146">
        <v>79.941818237000007</v>
      </c>
      <c r="I1146">
        <v>50</v>
      </c>
      <c r="J1146">
        <v>45.721855163999997</v>
      </c>
      <c r="K1146">
        <v>2400</v>
      </c>
      <c r="L1146">
        <v>0</v>
      </c>
      <c r="M1146">
        <v>0</v>
      </c>
      <c r="N1146">
        <v>2400</v>
      </c>
    </row>
    <row r="1147" spans="1:14" x14ac:dyDescent="0.25">
      <c r="A1147">
        <v>784.64469199999996</v>
      </c>
      <c r="B1147" s="1">
        <f>DATE(2012,6,23) + TIME(15,28,21)</f>
        <v>41083.644687499997</v>
      </c>
      <c r="C1147">
        <v>1819.7564697</v>
      </c>
      <c r="D1147">
        <v>1692.1583252</v>
      </c>
      <c r="E1147">
        <v>883.55969238</v>
      </c>
      <c r="F1147">
        <v>688.34313965000001</v>
      </c>
      <c r="G1147">
        <v>80</v>
      </c>
      <c r="H1147">
        <v>79.941886901999993</v>
      </c>
      <c r="I1147">
        <v>50</v>
      </c>
      <c r="J1147">
        <v>45.631408690999997</v>
      </c>
      <c r="K1147">
        <v>2400</v>
      </c>
      <c r="L1147">
        <v>0</v>
      </c>
      <c r="M1147">
        <v>0</v>
      </c>
      <c r="N1147">
        <v>2400</v>
      </c>
    </row>
    <row r="1148" spans="1:14" x14ac:dyDescent="0.25">
      <c r="A1148">
        <v>785.89389200000005</v>
      </c>
      <c r="B1148" s="1">
        <f>DATE(2012,6,24) + TIME(21,27,12)</f>
        <v>41084.893888888888</v>
      </c>
      <c r="C1148">
        <v>1819.046875</v>
      </c>
      <c r="D1148">
        <v>1691.4587402</v>
      </c>
      <c r="E1148">
        <v>883.14984131000006</v>
      </c>
      <c r="F1148">
        <v>687.78356933999999</v>
      </c>
      <c r="G1148">
        <v>80</v>
      </c>
      <c r="H1148">
        <v>79.941955566000004</v>
      </c>
      <c r="I1148">
        <v>50</v>
      </c>
      <c r="J1148">
        <v>45.538570403999998</v>
      </c>
      <c r="K1148">
        <v>2400</v>
      </c>
      <c r="L1148">
        <v>0</v>
      </c>
      <c r="M1148">
        <v>0</v>
      </c>
      <c r="N1148">
        <v>2400</v>
      </c>
    </row>
    <row r="1149" spans="1:14" x14ac:dyDescent="0.25">
      <c r="A1149">
        <v>787.14383399999997</v>
      </c>
      <c r="B1149" s="1">
        <f>DATE(2012,6,26) + TIME(3,27,7)</f>
        <v>41086.143831018519</v>
      </c>
      <c r="C1149">
        <v>1818.3341064000001</v>
      </c>
      <c r="D1149">
        <v>1690.7558594</v>
      </c>
      <c r="E1149">
        <v>882.72277831999997</v>
      </c>
      <c r="F1149">
        <v>687.20001220999995</v>
      </c>
      <c r="G1149">
        <v>80</v>
      </c>
      <c r="H1149">
        <v>79.942024231000005</v>
      </c>
      <c r="I1149">
        <v>50</v>
      </c>
      <c r="J1149">
        <v>45.444061279000003</v>
      </c>
      <c r="K1149">
        <v>2400</v>
      </c>
      <c r="L1149">
        <v>0</v>
      </c>
      <c r="M1149">
        <v>0</v>
      </c>
      <c r="N1149">
        <v>2400</v>
      </c>
    </row>
    <row r="1150" spans="1:14" x14ac:dyDescent="0.25">
      <c r="A1150">
        <v>788.39915499999995</v>
      </c>
      <c r="B1150" s="1">
        <f>DATE(2012,6,27) + TIME(9,34,46)</f>
        <v>41087.399143518516</v>
      </c>
      <c r="C1150">
        <v>1817.6318358999999</v>
      </c>
      <c r="D1150">
        <v>1690.0633545000001</v>
      </c>
      <c r="E1150">
        <v>882.28814696999996</v>
      </c>
      <c r="F1150">
        <v>686.6015625</v>
      </c>
      <c r="G1150">
        <v>80</v>
      </c>
      <c r="H1150">
        <v>79.942092896000005</v>
      </c>
      <c r="I1150">
        <v>50</v>
      </c>
      <c r="J1150">
        <v>45.348381042</v>
      </c>
      <c r="K1150">
        <v>2400</v>
      </c>
      <c r="L1150">
        <v>0</v>
      </c>
      <c r="M1150">
        <v>0</v>
      </c>
      <c r="N1150">
        <v>2400</v>
      </c>
    </row>
    <row r="1151" spans="1:14" x14ac:dyDescent="0.25">
      <c r="A1151">
        <v>789.664536</v>
      </c>
      <c r="B1151" s="1">
        <f>DATE(2012,6,28) + TIME(15,56,55)</f>
        <v>41088.664525462962</v>
      </c>
      <c r="C1151">
        <v>1816.9378661999999</v>
      </c>
      <c r="D1151">
        <v>1689.3791504000001</v>
      </c>
      <c r="E1151">
        <v>881.84411621000004</v>
      </c>
      <c r="F1151">
        <v>685.98638916000004</v>
      </c>
      <c r="G1151">
        <v>80</v>
      </c>
      <c r="H1151">
        <v>79.942161560000002</v>
      </c>
      <c r="I1151">
        <v>50</v>
      </c>
      <c r="J1151">
        <v>45.251491547000001</v>
      </c>
      <c r="K1151">
        <v>2400</v>
      </c>
      <c r="L1151">
        <v>0</v>
      </c>
      <c r="M1151">
        <v>0</v>
      </c>
      <c r="N1151">
        <v>2400</v>
      </c>
    </row>
    <row r="1152" spans="1:14" x14ac:dyDescent="0.25">
      <c r="A1152">
        <v>790.94466899999998</v>
      </c>
      <c r="B1152" s="1">
        <f>DATE(2012,6,29) + TIME(22,40,19)</f>
        <v>41089.944664351853</v>
      </c>
      <c r="C1152">
        <v>1816.2495117000001</v>
      </c>
      <c r="D1152">
        <v>1688.7005615</v>
      </c>
      <c r="E1152">
        <v>881.38861083999996</v>
      </c>
      <c r="F1152">
        <v>685.35192871000004</v>
      </c>
      <c r="G1152">
        <v>80</v>
      </c>
      <c r="H1152">
        <v>79.942237853999998</v>
      </c>
      <c r="I1152">
        <v>50</v>
      </c>
      <c r="J1152">
        <v>45.153156281000001</v>
      </c>
      <c r="K1152">
        <v>2400</v>
      </c>
      <c r="L1152">
        <v>0</v>
      </c>
      <c r="M1152">
        <v>0</v>
      </c>
      <c r="N1152">
        <v>2400</v>
      </c>
    </row>
    <row r="1153" spans="1:14" x14ac:dyDescent="0.25">
      <c r="A1153">
        <v>792</v>
      </c>
      <c r="B1153" s="1">
        <f>DATE(2012,7,1) + TIME(0,0,0)</f>
        <v>41091</v>
      </c>
      <c r="C1153">
        <v>1815.5703125</v>
      </c>
      <c r="D1153">
        <v>1688.0308838000001</v>
      </c>
      <c r="E1153">
        <v>880.91418456999997</v>
      </c>
      <c r="F1153">
        <v>684.71154784999999</v>
      </c>
      <c r="G1153">
        <v>80</v>
      </c>
      <c r="H1153">
        <v>79.942283630000006</v>
      </c>
      <c r="I1153">
        <v>50</v>
      </c>
      <c r="J1153">
        <v>45.061641692999999</v>
      </c>
      <c r="K1153">
        <v>2400</v>
      </c>
      <c r="L1153">
        <v>0</v>
      </c>
      <c r="M1153">
        <v>0</v>
      </c>
      <c r="N1153">
        <v>2400</v>
      </c>
    </row>
    <row r="1154" spans="1:14" x14ac:dyDescent="0.25">
      <c r="A1154">
        <v>793.30048899999997</v>
      </c>
      <c r="B1154" s="1">
        <f>DATE(2012,7,2) + TIME(7,12,42)</f>
        <v>41092.300486111111</v>
      </c>
      <c r="C1154">
        <v>1815.0018310999999</v>
      </c>
      <c r="D1154">
        <v>1687.4704589999999</v>
      </c>
      <c r="E1154">
        <v>880.52722168000003</v>
      </c>
      <c r="F1154">
        <v>684.13317871000004</v>
      </c>
      <c r="G1154">
        <v>80</v>
      </c>
      <c r="H1154">
        <v>79.942367554</v>
      </c>
      <c r="I1154">
        <v>50</v>
      </c>
      <c r="J1154">
        <v>44.966335297000001</v>
      </c>
      <c r="K1154">
        <v>2400</v>
      </c>
      <c r="L1154">
        <v>0</v>
      </c>
      <c r="M1154">
        <v>0</v>
      </c>
      <c r="N1154">
        <v>2400</v>
      </c>
    </row>
    <row r="1155" spans="1:14" x14ac:dyDescent="0.25">
      <c r="A1155">
        <v>794.65042000000005</v>
      </c>
      <c r="B1155" s="1">
        <f>DATE(2012,7,3) + TIME(15,36,36)</f>
        <v>41093.650416666664</v>
      </c>
      <c r="C1155">
        <v>1814.3289795000001</v>
      </c>
      <c r="D1155">
        <v>1686.8071289</v>
      </c>
      <c r="E1155">
        <v>880.03540038999995</v>
      </c>
      <c r="F1155">
        <v>683.44183350000003</v>
      </c>
      <c r="G1155">
        <v>80</v>
      </c>
      <c r="H1155">
        <v>79.942436217999997</v>
      </c>
      <c r="I1155">
        <v>50</v>
      </c>
      <c r="J1155">
        <v>44.864822388</v>
      </c>
      <c r="K1155">
        <v>2400</v>
      </c>
      <c r="L1155">
        <v>0</v>
      </c>
      <c r="M1155">
        <v>0</v>
      </c>
      <c r="N1155">
        <v>2400</v>
      </c>
    </row>
    <row r="1156" spans="1:14" x14ac:dyDescent="0.25">
      <c r="A1156">
        <v>796.02942299999995</v>
      </c>
      <c r="B1156" s="1">
        <f>DATE(2012,7,5) + TIME(0,42,22)</f>
        <v>41095.029421296298</v>
      </c>
      <c r="C1156">
        <v>1813.6381836</v>
      </c>
      <c r="D1156">
        <v>1686.1260986</v>
      </c>
      <c r="E1156">
        <v>879.51501465000001</v>
      </c>
      <c r="F1156">
        <v>682.70635986000002</v>
      </c>
      <c r="G1156">
        <v>80</v>
      </c>
      <c r="H1156">
        <v>79.942512511999993</v>
      </c>
      <c r="I1156">
        <v>50</v>
      </c>
      <c r="J1156">
        <v>44.758583068999997</v>
      </c>
      <c r="K1156">
        <v>2400</v>
      </c>
      <c r="L1156">
        <v>0</v>
      </c>
      <c r="M1156">
        <v>0</v>
      </c>
      <c r="N1156">
        <v>2400</v>
      </c>
    </row>
    <row r="1157" spans="1:14" x14ac:dyDescent="0.25">
      <c r="A1157">
        <v>797.42149800000004</v>
      </c>
      <c r="B1157" s="1">
        <f>DATE(2012,7,6) + TIME(10,6,57)</f>
        <v>41096.421493055554</v>
      </c>
      <c r="C1157">
        <v>1812.942749</v>
      </c>
      <c r="D1157">
        <v>1685.4406738</v>
      </c>
      <c r="E1157">
        <v>878.97351074000005</v>
      </c>
      <c r="F1157">
        <v>681.93640137</v>
      </c>
      <c r="G1157">
        <v>80</v>
      </c>
      <c r="H1157">
        <v>79.942588806000003</v>
      </c>
      <c r="I1157">
        <v>50</v>
      </c>
      <c r="J1157">
        <v>44.649021148999999</v>
      </c>
      <c r="K1157">
        <v>2400</v>
      </c>
      <c r="L1157">
        <v>0</v>
      </c>
      <c r="M1157">
        <v>0</v>
      </c>
      <c r="N1157">
        <v>2400</v>
      </c>
    </row>
    <row r="1158" spans="1:14" x14ac:dyDescent="0.25">
      <c r="A1158">
        <v>798.81761100000006</v>
      </c>
      <c r="B1158" s="1">
        <f>DATE(2012,7,7) + TIME(19,37,21)</f>
        <v>41097.817604166667</v>
      </c>
      <c r="C1158">
        <v>1812.2512207</v>
      </c>
      <c r="D1158">
        <v>1684.7589111</v>
      </c>
      <c r="E1158">
        <v>878.41674805000002</v>
      </c>
      <c r="F1158">
        <v>681.13964843999997</v>
      </c>
      <c r="G1158">
        <v>80</v>
      </c>
      <c r="H1158">
        <v>79.942657471000004</v>
      </c>
      <c r="I1158">
        <v>50</v>
      </c>
      <c r="J1158">
        <v>44.537246703999998</v>
      </c>
      <c r="K1158">
        <v>2400</v>
      </c>
      <c r="L1158">
        <v>0</v>
      </c>
      <c r="M1158">
        <v>0</v>
      </c>
      <c r="N1158">
        <v>2400</v>
      </c>
    </row>
    <row r="1159" spans="1:14" x14ac:dyDescent="0.25">
      <c r="A1159">
        <v>800.22281999999996</v>
      </c>
      <c r="B1159" s="1">
        <f>DATE(2012,7,9) + TIME(5,20,51)</f>
        <v>41099.222812499997</v>
      </c>
      <c r="C1159">
        <v>1811.5676269999999</v>
      </c>
      <c r="D1159">
        <v>1684.0850829999999</v>
      </c>
      <c r="E1159">
        <v>877.84838866999996</v>
      </c>
      <c r="F1159">
        <v>680.32025146000001</v>
      </c>
      <c r="G1159">
        <v>80</v>
      </c>
      <c r="H1159">
        <v>79.942733765</v>
      </c>
      <c r="I1159">
        <v>50</v>
      </c>
      <c r="J1159">
        <v>44.423671722000002</v>
      </c>
      <c r="K1159">
        <v>2400</v>
      </c>
      <c r="L1159">
        <v>0</v>
      </c>
      <c r="M1159">
        <v>0</v>
      </c>
      <c r="N1159">
        <v>2400</v>
      </c>
    </row>
    <row r="1160" spans="1:14" x14ac:dyDescent="0.25">
      <c r="A1160">
        <v>801.64220399999999</v>
      </c>
      <c r="B1160" s="1">
        <f>DATE(2012,7,10) + TIME(15,24,46)</f>
        <v>41100.642199074071</v>
      </c>
      <c r="C1160">
        <v>1810.8898925999999</v>
      </c>
      <c r="D1160">
        <v>1683.4168701000001</v>
      </c>
      <c r="E1160">
        <v>877.26599121000004</v>
      </c>
      <c r="F1160">
        <v>679.47558593999997</v>
      </c>
      <c r="G1160">
        <v>80</v>
      </c>
      <c r="H1160">
        <v>79.942810058999996</v>
      </c>
      <c r="I1160">
        <v>50</v>
      </c>
      <c r="J1160">
        <v>44.308177948000001</v>
      </c>
      <c r="K1160">
        <v>2400</v>
      </c>
      <c r="L1160">
        <v>0</v>
      </c>
      <c r="M1160">
        <v>0</v>
      </c>
      <c r="N1160">
        <v>2400</v>
      </c>
    </row>
    <row r="1161" spans="1:14" x14ac:dyDescent="0.25">
      <c r="A1161">
        <v>803.08118300000001</v>
      </c>
      <c r="B1161" s="1">
        <f>DATE(2012,7,12) + TIME(1,56,54)</f>
        <v>41102.081180555557</v>
      </c>
      <c r="C1161">
        <v>1810.2152100000001</v>
      </c>
      <c r="D1161">
        <v>1682.7518310999999</v>
      </c>
      <c r="E1161">
        <v>876.66723633000004</v>
      </c>
      <c r="F1161">
        <v>678.60217284999999</v>
      </c>
      <c r="G1161">
        <v>80</v>
      </c>
      <c r="H1161">
        <v>79.942886353000006</v>
      </c>
      <c r="I1161">
        <v>50</v>
      </c>
      <c r="J1161">
        <v>44.190437316999997</v>
      </c>
      <c r="K1161">
        <v>2400</v>
      </c>
      <c r="L1161">
        <v>0</v>
      </c>
      <c r="M1161">
        <v>0</v>
      </c>
      <c r="N1161">
        <v>2400</v>
      </c>
    </row>
    <row r="1162" spans="1:14" x14ac:dyDescent="0.25">
      <c r="A1162">
        <v>804.54349999999999</v>
      </c>
      <c r="B1162" s="1">
        <f>DATE(2012,7,13) + TIME(13,2,38)</f>
        <v>41103.543495370373</v>
      </c>
      <c r="C1162">
        <v>1809.5410156</v>
      </c>
      <c r="D1162">
        <v>1682.0872803</v>
      </c>
      <c r="E1162">
        <v>876.04937743999994</v>
      </c>
      <c r="F1162">
        <v>677.69616699000005</v>
      </c>
      <c r="G1162">
        <v>80</v>
      </c>
      <c r="H1162">
        <v>79.942962645999998</v>
      </c>
      <c r="I1162">
        <v>50</v>
      </c>
      <c r="J1162">
        <v>44.070053100999999</v>
      </c>
      <c r="K1162">
        <v>2400</v>
      </c>
      <c r="L1162">
        <v>0</v>
      </c>
      <c r="M1162">
        <v>0</v>
      </c>
      <c r="N1162">
        <v>2400</v>
      </c>
    </row>
    <row r="1163" spans="1:14" x14ac:dyDescent="0.25">
      <c r="A1163">
        <v>806.02537299999995</v>
      </c>
      <c r="B1163" s="1">
        <f>DATE(2012,7,15) + TIME(0,36,32)</f>
        <v>41105.025370370371</v>
      </c>
      <c r="C1163">
        <v>1808.8659668</v>
      </c>
      <c r="D1163">
        <v>1681.4217529</v>
      </c>
      <c r="E1163">
        <v>875.41021728999999</v>
      </c>
      <c r="F1163">
        <v>676.75469970999995</v>
      </c>
      <c r="G1163">
        <v>80</v>
      </c>
      <c r="H1163">
        <v>79.943046570000007</v>
      </c>
      <c r="I1163">
        <v>50</v>
      </c>
      <c r="J1163">
        <v>43.946880341000004</v>
      </c>
      <c r="K1163">
        <v>2400</v>
      </c>
      <c r="L1163">
        <v>0</v>
      </c>
      <c r="M1163">
        <v>0</v>
      </c>
      <c r="N1163">
        <v>2400</v>
      </c>
    </row>
    <row r="1164" spans="1:14" x14ac:dyDescent="0.25">
      <c r="A1164">
        <v>807.53257900000006</v>
      </c>
      <c r="B1164" s="1">
        <f>DATE(2012,7,16) + TIME(12,46,54)</f>
        <v>41106.532569444447</v>
      </c>
      <c r="C1164">
        <v>1808.1914062000001</v>
      </c>
      <c r="D1164">
        <v>1680.7565918</v>
      </c>
      <c r="E1164">
        <v>874.75115966999999</v>
      </c>
      <c r="F1164">
        <v>675.77813720999995</v>
      </c>
      <c r="G1164">
        <v>80</v>
      </c>
      <c r="H1164">
        <v>79.943122864000003</v>
      </c>
      <c r="I1164">
        <v>50</v>
      </c>
      <c r="J1164">
        <v>43.820720672999997</v>
      </c>
      <c r="K1164">
        <v>2400</v>
      </c>
      <c r="L1164">
        <v>0</v>
      </c>
      <c r="M1164">
        <v>0</v>
      </c>
      <c r="N1164">
        <v>2400</v>
      </c>
    </row>
    <row r="1165" spans="1:14" x14ac:dyDescent="0.25">
      <c r="A1165">
        <v>809.07092999999998</v>
      </c>
      <c r="B1165" s="1">
        <f>DATE(2012,7,18) + TIME(1,42,8)</f>
        <v>41108.070925925924</v>
      </c>
      <c r="C1165">
        <v>1807.5148925999999</v>
      </c>
      <c r="D1165">
        <v>1680.0897216999999</v>
      </c>
      <c r="E1165">
        <v>874.06921387</v>
      </c>
      <c r="F1165">
        <v>674.76190185999997</v>
      </c>
      <c r="G1165">
        <v>80</v>
      </c>
      <c r="H1165">
        <v>79.943206786999994</v>
      </c>
      <c r="I1165">
        <v>50</v>
      </c>
      <c r="J1165">
        <v>43.691150665000002</v>
      </c>
      <c r="K1165">
        <v>2400</v>
      </c>
      <c r="L1165">
        <v>0</v>
      </c>
      <c r="M1165">
        <v>0</v>
      </c>
      <c r="N1165">
        <v>2400</v>
      </c>
    </row>
    <row r="1166" spans="1:14" x14ac:dyDescent="0.25">
      <c r="A1166">
        <v>810.61654099999998</v>
      </c>
      <c r="B1166" s="1">
        <f>DATE(2012,7,19) + TIME(14,47,49)</f>
        <v>41109.616539351853</v>
      </c>
      <c r="C1166">
        <v>1806.8345947</v>
      </c>
      <c r="D1166">
        <v>1679.4189452999999</v>
      </c>
      <c r="E1166">
        <v>873.36071776999995</v>
      </c>
      <c r="F1166">
        <v>673.70343018000005</v>
      </c>
      <c r="G1166">
        <v>80</v>
      </c>
      <c r="H1166">
        <v>79.943283081000004</v>
      </c>
      <c r="I1166">
        <v>50</v>
      </c>
      <c r="J1166">
        <v>43.558578490999999</v>
      </c>
      <c r="K1166">
        <v>2400</v>
      </c>
      <c r="L1166">
        <v>0</v>
      </c>
      <c r="M1166">
        <v>0</v>
      </c>
      <c r="N1166">
        <v>2400</v>
      </c>
    </row>
    <row r="1167" spans="1:14" x14ac:dyDescent="0.25">
      <c r="A1167">
        <v>812.17198199999996</v>
      </c>
      <c r="B1167" s="1">
        <f>DATE(2012,7,21) + TIME(4,7,39)</f>
        <v>41111.171979166669</v>
      </c>
      <c r="C1167">
        <v>1806.1600341999999</v>
      </c>
      <c r="D1167">
        <v>1678.7539062000001</v>
      </c>
      <c r="E1167">
        <v>872.63677978999999</v>
      </c>
      <c r="F1167">
        <v>672.61437988</v>
      </c>
      <c r="G1167">
        <v>80</v>
      </c>
      <c r="H1167">
        <v>79.943367003999995</v>
      </c>
      <c r="I1167">
        <v>50</v>
      </c>
      <c r="J1167">
        <v>43.423606872999997</v>
      </c>
      <c r="K1167">
        <v>2400</v>
      </c>
      <c r="L1167">
        <v>0</v>
      </c>
      <c r="M1167">
        <v>0</v>
      </c>
      <c r="N1167">
        <v>2400</v>
      </c>
    </row>
    <row r="1168" spans="1:14" x14ac:dyDescent="0.25">
      <c r="A1168">
        <v>813.74210300000004</v>
      </c>
      <c r="B1168" s="1">
        <f>DATE(2012,7,22) + TIME(17,48,37)</f>
        <v>41112.742094907408</v>
      </c>
      <c r="C1168">
        <v>1805.4903564000001</v>
      </c>
      <c r="D1168">
        <v>1678.0935059000001</v>
      </c>
      <c r="E1168">
        <v>871.89617920000001</v>
      </c>
      <c r="F1168">
        <v>671.49353026999995</v>
      </c>
      <c r="G1168">
        <v>80</v>
      </c>
      <c r="H1168">
        <v>79.943443298000005</v>
      </c>
      <c r="I1168">
        <v>50</v>
      </c>
      <c r="J1168">
        <v>43.286228180000002</v>
      </c>
      <c r="K1168">
        <v>2400</v>
      </c>
      <c r="L1168">
        <v>0</v>
      </c>
      <c r="M1168">
        <v>0</v>
      </c>
      <c r="N1168">
        <v>2400</v>
      </c>
    </row>
    <row r="1169" spans="1:14" x14ac:dyDescent="0.25">
      <c r="A1169">
        <v>815.32364700000005</v>
      </c>
      <c r="B1169" s="1">
        <f>DATE(2012,7,24) + TIME(7,46,3)</f>
        <v>41114.323645833334</v>
      </c>
      <c r="C1169">
        <v>1804.8234863</v>
      </c>
      <c r="D1169">
        <v>1677.4359131000001</v>
      </c>
      <c r="E1169">
        <v>871.13641356999995</v>
      </c>
      <c r="F1169">
        <v>670.33813477000001</v>
      </c>
      <c r="G1169">
        <v>80</v>
      </c>
      <c r="H1169">
        <v>79.943527222</v>
      </c>
      <c r="I1169">
        <v>50</v>
      </c>
      <c r="J1169">
        <v>43.146408080999997</v>
      </c>
      <c r="K1169">
        <v>2400</v>
      </c>
      <c r="L1169">
        <v>0</v>
      </c>
      <c r="M1169">
        <v>0</v>
      </c>
      <c r="N1169">
        <v>2400</v>
      </c>
    </row>
    <row r="1170" spans="1:14" x14ac:dyDescent="0.25">
      <c r="A1170">
        <v>816.92180699999994</v>
      </c>
      <c r="B1170" s="1">
        <f>DATE(2012,7,25) + TIME(22,7,24)</f>
        <v>41115.921805555554</v>
      </c>
      <c r="C1170">
        <v>1804.1605225000001</v>
      </c>
      <c r="D1170">
        <v>1676.7822266000001</v>
      </c>
      <c r="E1170">
        <v>870.35906981999995</v>
      </c>
      <c r="F1170">
        <v>669.14904784999999</v>
      </c>
      <c r="G1170">
        <v>80</v>
      </c>
      <c r="H1170">
        <v>79.943603515999996</v>
      </c>
      <c r="I1170">
        <v>50</v>
      </c>
      <c r="J1170">
        <v>43.004035950000002</v>
      </c>
      <c r="K1170">
        <v>2400</v>
      </c>
      <c r="L1170">
        <v>0</v>
      </c>
      <c r="M1170">
        <v>0</v>
      </c>
      <c r="N1170">
        <v>2400</v>
      </c>
    </row>
    <row r="1171" spans="1:14" x14ac:dyDescent="0.25">
      <c r="A1171">
        <v>818.54194500000006</v>
      </c>
      <c r="B1171" s="1">
        <f>DATE(2012,7,27) + TIME(13,0,24)</f>
        <v>41117.541944444441</v>
      </c>
      <c r="C1171">
        <v>1803.4992675999999</v>
      </c>
      <c r="D1171">
        <v>1676.1301269999999</v>
      </c>
      <c r="E1171">
        <v>869.56164550999995</v>
      </c>
      <c r="F1171">
        <v>667.92254638999998</v>
      </c>
      <c r="G1171">
        <v>80</v>
      </c>
      <c r="H1171">
        <v>79.943687439000001</v>
      </c>
      <c r="I1171">
        <v>50</v>
      </c>
      <c r="J1171">
        <v>42.858757019000002</v>
      </c>
      <c r="K1171">
        <v>2400</v>
      </c>
      <c r="L1171">
        <v>0</v>
      </c>
      <c r="M1171">
        <v>0</v>
      </c>
      <c r="N1171">
        <v>2400</v>
      </c>
    </row>
    <row r="1172" spans="1:14" x14ac:dyDescent="0.25">
      <c r="A1172">
        <v>820.19006100000001</v>
      </c>
      <c r="B1172" s="1">
        <f>DATE(2012,7,29) + TIME(4,33,41)</f>
        <v>41119.190057870372</v>
      </c>
      <c r="C1172">
        <v>1802.8376464999999</v>
      </c>
      <c r="D1172">
        <v>1675.4775391000001</v>
      </c>
      <c r="E1172">
        <v>868.74127196999996</v>
      </c>
      <c r="F1172">
        <v>666.65405272999999</v>
      </c>
      <c r="G1172">
        <v>80</v>
      </c>
      <c r="H1172">
        <v>79.943771362000007</v>
      </c>
      <c r="I1172">
        <v>50</v>
      </c>
      <c r="J1172">
        <v>42.710086822999997</v>
      </c>
      <c r="K1172">
        <v>2400</v>
      </c>
      <c r="L1172">
        <v>0</v>
      </c>
      <c r="M1172">
        <v>0</v>
      </c>
      <c r="N1172">
        <v>2400</v>
      </c>
    </row>
    <row r="1173" spans="1:14" x14ac:dyDescent="0.25">
      <c r="A1173">
        <v>821.87265000000002</v>
      </c>
      <c r="B1173" s="1">
        <f>DATE(2012,7,30) + TIME(20,56,36)</f>
        <v>41120.87263888889</v>
      </c>
      <c r="C1173">
        <v>1802.1732178</v>
      </c>
      <c r="D1173">
        <v>1674.8222656</v>
      </c>
      <c r="E1173">
        <v>867.89477538999995</v>
      </c>
      <c r="F1173">
        <v>665.33819579999999</v>
      </c>
      <c r="G1173">
        <v>80</v>
      </c>
      <c r="H1173">
        <v>79.943855286000002</v>
      </c>
      <c r="I1173">
        <v>50</v>
      </c>
      <c r="J1173">
        <v>42.557464600000003</v>
      </c>
      <c r="K1173">
        <v>2400</v>
      </c>
      <c r="L1173">
        <v>0</v>
      </c>
      <c r="M1173">
        <v>0</v>
      </c>
      <c r="N1173">
        <v>2400</v>
      </c>
    </row>
    <row r="1174" spans="1:14" x14ac:dyDescent="0.25">
      <c r="A1174">
        <v>823</v>
      </c>
      <c r="B1174" s="1">
        <f>DATE(2012,8,1) + TIME(0,0,0)</f>
        <v>41122</v>
      </c>
      <c r="C1174">
        <v>1801.5175781</v>
      </c>
      <c r="D1174">
        <v>1674.1756591999999</v>
      </c>
      <c r="E1174">
        <v>867.01196288999995</v>
      </c>
      <c r="F1174">
        <v>664.04144286999997</v>
      </c>
      <c r="G1174">
        <v>80</v>
      </c>
      <c r="H1174">
        <v>79.943901061999995</v>
      </c>
      <c r="I1174">
        <v>50</v>
      </c>
      <c r="J1174">
        <v>42.424499511999997</v>
      </c>
      <c r="K1174">
        <v>2400</v>
      </c>
      <c r="L1174">
        <v>0</v>
      </c>
      <c r="M1174">
        <v>0</v>
      </c>
      <c r="N1174">
        <v>2400</v>
      </c>
    </row>
    <row r="1175" spans="1:14" x14ac:dyDescent="0.25">
      <c r="A1175">
        <v>824.70194600000002</v>
      </c>
      <c r="B1175" s="1">
        <f>DATE(2012,8,2) + TIME(16,50,48)</f>
        <v>41123.701944444445</v>
      </c>
      <c r="C1175">
        <v>1801.0499268000001</v>
      </c>
      <c r="D1175">
        <v>1673.7141113</v>
      </c>
      <c r="E1175">
        <v>866.42279053000004</v>
      </c>
      <c r="F1175">
        <v>663.00372314000003</v>
      </c>
      <c r="G1175">
        <v>80</v>
      </c>
      <c r="H1175">
        <v>79.944007873999993</v>
      </c>
      <c r="I1175">
        <v>50</v>
      </c>
      <c r="J1175">
        <v>42.285163879000002</v>
      </c>
      <c r="K1175">
        <v>2400</v>
      </c>
      <c r="L1175">
        <v>0</v>
      </c>
      <c r="M1175">
        <v>0</v>
      </c>
      <c r="N1175">
        <v>2400</v>
      </c>
    </row>
    <row r="1176" spans="1:14" x14ac:dyDescent="0.25">
      <c r="A1176">
        <v>826.41201899999999</v>
      </c>
      <c r="B1176" s="1">
        <f>DATE(2012,8,4) + TIME(9,53,18)</f>
        <v>41125.41201388889</v>
      </c>
      <c r="C1176">
        <v>1800.3953856999999</v>
      </c>
      <c r="D1176">
        <v>1673.0684814000001</v>
      </c>
      <c r="E1176">
        <v>865.51782227000001</v>
      </c>
      <c r="F1176">
        <v>661.60113524999997</v>
      </c>
      <c r="G1176">
        <v>80</v>
      </c>
      <c r="H1176">
        <v>79.944084167</v>
      </c>
      <c r="I1176">
        <v>50</v>
      </c>
      <c r="J1176">
        <v>42.130950927999997</v>
      </c>
      <c r="K1176">
        <v>2400</v>
      </c>
      <c r="L1176">
        <v>0</v>
      </c>
      <c r="M1176">
        <v>0</v>
      </c>
      <c r="N1176">
        <v>2400</v>
      </c>
    </row>
    <row r="1177" spans="1:14" x14ac:dyDescent="0.25">
      <c r="A1177">
        <v>828.13371800000004</v>
      </c>
      <c r="B1177" s="1">
        <f>DATE(2012,8,6) + TIME(3,12,33)</f>
        <v>41127.133715277778</v>
      </c>
      <c r="C1177">
        <v>1799.737793</v>
      </c>
      <c r="D1177">
        <v>1672.4196777</v>
      </c>
      <c r="E1177">
        <v>864.59613036999997</v>
      </c>
      <c r="F1177">
        <v>660.14953613</v>
      </c>
      <c r="G1177">
        <v>80</v>
      </c>
      <c r="H1177">
        <v>79.944168090999995</v>
      </c>
      <c r="I1177">
        <v>50</v>
      </c>
      <c r="J1177">
        <v>41.970092772999998</v>
      </c>
      <c r="K1177">
        <v>2400</v>
      </c>
      <c r="L1177">
        <v>0</v>
      </c>
      <c r="M1177">
        <v>0</v>
      </c>
      <c r="N1177">
        <v>2400</v>
      </c>
    </row>
    <row r="1178" spans="1:14" x14ac:dyDescent="0.25">
      <c r="A1178">
        <v>829.87251700000002</v>
      </c>
      <c r="B1178" s="1">
        <f>DATE(2012,8,7) + TIME(20,56,25)</f>
        <v>41128.872511574074</v>
      </c>
      <c r="C1178">
        <v>1799.0827637</v>
      </c>
      <c r="D1178">
        <v>1671.7733154</v>
      </c>
      <c r="E1178">
        <v>863.65753173999997</v>
      </c>
      <c r="F1178">
        <v>658.65783691000001</v>
      </c>
      <c r="G1178">
        <v>80</v>
      </c>
      <c r="H1178">
        <v>79.944259643999999</v>
      </c>
      <c r="I1178">
        <v>50</v>
      </c>
      <c r="J1178">
        <v>41.805191039999997</v>
      </c>
      <c r="K1178">
        <v>2400</v>
      </c>
      <c r="L1178">
        <v>0</v>
      </c>
      <c r="M1178">
        <v>0</v>
      </c>
      <c r="N1178">
        <v>2400</v>
      </c>
    </row>
    <row r="1179" spans="1:14" x14ac:dyDescent="0.25">
      <c r="A1179">
        <v>831.63408200000003</v>
      </c>
      <c r="B1179" s="1">
        <f>DATE(2012,8,9) + TIME(15,13,4)</f>
        <v>41130.634074074071</v>
      </c>
      <c r="C1179">
        <v>1798.4288329999999</v>
      </c>
      <c r="D1179">
        <v>1671.1280518000001</v>
      </c>
      <c r="E1179">
        <v>862.69952393000005</v>
      </c>
      <c r="F1179">
        <v>657.12542725000003</v>
      </c>
      <c r="G1179">
        <v>80</v>
      </c>
      <c r="H1179">
        <v>79.944343567000004</v>
      </c>
      <c r="I1179">
        <v>50</v>
      </c>
      <c r="J1179">
        <v>41.636821746999999</v>
      </c>
      <c r="K1179">
        <v>2400</v>
      </c>
      <c r="L1179">
        <v>0</v>
      </c>
      <c r="M1179">
        <v>0</v>
      </c>
      <c r="N1179">
        <v>2400</v>
      </c>
    </row>
    <row r="1180" spans="1:14" x14ac:dyDescent="0.25">
      <c r="A1180">
        <v>833.42435399999999</v>
      </c>
      <c r="B1180" s="1">
        <f>DATE(2012,8,11) + TIME(10,11,4)</f>
        <v>41132.424351851849</v>
      </c>
      <c r="C1180">
        <v>1797.7739257999999</v>
      </c>
      <c r="D1180">
        <v>1670.4818115</v>
      </c>
      <c r="E1180">
        <v>861.71948241999996</v>
      </c>
      <c r="F1180">
        <v>655.54888916000004</v>
      </c>
      <c r="G1180">
        <v>80</v>
      </c>
      <c r="H1180">
        <v>79.944427489999995</v>
      </c>
      <c r="I1180">
        <v>50</v>
      </c>
      <c r="J1180">
        <v>41.464832305999998</v>
      </c>
      <c r="K1180">
        <v>2400</v>
      </c>
      <c r="L1180">
        <v>0</v>
      </c>
      <c r="M1180">
        <v>0</v>
      </c>
      <c r="N1180">
        <v>2400</v>
      </c>
    </row>
    <row r="1181" spans="1:14" x14ac:dyDescent="0.25">
      <c r="A1181">
        <v>835.25076999999999</v>
      </c>
      <c r="B1181" s="1">
        <f>DATE(2012,8,13) + TIME(6,1,6)</f>
        <v>41134.250763888886</v>
      </c>
      <c r="C1181">
        <v>1797.1159668</v>
      </c>
      <c r="D1181">
        <v>1669.8323975000001</v>
      </c>
      <c r="E1181">
        <v>860.71441649999997</v>
      </c>
      <c r="F1181">
        <v>653.92333984000004</v>
      </c>
      <c r="G1181">
        <v>80</v>
      </c>
      <c r="H1181">
        <v>79.944519043</v>
      </c>
      <c r="I1181">
        <v>50</v>
      </c>
      <c r="J1181">
        <v>41.288780211999999</v>
      </c>
      <c r="K1181">
        <v>2400</v>
      </c>
      <c r="L1181">
        <v>0</v>
      </c>
      <c r="M1181">
        <v>0</v>
      </c>
      <c r="N1181">
        <v>2400</v>
      </c>
    </row>
    <row r="1182" spans="1:14" x14ac:dyDescent="0.25">
      <c r="A1182">
        <v>837.10200299999997</v>
      </c>
      <c r="B1182" s="1">
        <f>DATE(2012,8,15) + TIME(2,26,53)</f>
        <v>41136.102002314816</v>
      </c>
      <c r="C1182">
        <v>1796.4525146000001</v>
      </c>
      <c r="D1182">
        <v>1669.1776123</v>
      </c>
      <c r="E1182">
        <v>859.68048095999995</v>
      </c>
      <c r="F1182">
        <v>652.24444579999999</v>
      </c>
      <c r="G1182">
        <v>80</v>
      </c>
      <c r="H1182">
        <v>79.944610596000004</v>
      </c>
      <c r="I1182">
        <v>50</v>
      </c>
      <c r="J1182">
        <v>41.108650208</v>
      </c>
      <c r="K1182">
        <v>2400</v>
      </c>
      <c r="L1182">
        <v>0</v>
      </c>
      <c r="M1182">
        <v>0</v>
      </c>
      <c r="N1182">
        <v>2400</v>
      </c>
    </row>
    <row r="1183" spans="1:14" x14ac:dyDescent="0.25">
      <c r="A1183">
        <v>838.95606099999998</v>
      </c>
      <c r="B1183" s="1">
        <f>DATE(2012,8,16) + TIME(22,56,43)</f>
        <v>41137.956053240741</v>
      </c>
      <c r="C1183">
        <v>1795.7875977000001</v>
      </c>
      <c r="D1183">
        <v>1668.5212402</v>
      </c>
      <c r="E1183">
        <v>858.62457274999997</v>
      </c>
      <c r="F1183">
        <v>650.52276611000002</v>
      </c>
      <c r="G1183">
        <v>80</v>
      </c>
      <c r="H1183">
        <v>79.944694518999995</v>
      </c>
      <c r="I1183">
        <v>50</v>
      </c>
      <c r="J1183">
        <v>40.925556182999998</v>
      </c>
      <c r="K1183">
        <v>2400</v>
      </c>
      <c r="L1183">
        <v>0</v>
      </c>
      <c r="M1183">
        <v>0</v>
      </c>
      <c r="N1183">
        <v>2400</v>
      </c>
    </row>
    <row r="1184" spans="1:14" x14ac:dyDescent="0.25">
      <c r="A1184">
        <v>840.81858899999997</v>
      </c>
      <c r="B1184" s="1">
        <f>DATE(2012,8,18) + TIME(19,38,46)</f>
        <v>41139.81858796296</v>
      </c>
      <c r="C1184">
        <v>1795.128418</v>
      </c>
      <c r="D1184">
        <v>1667.8704834</v>
      </c>
      <c r="E1184">
        <v>857.56036376999998</v>
      </c>
      <c r="F1184">
        <v>648.77557373000002</v>
      </c>
      <c r="G1184">
        <v>80</v>
      </c>
      <c r="H1184">
        <v>79.944786071999999</v>
      </c>
      <c r="I1184">
        <v>50</v>
      </c>
      <c r="J1184">
        <v>40.740550995</v>
      </c>
      <c r="K1184">
        <v>2400</v>
      </c>
      <c r="L1184">
        <v>0</v>
      </c>
      <c r="M1184">
        <v>0</v>
      </c>
      <c r="N1184">
        <v>2400</v>
      </c>
    </row>
    <row r="1185" spans="1:14" x14ac:dyDescent="0.25">
      <c r="A1185">
        <v>842.69531500000005</v>
      </c>
      <c r="B1185" s="1">
        <f>DATE(2012,8,20) + TIME(16,41,15)</f>
        <v>41141.6953125</v>
      </c>
      <c r="C1185">
        <v>1794.4731445</v>
      </c>
      <c r="D1185">
        <v>1667.2235106999999</v>
      </c>
      <c r="E1185">
        <v>856.48577881000006</v>
      </c>
      <c r="F1185">
        <v>647.00115966999999</v>
      </c>
      <c r="G1185">
        <v>80</v>
      </c>
      <c r="H1185">
        <v>79.944877625000004</v>
      </c>
      <c r="I1185">
        <v>50</v>
      </c>
      <c r="J1185">
        <v>40.553691864000001</v>
      </c>
      <c r="K1185">
        <v>2400</v>
      </c>
      <c r="L1185">
        <v>0</v>
      </c>
      <c r="M1185">
        <v>0</v>
      </c>
      <c r="N1185">
        <v>2400</v>
      </c>
    </row>
    <row r="1186" spans="1:14" x14ac:dyDescent="0.25">
      <c r="A1186">
        <v>844.59207000000004</v>
      </c>
      <c r="B1186" s="1">
        <f>DATE(2012,8,22) + TIME(14,12,34)</f>
        <v>41143.592060185183</v>
      </c>
      <c r="C1186">
        <v>1793.8197021000001</v>
      </c>
      <c r="D1186">
        <v>1666.5783690999999</v>
      </c>
      <c r="E1186">
        <v>855.39880371000004</v>
      </c>
      <c r="F1186">
        <v>645.19641113</v>
      </c>
      <c r="G1186">
        <v>80</v>
      </c>
      <c r="H1186">
        <v>79.944969177000004</v>
      </c>
      <c r="I1186">
        <v>50</v>
      </c>
      <c r="J1186">
        <v>40.364692687999998</v>
      </c>
      <c r="K1186">
        <v>2400</v>
      </c>
      <c r="L1186">
        <v>0</v>
      </c>
      <c r="M1186">
        <v>0</v>
      </c>
      <c r="N1186">
        <v>2400</v>
      </c>
    </row>
    <row r="1187" spans="1:14" x14ac:dyDescent="0.25">
      <c r="A1187">
        <v>846.514951</v>
      </c>
      <c r="B1187" s="1">
        <f>DATE(2012,8,24) + TIME(12,21,31)</f>
        <v>41145.51494212963</v>
      </c>
      <c r="C1187">
        <v>1793.1660156</v>
      </c>
      <c r="D1187">
        <v>1665.9328613</v>
      </c>
      <c r="E1187">
        <v>854.29730225000003</v>
      </c>
      <c r="F1187">
        <v>643.35766602000001</v>
      </c>
      <c r="G1187">
        <v>80</v>
      </c>
      <c r="H1187">
        <v>79.945060729999994</v>
      </c>
      <c r="I1187">
        <v>50</v>
      </c>
      <c r="J1187">
        <v>40.173168181999998</v>
      </c>
      <c r="K1187">
        <v>2400</v>
      </c>
      <c r="L1187">
        <v>0</v>
      </c>
      <c r="M1187">
        <v>0</v>
      </c>
      <c r="N1187">
        <v>2400</v>
      </c>
    </row>
    <row r="1188" spans="1:14" x14ac:dyDescent="0.25">
      <c r="A1188">
        <v>848.46829300000002</v>
      </c>
      <c r="B1188" s="1">
        <f>DATE(2012,8,26) + TIME(11,14,20)</f>
        <v>41147.468287037038</v>
      </c>
      <c r="C1188">
        <v>1792.5100098</v>
      </c>
      <c r="D1188">
        <v>1665.2847899999999</v>
      </c>
      <c r="E1188">
        <v>853.17901611000002</v>
      </c>
      <c r="F1188">
        <v>641.48107909999999</v>
      </c>
      <c r="G1188">
        <v>80</v>
      </c>
      <c r="H1188">
        <v>79.945152282999999</v>
      </c>
      <c r="I1188">
        <v>50</v>
      </c>
      <c r="J1188">
        <v>39.978744507000002</v>
      </c>
      <c r="K1188">
        <v>2400</v>
      </c>
      <c r="L1188">
        <v>0</v>
      </c>
      <c r="M1188">
        <v>0</v>
      </c>
      <c r="N1188">
        <v>2400</v>
      </c>
    </row>
    <row r="1189" spans="1:14" x14ac:dyDescent="0.25">
      <c r="A1189">
        <v>850.44512899999995</v>
      </c>
      <c r="B1189" s="1">
        <f>DATE(2012,8,28) + TIME(10,40,59)</f>
        <v>41149.445127314815</v>
      </c>
      <c r="C1189">
        <v>1791.8500977000001</v>
      </c>
      <c r="D1189">
        <v>1664.6330565999999</v>
      </c>
      <c r="E1189">
        <v>852.04278564000003</v>
      </c>
      <c r="F1189">
        <v>639.56585693</v>
      </c>
      <c r="G1189">
        <v>80</v>
      </c>
      <c r="H1189">
        <v>79.945243834999999</v>
      </c>
      <c r="I1189">
        <v>50</v>
      </c>
      <c r="J1189">
        <v>39.781562805</v>
      </c>
      <c r="K1189">
        <v>2400</v>
      </c>
      <c r="L1189">
        <v>0</v>
      </c>
      <c r="M1189">
        <v>0</v>
      </c>
      <c r="N1189">
        <v>2400</v>
      </c>
    </row>
    <row r="1190" spans="1:14" x14ac:dyDescent="0.25">
      <c r="A1190">
        <v>852.44982000000005</v>
      </c>
      <c r="B1190" s="1">
        <f>DATE(2012,8,30) + TIME(10,47,44)</f>
        <v>41151.449814814812</v>
      </c>
      <c r="C1190">
        <v>1791.1884766000001</v>
      </c>
      <c r="D1190">
        <v>1663.9793701000001</v>
      </c>
      <c r="E1190">
        <v>850.89453125</v>
      </c>
      <c r="F1190">
        <v>637.61883545000001</v>
      </c>
      <c r="G1190">
        <v>80</v>
      </c>
      <c r="H1190">
        <v>79.945335388000004</v>
      </c>
      <c r="I1190">
        <v>50</v>
      </c>
      <c r="J1190">
        <v>39.581798552999999</v>
      </c>
      <c r="K1190">
        <v>2400</v>
      </c>
      <c r="L1190">
        <v>0</v>
      </c>
      <c r="M1190">
        <v>0</v>
      </c>
      <c r="N1190">
        <v>2400</v>
      </c>
    </row>
    <row r="1191" spans="1:14" x14ac:dyDescent="0.25">
      <c r="A1191">
        <v>854</v>
      </c>
      <c r="B1191" s="1">
        <f>DATE(2012,9,1) + TIME(0,0,0)</f>
        <v>41153</v>
      </c>
      <c r="C1191">
        <v>1790.5324707</v>
      </c>
      <c r="D1191">
        <v>1663.3311768000001</v>
      </c>
      <c r="E1191">
        <v>849.73187256000006</v>
      </c>
      <c r="F1191">
        <v>635.70684814000003</v>
      </c>
      <c r="G1191">
        <v>80</v>
      </c>
      <c r="H1191">
        <v>79.945396423000005</v>
      </c>
      <c r="I1191">
        <v>50</v>
      </c>
      <c r="J1191">
        <v>39.397296906000001</v>
      </c>
      <c r="K1191">
        <v>2400</v>
      </c>
      <c r="L1191">
        <v>0</v>
      </c>
      <c r="M1191">
        <v>0</v>
      </c>
      <c r="N1191">
        <v>2400</v>
      </c>
    </row>
    <row r="1192" spans="1:14" x14ac:dyDescent="0.25">
      <c r="A1192">
        <v>856.01599399999998</v>
      </c>
      <c r="B1192" s="1">
        <f>DATE(2012,9,3) + TIME(0,23,1)</f>
        <v>41155.015983796293</v>
      </c>
      <c r="C1192">
        <v>1790.0069579999999</v>
      </c>
      <c r="D1192">
        <v>1662.8117675999999</v>
      </c>
      <c r="E1192">
        <v>848.83892821999996</v>
      </c>
      <c r="F1192">
        <v>634.07354736000002</v>
      </c>
      <c r="G1192">
        <v>80</v>
      </c>
      <c r="H1192">
        <v>79.945503235000004</v>
      </c>
      <c r="I1192">
        <v>50</v>
      </c>
      <c r="J1192">
        <v>39.215126038000001</v>
      </c>
      <c r="K1192">
        <v>2400</v>
      </c>
      <c r="L1192">
        <v>0</v>
      </c>
      <c r="M1192">
        <v>0</v>
      </c>
      <c r="N1192">
        <v>2400</v>
      </c>
    </row>
    <row r="1193" spans="1:14" x14ac:dyDescent="0.25">
      <c r="A1193">
        <v>858.05683599999998</v>
      </c>
      <c r="B1193" s="1">
        <f>DATE(2012,9,5) + TIME(1,21,50)</f>
        <v>41157.056828703702</v>
      </c>
      <c r="C1193">
        <v>1789.3552245999999</v>
      </c>
      <c r="D1193">
        <v>1662.1678466999999</v>
      </c>
      <c r="E1193">
        <v>847.68579102000001</v>
      </c>
      <c r="F1193">
        <v>632.10986328000001</v>
      </c>
      <c r="G1193">
        <v>80</v>
      </c>
      <c r="H1193">
        <v>79.945594787999994</v>
      </c>
      <c r="I1193">
        <v>50</v>
      </c>
      <c r="J1193">
        <v>39.018444060999997</v>
      </c>
      <c r="K1193">
        <v>2400</v>
      </c>
      <c r="L1193">
        <v>0</v>
      </c>
      <c r="M1193">
        <v>0</v>
      </c>
      <c r="N1193">
        <v>2400</v>
      </c>
    </row>
    <row r="1194" spans="1:14" x14ac:dyDescent="0.25">
      <c r="A1194">
        <v>860.119912</v>
      </c>
      <c r="B1194" s="1">
        <f>DATE(2012,9,7) + TIME(2,52,40)</f>
        <v>41159.11990740741</v>
      </c>
      <c r="C1194">
        <v>1788.6955565999999</v>
      </c>
      <c r="D1194">
        <v>1661.5158690999999</v>
      </c>
      <c r="E1194">
        <v>846.52679443</v>
      </c>
      <c r="F1194">
        <v>630.10943603999999</v>
      </c>
      <c r="G1194">
        <v>80</v>
      </c>
      <c r="H1194">
        <v>79.945686339999995</v>
      </c>
      <c r="I1194">
        <v>50</v>
      </c>
      <c r="J1194">
        <v>38.816280364999997</v>
      </c>
      <c r="K1194">
        <v>2400</v>
      </c>
      <c r="L1194">
        <v>0</v>
      </c>
      <c r="M1194">
        <v>0</v>
      </c>
      <c r="N1194">
        <v>2400</v>
      </c>
    </row>
    <row r="1195" spans="1:14" x14ac:dyDescent="0.25">
      <c r="A1195">
        <v>862.20820200000003</v>
      </c>
      <c r="B1195" s="1">
        <f>DATE(2012,9,9) + TIME(4,59,48)</f>
        <v>41161.208194444444</v>
      </c>
      <c r="C1195">
        <v>1788.0336914</v>
      </c>
      <c r="D1195">
        <v>1660.8614502</v>
      </c>
      <c r="E1195">
        <v>845.36749268000005</v>
      </c>
      <c r="F1195">
        <v>628.09124756000006</v>
      </c>
      <c r="G1195">
        <v>80</v>
      </c>
      <c r="H1195">
        <v>79.945785521999994</v>
      </c>
      <c r="I1195">
        <v>50</v>
      </c>
      <c r="J1195">
        <v>38.611698150999999</v>
      </c>
      <c r="K1195">
        <v>2400</v>
      </c>
      <c r="L1195">
        <v>0</v>
      </c>
      <c r="M1195">
        <v>0</v>
      </c>
      <c r="N1195">
        <v>2400</v>
      </c>
    </row>
    <row r="1196" spans="1:14" x14ac:dyDescent="0.25">
      <c r="A1196">
        <v>864.31675800000005</v>
      </c>
      <c r="B1196" s="1">
        <f>DATE(2012,9,11) + TIME(7,36,7)</f>
        <v>41163.316747685189</v>
      </c>
      <c r="C1196">
        <v>1787.3691406</v>
      </c>
      <c r="D1196">
        <v>1660.2044678</v>
      </c>
      <c r="E1196">
        <v>844.20965576000003</v>
      </c>
      <c r="F1196">
        <v>626.0625</v>
      </c>
      <c r="G1196">
        <v>80</v>
      </c>
      <c r="H1196">
        <v>79.945877074999999</v>
      </c>
      <c r="I1196">
        <v>50</v>
      </c>
      <c r="J1196">
        <v>38.40593338</v>
      </c>
      <c r="K1196">
        <v>2400</v>
      </c>
      <c r="L1196">
        <v>0</v>
      </c>
      <c r="M1196">
        <v>0</v>
      </c>
      <c r="N1196">
        <v>2400</v>
      </c>
    </row>
    <row r="1197" spans="1:14" x14ac:dyDescent="0.25">
      <c r="A1197">
        <v>866.45131000000003</v>
      </c>
      <c r="B1197" s="1">
        <f>DATE(2012,9,13) + TIME(10,49,53)</f>
        <v>41165.451307870368</v>
      </c>
      <c r="C1197">
        <v>1786.7032471</v>
      </c>
      <c r="D1197">
        <v>1659.5460204999999</v>
      </c>
      <c r="E1197">
        <v>843.05932616999996</v>
      </c>
      <c r="F1197">
        <v>624.03283691000001</v>
      </c>
      <c r="G1197">
        <v>80</v>
      </c>
      <c r="H1197">
        <v>79.945976256999998</v>
      </c>
      <c r="I1197">
        <v>50</v>
      </c>
      <c r="J1197">
        <v>38.199642181000002</v>
      </c>
      <c r="K1197">
        <v>2400</v>
      </c>
      <c r="L1197">
        <v>0</v>
      </c>
      <c r="M1197">
        <v>0</v>
      </c>
      <c r="N1197">
        <v>2400</v>
      </c>
    </row>
    <row r="1198" spans="1:14" x14ac:dyDescent="0.25">
      <c r="A1198">
        <v>868.61038399999995</v>
      </c>
      <c r="B1198" s="1">
        <f>DATE(2012,9,15) + TIME(14,38,57)</f>
        <v>41167.610381944447</v>
      </c>
      <c r="C1198">
        <v>1786.0344238</v>
      </c>
      <c r="D1198">
        <v>1658.8846435999999</v>
      </c>
      <c r="E1198">
        <v>841.91699218999997</v>
      </c>
      <c r="F1198">
        <v>622.00469970999995</v>
      </c>
      <c r="G1198">
        <v>80</v>
      </c>
      <c r="H1198">
        <v>79.946067810000002</v>
      </c>
      <c r="I1198">
        <v>50</v>
      </c>
      <c r="J1198">
        <v>37.993141174000002</v>
      </c>
      <c r="K1198">
        <v>2400</v>
      </c>
      <c r="L1198">
        <v>0</v>
      </c>
      <c r="M1198">
        <v>0</v>
      </c>
      <c r="N1198">
        <v>2400</v>
      </c>
    </row>
    <row r="1199" spans="1:14" x14ac:dyDescent="0.25">
      <c r="A1199">
        <v>870.78424199999995</v>
      </c>
      <c r="B1199" s="1">
        <f>DATE(2012,9,17) + TIME(18,49,18)</f>
        <v>41169.784236111111</v>
      </c>
      <c r="C1199">
        <v>1785.3629149999999</v>
      </c>
      <c r="D1199">
        <v>1658.2205810999999</v>
      </c>
      <c r="E1199">
        <v>840.78729248000002</v>
      </c>
      <c r="F1199">
        <v>619.98675536999997</v>
      </c>
      <c r="G1199">
        <v>80</v>
      </c>
      <c r="H1199">
        <v>79.946166992000002</v>
      </c>
      <c r="I1199">
        <v>50</v>
      </c>
      <c r="J1199">
        <v>37.787185669000003</v>
      </c>
      <c r="K1199">
        <v>2400</v>
      </c>
      <c r="L1199">
        <v>0</v>
      </c>
      <c r="M1199">
        <v>0</v>
      </c>
      <c r="N1199">
        <v>2400</v>
      </c>
    </row>
    <row r="1200" spans="1:14" x14ac:dyDescent="0.25">
      <c r="A1200">
        <v>872.97226899999998</v>
      </c>
      <c r="B1200" s="1">
        <f>DATE(2012,9,19) + TIME(23,20,4)</f>
        <v>41171.972268518519</v>
      </c>
      <c r="C1200">
        <v>1784.6917725000001</v>
      </c>
      <c r="D1200">
        <v>1657.5565185999999</v>
      </c>
      <c r="E1200">
        <v>839.67932128999996</v>
      </c>
      <c r="F1200">
        <v>617.99346923999997</v>
      </c>
      <c r="G1200">
        <v>80</v>
      </c>
      <c r="H1200">
        <v>79.946266174000002</v>
      </c>
      <c r="I1200">
        <v>50</v>
      </c>
      <c r="J1200">
        <v>37.582710265999999</v>
      </c>
      <c r="K1200">
        <v>2400</v>
      </c>
      <c r="L1200">
        <v>0</v>
      </c>
      <c r="M1200">
        <v>0</v>
      </c>
      <c r="N1200">
        <v>2400</v>
      </c>
    </row>
    <row r="1201" spans="1:14" x14ac:dyDescent="0.25">
      <c r="A1201">
        <v>875.17327599999999</v>
      </c>
      <c r="B1201" s="1">
        <f>DATE(2012,9,22) + TIME(4,9,31)</f>
        <v>41174.173275462963</v>
      </c>
      <c r="C1201">
        <v>1784.0207519999999</v>
      </c>
      <c r="D1201">
        <v>1656.8927002</v>
      </c>
      <c r="E1201">
        <v>838.59741211000005</v>
      </c>
      <c r="F1201">
        <v>616.03302001999998</v>
      </c>
      <c r="G1201">
        <v>80</v>
      </c>
      <c r="H1201">
        <v>79.946357727000006</v>
      </c>
      <c r="I1201">
        <v>50</v>
      </c>
      <c r="J1201">
        <v>37.380409241000002</v>
      </c>
      <c r="K1201">
        <v>2400</v>
      </c>
      <c r="L1201">
        <v>0</v>
      </c>
      <c r="M1201">
        <v>0</v>
      </c>
      <c r="N1201">
        <v>2400</v>
      </c>
    </row>
    <row r="1202" spans="1:14" x14ac:dyDescent="0.25">
      <c r="A1202">
        <v>877.39319599999999</v>
      </c>
      <c r="B1202" s="1">
        <f>DATE(2012,9,24) + TIME(9,26,12)</f>
        <v>41176.393194444441</v>
      </c>
      <c r="C1202">
        <v>1783.3503418</v>
      </c>
      <c r="D1202">
        <v>1656.2292480000001</v>
      </c>
      <c r="E1202">
        <v>837.54614258000004</v>
      </c>
      <c r="F1202">
        <v>614.11352538999995</v>
      </c>
      <c r="G1202">
        <v>80</v>
      </c>
      <c r="H1202">
        <v>79.946456909000005</v>
      </c>
      <c r="I1202">
        <v>50</v>
      </c>
      <c r="J1202">
        <v>37.180740356000001</v>
      </c>
      <c r="K1202">
        <v>2400</v>
      </c>
      <c r="L1202">
        <v>0</v>
      </c>
      <c r="M1202">
        <v>0</v>
      </c>
      <c r="N1202">
        <v>2400</v>
      </c>
    </row>
    <row r="1203" spans="1:14" x14ac:dyDescent="0.25">
      <c r="A1203">
        <v>878.51308500000005</v>
      </c>
      <c r="B1203" s="1">
        <f>DATE(2012,9,25) + TIME(12,18,50)</f>
        <v>41177.513078703705</v>
      </c>
      <c r="C1203">
        <v>1782.7087402</v>
      </c>
      <c r="D1203">
        <v>1655.5944824000001</v>
      </c>
      <c r="E1203">
        <v>836.52227783000001</v>
      </c>
      <c r="F1203">
        <v>612.41876220999995</v>
      </c>
      <c r="G1203">
        <v>80</v>
      </c>
      <c r="H1203">
        <v>79.946487426999994</v>
      </c>
      <c r="I1203">
        <v>50</v>
      </c>
      <c r="J1203">
        <v>37.028160094999997</v>
      </c>
      <c r="K1203">
        <v>2400</v>
      </c>
      <c r="L1203">
        <v>0</v>
      </c>
      <c r="M1203">
        <v>0</v>
      </c>
      <c r="N1203">
        <v>2400</v>
      </c>
    </row>
    <row r="1204" spans="1:14" x14ac:dyDescent="0.25">
      <c r="A1204">
        <v>879.63285599999995</v>
      </c>
      <c r="B1204" s="1">
        <f>DATE(2012,9,26) + TIME(15,11,18)</f>
        <v>41178.632847222223</v>
      </c>
      <c r="C1204">
        <v>1782.3428954999999</v>
      </c>
      <c r="D1204">
        <v>1655.2321777</v>
      </c>
      <c r="E1204">
        <v>836.02685546999999</v>
      </c>
      <c r="F1204">
        <v>611.39819336000005</v>
      </c>
      <c r="G1204">
        <v>80</v>
      </c>
      <c r="H1204">
        <v>79.946540833</v>
      </c>
      <c r="I1204">
        <v>50</v>
      </c>
      <c r="J1204">
        <v>36.90687561</v>
      </c>
      <c r="K1204">
        <v>2400</v>
      </c>
      <c r="L1204">
        <v>0</v>
      </c>
      <c r="M1204">
        <v>0</v>
      </c>
      <c r="N1204">
        <v>2400</v>
      </c>
    </row>
    <row r="1205" spans="1:14" x14ac:dyDescent="0.25">
      <c r="A1205">
        <v>880.75262699999996</v>
      </c>
      <c r="B1205" s="1">
        <f>DATE(2012,9,27) + TIME(18,3,47)</f>
        <v>41179.752627314818</v>
      </c>
      <c r="C1205">
        <v>1782.0018310999999</v>
      </c>
      <c r="D1205">
        <v>1654.8945312000001</v>
      </c>
      <c r="E1205">
        <v>835.54644774999997</v>
      </c>
      <c r="F1205">
        <v>610.45843506000006</v>
      </c>
      <c r="G1205">
        <v>80</v>
      </c>
      <c r="H1205">
        <v>79.946594238000003</v>
      </c>
      <c r="I1205">
        <v>50</v>
      </c>
      <c r="J1205">
        <v>36.800407409999998</v>
      </c>
      <c r="K1205">
        <v>2400</v>
      </c>
      <c r="L1205">
        <v>0</v>
      </c>
      <c r="M1205">
        <v>0</v>
      </c>
      <c r="N1205">
        <v>2400</v>
      </c>
    </row>
    <row r="1206" spans="1:14" x14ac:dyDescent="0.25">
      <c r="A1206">
        <v>881.87239799999998</v>
      </c>
      <c r="B1206" s="1">
        <f>DATE(2012,9,28) + TIME(20,56,15)</f>
        <v>41180.872395833336</v>
      </c>
      <c r="C1206">
        <v>1781.6655272999999</v>
      </c>
      <c r="D1206">
        <v>1654.5616454999999</v>
      </c>
      <c r="E1206">
        <v>835.07995604999996</v>
      </c>
      <c r="F1206">
        <v>609.56585693</v>
      </c>
      <c r="G1206">
        <v>80</v>
      </c>
      <c r="H1206">
        <v>79.946647643999995</v>
      </c>
      <c r="I1206">
        <v>50</v>
      </c>
      <c r="J1206">
        <v>36.701412200999997</v>
      </c>
      <c r="K1206">
        <v>2400</v>
      </c>
      <c r="L1206">
        <v>0</v>
      </c>
      <c r="M1206">
        <v>0</v>
      </c>
      <c r="N1206">
        <v>2400</v>
      </c>
    </row>
    <row r="1207" spans="1:14" x14ac:dyDescent="0.25">
      <c r="A1207">
        <v>884</v>
      </c>
      <c r="B1207" s="1">
        <f>DATE(2012,10,1) + TIME(0,0,0)</f>
        <v>41183</v>
      </c>
      <c r="C1207">
        <v>1781.3168945</v>
      </c>
      <c r="D1207">
        <v>1654.2163086</v>
      </c>
      <c r="E1207">
        <v>834.63232421999999</v>
      </c>
      <c r="F1207">
        <v>608.60491943</v>
      </c>
      <c r="G1207">
        <v>80</v>
      </c>
      <c r="H1207">
        <v>79.946754455999994</v>
      </c>
      <c r="I1207">
        <v>50</v>
      </c>
      <c r="J1207">
        <v>36.580978393999999</v>
      </c>
      <c r="K1207">
        <v>2400</v>
      </c>
      <c r="L1207">
        <v>0</v>
      </c>
      <c r="M1207">
        <v>0</v>
      </c>
      <c r="N1207">
        <v>2400</v>
      </c>
    </row>
    <row r="1208" spans="1:14" x14ac:dyDescent="0.25">
      <c r="A1208">
        <v>885.11977100000001</v>
      </c>
      <c r="B1208" s="1">
        <f>DATE(2012,10,2) + TIME(2,52,28)</f>
        <v>41184.119768518518</v>
      </c>
      <c r="C1208">
        <v>1780.7281493999999</v>
      </c>
      <c r="D1208">
        <v>1653.6336670000001</v>
      </c>
      <c r="E1208">
        <v>833.79150390999996</v>
      </c>
      <c r="F1208">
        <v>607.23663329999999</v>
      </c>
      <c r="G1208">
        <v>80</v>
      </c>
      <c r="H1208">
        <v>79.946777343999997</v>
      </c>
      <c r="I1208">
        <v>50</v>
      </c>
      <c r="J1208">
        <v>36.458885193</v>
      </c>
      <c r="K1208">
        <v>2400</v>
      </c>
      <c r="L1208">
        <v>0</v>
      </c>
      <c r="M1208">
        <v>0</v>
      </c>
      <c r="N1208">
        <v>2400</v>
      </c>
    </row>
    <row r="1209" spans="1:14" x14ac:dyDescent="0.25">
      <c r="A1209">
        <v>887.35931300000004</v>
      </c>
      <c r="B1209" s="1">
        <f>DATE(2012,10,4) + TIME(8,37,24)</f>
        <v>41186.359305555554</v>
      </c>
      <c r="C1209">
        <v>1780.355957</v>
      </c>
      <c r="D1209">
        <v>1653.2647704999999</v>
      </c>
      <c r="E1209">
        <v>833.38214111000002</v>
      </c>
      <c r="F1209">
        <v>606.26715088000003</v>
      </c>
      <c r="G1209">
        <v>80</v>
      </c>
      <c r="H1209">
        <v>79.946891785000005</v>
      </c>
      <c r="I1209">
        <v>50</v>
      </c>
      <c r="J1209">
        <v>36.326747894</v>
      </c>
      <c r="K1209">
        <v>2400</v>
      </c>
      <c r="L1209">
        <v>0</v>
      </c>
      <c r="M1209">
        <v>0</v>
      </c>
      <c r="N1209">
        <v>2400</v>
      </c>
    </row>
    <row r="1210" spans="1:14" x14ac:dyDescent="0.25">
      <c r="A1210">
        <v>889.60569199999998</v>
      </c>
      <c r="B1210" s="1">
        <f>DATE(2012,10,6) + TIME(14,32,11)</f>
        <v>41188.605682870373</v>
      </c>
      <c r="C1210">
        <v>1779.7122803</v>
      </c>
      <c r="D1210">
        <v>1652.6274414</v>
      </c>
      <c r="E1210">
        <v>832.58172606999995</v>
      </c>
      <c r="F1210">
        <v>604.79675293000003</v>
      </c>
      <c r="G1210">
        <v>80</v>
      </c>
      <c r="H1210">
        <v>79.946983337000006</v>
      </c>
      <c r="I1210">
        <v>50</v>
      </c>
      <c r="J1210">
        <v>36.168449402</v>
      </c>
      <c r="K1210">
        <v>2400</v>
      </c>
      <c r="L1210">
        <v>0</v>
      </c>
      <c r="M1210">
        <v>0</v>
      </c>
      <c r="N1210">
        <v>2400</v>
      </c>
    </row>
    <row r="1211" spans="1:14" x14ac:dyDescent="0.25">
      <c r="A1211">
        <v>891.89534100000003</v>
      </c>
      <c r="B1211" s="1">
        <f>DATE(2012,10,8) + TIME(21,29,17)</f>
        <v>41190.895335648151</v>
      </c>
      <c r="C1211">
        <v>1779.0566406</v>
      </c>
      <c r="D1211">
        <v>1651.9781493999999</v>
      </c>
      <c r="E1211">
        <v>831.83581543000003</v>
      </c>
      <c r="F1211">
        <v>603.37396239999998</v>
      </c>
      <c r="G1211">
        <v>80</v>
      </c>
      <c r="H1211">
        <v>79.947074889999996</v>
      </c>
      <c r="I1211">
        <v>50</v>
      </c>
      <c r="J1211">
        <v>36.006839751999998</v>
      </c>
      <c r="K1211">
        <v>2400</v>
      </c>
      <c r="L1211">
        <v>0</v>
      </c>
      <c r="M1211">
        <v>0</v>
      </c>
      <c r="N1211">
        <v>2400</v>
      </c>
    </row>
    <row r="1212" spans="1:14" x14ac:dyDescent="0.25">
      <c r="A1212">
        <v>894.23515799999996</v>
      </c>
      <c r="B1212" s="1">
        <f>DATE(2012,10,11) + TIME(5,38,37)</f>
        <v>41193.235150462962</v>
      </c>
      <c r="C1212">
        <v>1778.3920897999999</v>
      </c>
      <c r="D1212">
        <v>1651.3198242000001</v>
      </c>
      <c r="E1212">
        <v>831.13653564000003</v>
      </c>
      <c r="F1212">
        <v>602.01849364999998</v>
      </c>
      <c r="G1212">
        <v>80</v>
      </c>
      <c r="H1212">
        <v>79.947174071999996</v>
      </c>
      <c r="I1212">
        <v>50</v>
      </c>
      <c r="J1212">
        <v>35.847824097</v>
      </c>
      <c r="K1212">
        <v>2400</v>
      </c>
      <c r="L1212">
        <v>0</v>
      </c>
      <c r="M1212">
        <v>0</v>
      </c>
      <c r="N1212">
        <v>2400</v>
      </c>
    </row>
    <row r="1213" spans="1:14" x14ac:dyDescent="0.25">
      <c r="A1213">
        <v>896.61992199999997</v>
      </c>
      <c r="B1213" s="1">
        <f>DATE(2012,10,13) + TIME(14,52,41)</f>
        <v>41195.61991898148</v>
      </c>
      <c r="C1213">
        <v>1777.7176514</v>
      </c>
      <c r="D1213">
        <v>1650.6516113</v>
      </c>
      <c r="E1213">
        <v>830.48706055000002</v>
      </c>
      <c r="F1213">
        <v>600.74517821999996</v>
      </c>
      <c r="G1213">
        <v>80</v>
      </c>
      <c r="H1213">
        <v>79.947273253999995</v>
      </c>
      <c r="I1213">
        <v>50</v>
      </c>
      <c r="J1213">
        <v>35.693740845000001</v>
      </c>
      <c r="K1213">
        <v>2400</v>
      </c>
      <c r="L1213">
        <v>0</v>
      </c>
      <c r="M1213">
        <v>0</v>
      </c>
      <c r="N1213">
        <v>2400</v>
      </c>
    </row>
    <row r="1214" spans="1:14" x14ac:dyDescent="0.25">
      <c r="A1214">
        <v>897.81967699999996</v>
      </c>
      <c r="B1214" s="1">
        <f>DATE(2012,10,14) + TIME(19,40,20)</f>
        <v>41196.819675925923</v>
      </c>
      <c r="C1214">
        <v>1777.0675048999999</v>
      </c>
      <c r="D1214">
        <v>1650.0076904</v>
      </c>
      <c r="E1214">
        <v>829.88092041000004</v>
      </c>
      <c r="F1214">
        <v>599.68408203000001</v>
      </c>
      <c r="G1214">
        <v>80</v>
      </c>
      <c r="H1214">
        <v>79.947303771999998</v>
      </c>
      <c r="I1214">
        <v>50</v>
      </c>
      <c r="J1214">
        <v>35.578491210999999</v>
      </c>
      <c r="K1214">
        <v>2400</v>
      </c>
      <c r="L1214">
        <v>0</v>
      </c>
      <c r="M1214">
        <v>0</v>
      </c>
      <c r="N1214">
        <v>2400</v>
      </c>
    </row>
    <row r="1215" spans="1:14" x14ac:dyDescent="0.25">
      <c r="A1215">
        <v>899.014228</v>
      </c>
      <c r="B1215" s="1">
        <f>DATE(2012,10,16) + TIME(0,20,29)</f>
        <v>41198.014224537037</v>
      </c>
      <c r="C1215">
        <v>1776.6961670000001</v>
      </c>
      <c r="D1215">
        <v>1649.6394043</v>
      </c>
      <c r="E1215">
        <v>829.62072753999996</v>
      </c>
      <c r="F1215">
        <v>599.08062743999994</v>
      </c>
      <c r="G1215">
        <v>80</v>
      </c>
      <c r="H1215">
        <v>79.947364807</v>
      </c>
      <c r="I1215">
        <v>50</v>
      </c>
      <c r="J1215">
        <v>35.490554809999999</v>
      </c>
      <c r="K1215">
        <v>2400</v>
      </c>
      <c r="L1215">
        <v>0</v>
      </c>
      <c r="M1215">
        <v>0</v>
      </c>
      <c r="N1215">
        <v>2400</v>
      </c>
    </row>
    <row r="1216" spans="1:14" x14ac:dyDescent="0.25">
      <c r="A1216">
        <v>900.20655599999998</v>
      </c>
      <c r="B1216" s="1">
        <f>DATE(2012,10,17) + TIME(4,57,26)</f>
        <v>41199.206550925926</v>
      </c>
      <c r="C1216">
        <v>1776.3522949000001</v>
      </c>
      <c r="D1216">
        <v>1649.2987060999999</v>
      </c>
      <c r="E1216">
        <v>829.37707520000004</v>
      </c>
      <c r="F1216">
        <v>598.55310058999999</v>
      </c>
      <c r="G1216">
        <v>80</v>
      </c>
      <c r="H1216">
        <v>79.947418213000006</v>
      </c>
      <c r="I1216">
        <v>50</v>
      </c>
      <c r="J1216">
        <v>35.415977478000002</v>
      </c>
      <c r="K1216">
        <v>2400</v>
      </c>
      <c r="L1216">
        <v>0</v>
      </c>
      <c r="M1216">
        <v>0</v>
      </c>
      <c r="N1216">
        <v>2400</v>
      </c>
    </row>
    <row r="1217" spans="1:14" x14ac:dyDescent="0.25">
      <c r="A1217">
        <v>901.39851199999998</v>
      </c>
      <c r="B1217" s="1">
        <f>DATE(2012,10,18) + TIME(9,33,51)</f>
        <v>41200.398506944446</v>
      </c>
      <c r="C1217">
        <v>1776.0145264</v>
      </c>
      <c r="D1217">
        <v>1648.9638672000001</v>
      </c>
      <c r="E1217">
        <v>829.15124512</v>
      </c>
      <c r="F1217">
        <v>598.07708739999998</v>
      </c>
      <c r="G1217">
        <v>80</v>
      </c>
      <c r="H1217">
        <v>79.947463988999999</v>
      </c>
      <c r="I1217">
        <v>50</v>
      </c>
      <c r="J1217">
        <v>35.348762512</v>
      </c>
      <c r="K1217">
        <v>2400</v>
      </c>
      <c r="L1217">
        <v>0</v>
      </c>
      <c r="M1217">
        <v>0</v>
      </c>
      <c r="N1217">
        <v>2400</v>
      </c>
    </row>
    <row r="1218" spans="1:14" x14ac:dyDescent="0.25">
      <c r="A1218">
        <v>902.59046899999998</v>
      </c>
      <c r="B1218" s="1">
        <f>DATE(2012,10,19) + TIME(14,10,16)</f>
        <v>41201.590462962966</v>
      </c>
      <c r="C1218">
        <v>1775.6789550999999</v>
      </c>
      <c r="D1218">
        <v>1648.6313477000001</v>
      </c>
      <c r="E1218">
        <v>828.94226074000005</v>
      </c>
      <c r="F1218">
        <v>597.64074706999997</v>
      </c>
      <c r="G1218">
        <v>80</v>
      </c>
      <c r="H1218">
        <v>79.947517395000006</v>
      </c>
      <c r="I1218">
        <v>50</v>
      </c>
      <c r="J1218">
        <v>35.286327362000002</v>
      </c>
      <c r="K1218">
        <v>2400</v>
      </c>
      <c r="L1218">
        <v>0</v>
      </c>
      <c r="M1218">
        <v>0</v>
      </c>
      <c r="N1218">
        <v>2400</v>
      </c>
    </row>
    <row r="1219" spans="1:14" x14ac:dyDescent="0.25">
      <c r="A1219">
        <v>903.78242599999999</v>
      </c>
      <c r="B1219" s="1">
        <f>DATE(2012,10,20) + TIME(18,46,41)</f>
        <v>41202.782418981478</v>
      </c>
      <c r="C1219">
        <v>1775.3450928</v>
      </c>
      <c r="D1219">
        <v>1648.3004149999999</v>
      </c>
      <c r="E1219">
        <v>828.74981689000003</v>
      </c>
      <c r="F1219">
        <v>597.23919678000004</v>
      </c>
      <c r="G1219">
        <v>80</v>
      </c>
      <c r="H1219">
        <v>79.947563170999999</v>
      </c>
      <c r="I1219">
        <v>50</v>
      </c>
      <c r="J1219">
        <v>35.227554321</v>
      </c>
      <c r="K1219">
        <v>2400</v>
      </c>
      <c r="L1219">
        <v>0</v>
      </c>
      <c r="M1219">
        <v>0</v>
      </c>
      <c r="N1219">
        <v>2400</v>
      </c>
    </row>
    <row r="1220" spans="1:14" x14ac:dyDescent="0.25">
      <c r="A1220">
        <v>906.16633899999999</v>
      </c>
      <c r="B1220" s="1">
        <f>DATE(2012,10,23) + TIME(3,59,31)</f>
        <v>41205.166331018518</v>
      </c>
      <c r="C1220">
        <v>1774.996582</v>
      </c>
      <c r="D1220">
        <v>1647.9548339999999</v>
      </c>
      <c r="E1220">
        <v>828.58520508000004</v>
      </c>
      <c r="F1220">
        <v>596.82525635000002</v>
      </c>
      <c r="G1220">
        <v>80</v>
      </c>
      <c r="H1220">
        <v>79.947677612000007</v>
      </c>
      <c r="I1220">
        <v>50</v>
      </c>
      <c r="J1220">
        <v>35.156482697000001</v>
      </c>
      <c r="K1220">
        <v>2400</v>
      </c>
      <c r="L1220">
        <v>0</v>
      </c>
      <c r="M1220">
        <v>0</v>
      </c>
      <c r="N1220">
        <v>2400</v>
      </c>
    </row>
    <row r="1221" spans="1:14" x14ac:dyDescent="0.25">
      <c r="A1221">
        <v>908.55312400000003</v>
      </c>
      <c r="B1221" s="1">
        <f>DATE(2012,10,25) + TIME(13,16,29)</f>
        <v>41207.553113425929</v>
      </c>
      <c r="C1221">
        <v>1774.3546143000001</v>
      </c>
      <c r="D1221">
        <v>1647.3184814000001</v>
      </c>
      <c r="E1221">
        <v>828.26147461000005</v>
      </c>
      <c r="F1221">
        <v>596.19708251999998</v>
      </c>
      <c r="G1221">
        <v>80</v>
      </c>
      <c r="H1221">
        <v>79.947761536000002</v>
      </c>
      <c r="I1221">
        <v>50</v>
      </c>
      <c r="J1221">
        <v>35.064483643000003</v>
      </c>
      <c r="K1221">
        <v>2400</v>
      </c>
      <c r="L1221">
        <v>0</v>
      </c>
      <c r="M1221">
        <v>0</v>
      </c>
      <c r="N1221">
        <v>2400</v>
      </c>
    </row>
    <row r="1222" spans="1:14" x14ac:dyDescent="0.25">
      <c r="A1222">
        <v>910.97769600000004</v>
      </c>
      <c r="B1222" s="1">
        <f>DATE(2012,10,27) + TIME(23,27,52)</f>
        <v>41209.977685185186</v>
      </c>
      <c r="C1222">
        <v>1773.7011719</v>
      </c>
      <c r="D1222">
        <v>1646.6706543</v>
      </c>
      <c r="E1222">
        <v>828.00488281000003</v>
      </c>
      <c r="F1222">
        <v>595.65911864999998</v>
      </c>
      <c r="G1222">
        <v>80</v>
      </c>
      <c r="H1222">
        <v>79.947860718000001</v>
      </c>
      <c r="I1222">
        <v>50</v>
      </c>
      <c r="J1222">
        <v>34.974594115999999</v>
      </c>
      <c r="K1222">
        <v>2400</v>
      </c>
      <c r="L1222">
        <v>0</v>
      </c>
      <c r="M1222">
        <v>0</v>
      </c>
      <c r="N1222">
        <v>2400</v>
      </c>
    </row>
    <row r="1223" spans="1:14" x14ac:dyDescent="0.25">
      <c r="A1223">
        <v>913.42917399999999</v>
      </c>
      <c r="B1223" s="1">
        <f>DATE(2012,10,30) + TIME(10,18,0)</f>
        <v>41212.429166666669</v>
      </c>
      <c r="C1223">
        <v>1773.0432129000001</v>
      </c>
      <c r="D1223">
        <v>1646.0183105000001</v>
      </c>
      <c r="E1223">
        <v>827.80670166000004</v>
      </c>
      <c r="F1223">
        <v>595.22662353999999</v>
      </c>
      <c r="G1223">
        <v>80</v>
      </c>
      <c r="H1223">
        <v>79.947959900000001</v>
      </c>
      <c r="I1223">
        <v>50</v>
      </c>
      <c r="J1223">
        <v>34.893001556000002</v>
      </c>
      <c r="K1223">
        <v>2400</v>
      </c>
      <c r="L1223">
        <v>0</v>
      </c>
      <c r="M1223">
        <v>0</v>
      </c>
      <c r="N1223">
        <v>2400</v>
      </c>
    </row>
    <row r="1224" spans="1:14" x14ac:dyDescent="0.25">
      <c r="A1224">
        <v>915</v>
      </c>
      <c r="B1224" s="1">
        <f>DATE(2012,11,1) + TIME(0,0,0)</f>
        <v>41214</v>
      </c>
      <c r="C1224">
        <v>1772.4039307</v>
      </c>
      <c r="D1224">
        <v>1645.3846435999999</v>
      </c>
      <c r="E1224">
        <v>827.65527343999997</v>
      </c>
      <c r="F1224">
        <v>594.92370604999996</v>
      </c>
      <c r="G1224">
        <v>80</v>
      </c>
      <c r="H1224">
        <v>79.948005675999994</v>
      </c>
      <c r="I1224">
        <v>50</v>
      </c>
      <c r="J1224">
        <v>34.831581116000002</v>
      </c>
      <c r="K1224">
        <v>2400</v>
      </c>
      <c r="L1224">
        <v>0</v>
      </c>
      <c r="M1224">
        <v>0</v>
      </c>
      <c r="N1224">
        <v>2400</v>
      </c>
    </row>
    <row r="1225" spans="1:14" x14ac:dyDescent="0.25">
      <c r="A1225">
        <v>915.000001</v>
      </c>
      <c r="B1225" s="1">
        <f>DATE(2012,11,1) + TIME(0,0,0)</f>
        <v>41214</v>
      </c>
      <c r="C1225">
        <v>1644.4614257999999</v>
      </c>
      <c r="D1225">
        <v>1518.3342285000001</v>
      </c>
      <c r="E1225">
        <v>1059.9490966999999</v>
      </c>
      <c r="F1225">
        <v>828.48834228999999</v>
      </c>
      <c r="G1225">
        <v>80</v>
      </c>
      <c r="H1225">
        <v>79.947875976999995</v>
      </c>
      <c r="I1225">
        <v>50</v>
      </c>
      <c r="J1225">
        <v>34.831691741999997</v>
      </c>
      <c r="K1225">
        <v>0</v>
      </c>
      <c r="L1225">
        <v>2400</v>
      </c>
      <c r="M1225">
        <v>2400</v>
      </c>
      <c r="N1225">
        <v>0</v>
      </c>
    </row>
    <row r="1226" spans="1:14" x14ac:dyDescent="0.25">
      <c r="A1226">
        <v>915.00000399999999</v>
      </c>
      <c r="B1226" s="1">
        <f>DATE(2012,11,1) + TIME(0,0,0)</f>
        <v>41214</v>
      </c>
      <c r="C1226">
        <v>1641.7463379000001</v>
      </c>
      <c r="D1226">
        <v>1515.6173096</v>
      </c>
      <c r="E1226">
        <v>1062.6367187999999</v>
      </c>
      <c r="F1226">
        <v>830.96441649999997</v>
      </c>
      <c r="G1226">
        <v>80</v>
      </c>
      <c r="H1226">
        <v>79.947486877000003</v>
      </c>
      <c r="I1226">
        <v>50</v>
      </c>
      <c r="J1226">
        <v>34.832027435000001</v>
      </c>
      <c r="K1226">
        <v>0</v>
      </c>
      <c r="L1226">
        <v>2400</v>
      </c>
      <c r="M1226">
        <v>2400</v>
      </c>
      <c r="N1226">
        <v>0</v>
      </c>
    </row>
    <row r="1227" spans="1:14" x14ac:dyDescent="0.25">
      <c r="A1227">
        <v>915.00001299999997</v>
      </c>
      <c r="B1227" s="1">
        <f>DATE(2012,11,1) + TIME(0,0,1)</f>
        <v>41214.000011574077</v>
      </c>
      <c r="C1227">
        <v>1634.0565185999999</v>
      </c>
      <c r="D1227">
        <v>1507.9229736</v>
      </c>
      <c r="E1227">
        <v>1070.4519043</v>
      </c>
      <c r="F1227">
        <v>838.19281006000006</v>
      </c>
      <c r="G1227">
        <v>80</v>
      </c>
      <c r="H1227">
        <v>79.946395874000004</v>
      </c>
      <c r="I1227">
        <v>50</v>
      </c>
      <c r="J1227">
        <v>34.833015441999997</v>
      </c>
      <c r="K1227">
        <v>0</v>
      </c>
      <c r="L1227">
        <v>2400</v>
      </c>
      <c r="M1227">
        <v>2400</v>
      </c>
      <c r="N1227">
        <v>0</v>
      </c>
    </row>
    <row r="1228" spans="1:14" x14ac:dyDescent="0.25">
      <c r="A1228">
        <v>915.00004000000001</v>
      </c>
      <c r="B1228" s="1">
        <f>DATE(2012,11,1) + TIME(0,0,3)</f>
        <v>41214.000034722223</v>
      </c>
      <c r="C1228">
        <v>1614.3114014</v>
      </c>
      <c r="D1228">
        <v>1488.1678466999999</v>
      </c>
      <c r="E1228">
        <v>1091.9183350000001</v>
      </c>
      <c r="F1228">
        <v>858.25134276999995</v>
      </c>
      <c r="G1228">
        <v>80</v>
      </c>
      <c r="H1228">
        <v>79.943580627000003</v>
      </c>
      <c r="I1228">
        <v>50</v>
      </c>
      <c r="J1228">
        <v>34.835792542</v>
      </c>
      <c r="K1228">
        <v>0</v>
      </c>
      <c r="L1228">
        <v>2400</v>
      </c>
      <c r="M1228">
        <v>2400</v>
      </c>
      <c r="N1228">
        <v>0</v>
      </c>
    </row>
    <row r="1229" spans="1:14" x14ac:dyDescent="0.25">
      <c r="A1229">
        <v>915.00012100000004</v>
      </c>
      <c r="B1229" s="1">
        <f>DATE(2012,11,1) + TIME(0,0,10)</f>
        <v>41214.000115740739</v>
      </c>
      <c r="C1229">
        <v>1573.2093506000001</v>
      </c>
      <c r="D1229">
        <v>1447.0522461</v>
      </c>
      <c r="E1229">
        <v>1143.2406006000001</v>
      </c>
      <c r="F1229">
        <v>907.22662353999999</v>
      </c>
      <c r="G1229">
        <v>80</v>
      </c>
      <c r="H1229">
        <v>79.937721252000003</v>
      </c>
      <c r="I1229">
        <v>50</v>
      </c>
      <c r="J1229">
        <v>34.842834473000003</v>
      </c>
      <c r="K1229">
        <v>0</v>
      </c>
      <c r="L1229">
        <v>2400</v>
      </c>
      <c r="M1229">
        <v>2400</v>
      </c>
      <c r="N1229">
        <v>0</v>
      </c>
    </row>
    <row r="1230" spans="1:14" x14ac:dyDescent="0.25">
      <c r="A1230">
        <v>915.00036399999999</v>
      </c>
      <c r="B1230" s="1">
        <f>DATE(2012,11,1) + TIME(0,0,31)</f>
        <v>41214.000358796293</v>
      </c>
      <c r="C1230">
        <v>1510.8088379000001</v>
      </c>
      <c r="D1230">
        <v>1384.6647949000001</v>
      </c>
      <c r="E1230">
        <v>1237.440918</v>
      </c>
      <c r="F1230">
        <v>999.84796143000005</v>
      </c>
      <c r="G1230">
        <v>80</v>
      </c>
      <c r="H1230">
        <v>79.928810119999994</v>
      </c>
      <c r="I1230">
        <v>50</v>
      </c>
      <c r="J1230">
        <v>34.857696533000002</v>
      </c>
      <c r="K1230">
        <v>0</v>
      </c>
      <c r="L1230">
        <v>2400</v>
      </c>
      <c r="M1230">
        <v>2400</v>
      </c>
      <c r="N1230">
        <v>0</v>
      </c>
    </row>
    <row r="1231" spans="1:14" x14ac:dyDescent="0.25">
      <c r="A1231">
        <v>915.00109299999997</v>
      </c>
      <c r="B1231" s="1">
        <f>DATE(2012,11,1) + TIME(0,1,34)</f>
        <v>41214.001087962963</v>
      </c>
      <c r="C1231">
        <v>1439.4484863</v>
      </c>
      <c r="D1231">
        <v>1313.3572998</v>
      </c>
      <c r="E1231">
        <v>1362.5102539</v>
      </c>
      <c r="F1231">
        <v>1125.5644531</v>
      </c>
      <c r="G1231">
        <v>80</v>
      </c>
      <c r="H1231">
        <v>79.918518066000004</v>
      </c>
      <c r="I1231">
        <v>50</v>
      </c>
      <c r="J1231">
        <v>34.884548187</v>
      </c>
      <c r="K1231">
        <v>0</v>
      </c>
      <c r="L1231">
        <v>2400</v>
      </c>
      <c r="M1231">
        <v>2400</v>
      </c>
      <c r="N1231">
        <v>0</v>
      </c>
    </row>
    <row r="1232" spans="1:14" x14ac:dyDescent="0.25">
      <c r="A1232">
        <v>915.00328000000002</v>
      </c>
      <c r="B1232" s="1">
        <f>DATE(2012,11,1) + TIME(0,4,43)</f>
        <v>41214.003275462965</v>
      </c>
      <c r="C1232">
        <v>1367.0081786999999</v>
      </c>
      <c r="D1232">
        <v>1241.0200195</v>
      </c>
      <c r="E1232">
        <v>1496.6390381000001</v>
      </c>
      <c r="F1232">
        <v>1261.2235106999999</v>
      </c>
      <c r="G1232">
        <v>80</v>
      </c>
      <c r="H1232">
        <v>79.907760620000005</v>
      </c>
      <c r="I1232">
        <v>50</v>
      </c>
      <c r="J1232">
        <v>34.936668396000002</v>
      </c>
      <c r="K1232">
        <v>0</v>
      </c>
      <c r="L1232">
        <v>2400</v>
      </c>
      <c r="M1232">
        <v>2400</v>
      </c>
      <c r="N1232">
        <v>0</v>
      </c>
    </row>
    <row r="1233" spans="1:14" x14ac:dyDescent="0.25">
      <c r="A1233">
        <v>915.00984100000005</v>
      </c>
      <c r="B1233" s="1">
        <f>DATE(2012,11,1) + TIME(0,14,10)</f>
        <v>41214.009837962964</v>
      </c>
      <c r="C1233">
        <v>1294.0203856999999</v>
      </c>
      <c r="D1233">
        <v>1168.1651611</v>
      </c>
      <c r="E1233">
        <v>1633.3481445</v>
      </c>
      <c r="F1233">
        <v>1399.6243896000001</v>
      </c>
      <c r="G1233">
        <v>80</v>
      </c>
      <c r="H1233">
        <v>79.895996093999997</v>
      </c>
      <c r="I1233">
        <v>50</v>
      </c>
      <c r="J1233">
        <v>35.060287475999999</v>
      </c>
      <c r="K1233">
        <v>0</v>
      </c>
      <c r="L1233">
        <v>2400</v>
      </c>
      <c r="M1233">
        <v>2400</v>
      </c>
      <c r="N1233">
        <v>0</v>
      </c>
    </row>
    <row r="1234" spans="1:14" x14ac:dyDescent="0.25">
      <c r="A1234">
        <v>915.02952400000004</v>
      </c>
      <c r="B1234" s="1">
        <f>DATE(2012,11,1) + TIME(0,42,30)</f>
        <v>41214.029513888891</v>
      </c>
      <c r="C1234">
        <v>1217.7332764</v>
      </c>
      <c r="D1234">
        <v>1091.9145507999999</v>
      </c>
      <c r="E1234">
        <v>1772.3203125</v>
      </c>
      <c r="F1234">
        <v>1540.7823486</v>
      </c>
      <c r="G1234">
        <v>80</v>
      </c>
      <c r="H1234">
        <v>79.881011963000006</v>
      </c>
      <c r="I1234">
        <v>50</v>
      </c>
      <c r="J1234">
        <v>35.391040801999999</v>
      </c>
      <c r="K1234">
        <v>0</v>
      </c>
      <c r="L1234">
        <v>2400</v>
      </c>
      <c r="M1234">
        <v>2400</v>
      </c>
      <c r="N1234">
        <v>0</v>
      </c>
    </row>
    <row r="1235" spans="1:14" x14ac:dyDescent="0.25">
      <c r="A1235">
        <v>915.08589099999995</v>
      </c>
      <c r="B1235" s="1">
        <f>DATE(2012,11,1) + TIME(2,3,40)</f>
        <v>41214.085879629631</v>
      </c>
      <c r="C1235">
        <v>1139.4892577999999</v>
      </c>
      <c r="D1235">
        <v>1013.5973511</v>
      </c>
      <c r="E1235">
        <v>1899.4510498</v>
      </c>
      <c r="F1235">
        <v>1671.5413818</v>
      </c>
      <c r="G1235">
        <v>80</v>
      </c>
      <c r="H1235">
        <v>79.858573914000004</v>
      </c>
      <c r="I1235">
        <v>50</v>
      </c>
      <c r="J1235">
        <v>36.253997802999997</v>
      </c>
      <c r="K1235">
        <v>0</v>
      </c>
      <c r="L1235">
        <v>2400</v>
      </c>
      <c r="M1235">
        <v>2400</v>
      </c>
      <c r="N1235">
        <v>0</v>
      </c>
    </row>
    <row r="1236" spans="1:14" x14ac:dyDescent="0.25">
      <c r="A1236">
        <v>915.14764300000002</v>
      </c>
      <c r="B1236" s="1">
        <f>DATE(2012,11,1) + TIME(3,32,36)</f>
        <v>41214.147638888891</v>
      </c>
      <c r="C1236">
        <v>1096.9013672000001</v>
      </c>
      <c r="D1236">
        <v>970.96643066000001</v>
      </c>
      <c r="E1236">
        <v>1959.8913574000001</v>
      </c>
      <c r="F1236">
        <v>1735.1619873</v>
      </c>
      <c r="G1236">
        <v>80</v>
      </c>
      <c r="H1236">
        <v>79.839981078999998</v>
      </c>
      <c r="I1236">
        <v>50</v>
      </c>
      <c r="J1236">
        <v>37.133560181</v>
      </c>
      <c r="K1236">
        <v>0</v>
      </c>
      <c r="L1236">
        <v>2400</v>
      </c>
      <c r="M1236">
        <v>2400</v>
      </c>
      <c r="N1236">
        <v>0</v>
      </c>
    </row>
    <row r="1237" spans="1:14" x14ac:dyDescent="0.25">
      <c r="A1237">
        <v>915.21391900000003</v>
      </c>
      <c r="B1237" s="1">
        <f>DATE(2012,11,1) + TIME(5,8,2)</f>
        <v>41214.213912037034</v>
      </c>
      <c r="C1237">
        <v>1070.7037353999999</v>
      </c>
      <c r="D1237">
        <v>944.74560546999999</v>
      </c>
      <c r="E1237">
        <v>1992.2371826000001</v>
      </c>
      <c r="F1237">
        <v>1770.4898682</v>
      </c>
      <c r="G1237">
        <v>80</v>
      </c>
      <c r="H1237">
        <v>79.822868346999996</v>
      </c>
      <c r="I1237">
        <v>50</v>
      </c>
      <c r="J1237">
        <v>38.013198852999999</v>
      </c>
      <c r="K1237">
        <v>0</v>
      </c>
      <c r="L1237">
        <v>2400</v>
      </c>
      <c r="M1237">
        <v>2400</v>
      </c>
      <c r="N1237">
        <v>0</v>
      </c>
    </row>
    <row r="1238" spans="1:14" x14ac:dyDescent="0.25">
      <c r="A1238">
        <v>915.28492200000005</v>
      </c>
      <c r="B1238" s="1">
        <f>DATE(2012,11,1) + TIME(6,50,17)</f>
        <v>41214.284918981481</v>
      </c>
      <c r="C1238">
        <v>1053.4459228999999</v>
      </c>
      <c r="D1238">
        <v>927.47302246000004</v>
      </c>
      <c r="E1238">
        <v>2010.4157714999999</v>
      </c>
      <c r="F1238">
        <v>1791.5162353999999</v>
      </c>
      <c r="G1238">
        <v>80</v>
      </c>
      <c r="H1238">
        <v>79.806251525999997</v>
      </c>
      <c r="I1238">
        <v>50</v>
      </c>
      <c r="J1238">
        <v>38.888694762999997</v>
      </c>
      <c r="K1238">
        <v>0</v>
      </c>
      <c r="L1238">
        <v>2400</v>
      </c>
      <c r="M1238">
        <v>2400</v>
      </c>
      <c r="N1238">
        <v>0</v>
      </c>
    </row>
    <row r="1239" spans="1:14" x14ac:dyDescent="0.25">
      <c r="A1239">
        <v>915.36119499999995</v>
      </c>
      <c r="B1239" s="1">
        <f>DATE(2012,11,1) + TIME(8,40,7)</f>
        <v>41214.361192129632</v>
      </c>
      <c r="C1239">
        <v>1041.6472168</v>
      </c>
      <c r="D1239">
        <v>915.66308593999997</v>
      </c>
      <c r="E1239">
        <v>2020.5189209</v>
      </c>
      <c r="F1239">
        <v>1804.3538818</v>
      </c>
      <c r="G1239">
        <v>80</v>
      </c>
      <c r="H1239">
        <v>79.789604186999995</v>
      </c>
      <c r="I1239">
        <v>50</v>
      </c>
      <c r="J1239">
        <v>39.758243561</v>
      </c>
      <c r="K1239">
        <v>0</v>
      </c>
      <c r="L1239">
        <v>2400</v>
      </c>
      <c r="M1239">
        <v>2400</v>
      </c>
      <c r="N1239">
        <v>0</v>
      </c>
    </row>
    <row r="1240" spans="1:14" x14ac:dyDescent="0.25">
      <c r="A1240">
        <v>915.44350999999995</v>
      </c>
      <c r="B1240" s="1">
        <f>DATE(2012,11,1) + TIME(10,38,39)</f>
        <v>41214.443506944444</v>
      </c>
      <c r="C1240">
        <v>1033.4366454999999</v>
      </c>
      <c r="D1240">
        <v>907.44281006000006</v>
      </c>
      <c r="E1240">
        <v>2025.6420897999999</v>
      </c>
      <c r="F1240">
        <v>1812.1079102000001</v>
      </c>
      <c r="G1240">
        <v>80</v>
      </c>
      <c r="H1240">
        <v>79.772575377999999</v>
      </c>
      <c r="I1240">
        <v>50</v>
      </c>
      <c r="J1240">
        <v>40.620735168000003</v>
      </c>
      <c r="K1240">
        <v>0</v>
      </c>
      <c r="L1240">
        <v>2400</v>
      </c>
      <c r="M1240">
        <v>2400</v>
      </c>
      <c r="N1240">
        <v>0</v>
      </c>
    </row>
    <row r="1241" spans="1:14" x14ac:dyDescent="0.25">
      <c r="A1241">
        <v>915.53287799999998</v>
      </c>
      <c r="B1241" s="1">
        <f>DATE(2012,11,1) + TIME(12,47,20)</f>
        <v>41214.532870370371</v>
      </c>
      <c r="C1241">
        <v>1027.6895752</v>
      </c>
      <c r="D1241">
        <v>901.68688965000001</v>
      </c>
      <c r="E1241">
        <v>2027.5565185999999</v>
      </c>
      <c r="F1241">
        <v>1816.5532227000001</v>
      </c>
      <c r="G1241">
        <v>80</v>
      </c>
      <c r="H1241">
        <v>79.754882812000005</v>
      </c>
      <c r="I1241">
        <v>50</v>
      </c>
      <c r="J1241">
        <v>41.474914550999998</v>
      </c>
      <c r="K1241">
        <v>0</v>
      </c>
      <c r="L1241">
        <v>2400</v>
      </c>
      <c r="M1241">
        <v>2400</v>
      </c>
      <c r="N1241">
        <v>0</v>
      </c>
    </row>
    <row r="1242" spans="1:14" x14ac:dyDescent="0.25">
      <c r="A1242">
        <v>915.63058599999999</v>
      </c>
      <c r="B1242" s="1">
        <f>DATE(2012,11,1) + TIME(15,8,2)</f>
        <v>41214.630578703705</v>
      </c>
      <c r="C1242">
        <v>1023.6707764</v>
      </c>
      <c r="D1242">
        <v>897.65960693</v>
      </c>
      <c r="E1242">
        <v>2027.3718262</v>
      </c>
      <c r="F1242">
        <v>1818.8007812000001</v>
      </c>
      <c r="G1242">
        <v>80</v>
      </c>
      <c r="H1242">
        <v>79.736259459999999</v>
      </c>
      <c r="I1242">
        <v>50</v>
      </c>
      <c r="J1242">
        <v>42.319309234999999</v>
      </c>
      <c r="K1242">
        <v>0</v>
      </c>
      <c r="L1242">
        <v>2400</v>
      </c>
      <c r="M1242">
        <v>2400</v>
      </c>
      <c r="N1242">
        <v>0</v>
      </c>
    </row>
    <row r="1243" spans="1:14" x14ac:dyDescent="0.25">
      <c r="A1243">
        <v>915.73835399999996</v>
      </c>
      <c r="B1243" s="1">
        <f>DATE(2012,11,1) + TIME(17,43,13)</f>
        <v>41214.738344907404</v>
      </c>
      <c r="C1243">
        <v>1020.8709106</v>
      </c>
      <c r="D1243">
        <v>894.85119628999996</v>
      </c>
      <c r="E1243">
        <v>2025.8269043</v>
      </c>
      <c r="F1243">
        <v>1819.590332</v>
      </c>
      <c r="G1243">
        <v>80</v>
      </c>
      <c r="H1243">
        <v>79.716407775999997</v>
      </c>
      <c r="I1243">
        <v>50</v>
      </c>
      <c r="J1243">
        <v>43.152469635000003</v>
      </c>
      <c r="K1243">
        <v>0</v>
      </c>
      <c r="L1243">
        <v>2400</v>
      </c>
      <c r="M1243">
        <v>2400</v>
      </c>
      <c r="N1243">
        <v>0</v>
      </c>
    </row>
    <row r="1244" spans="1:14" x14ac:dyDescent="0.25">
      <c r="A1244">
        <v>915.85847200000001</v>
      </c>
      <c r="B1244" s="1">
        <f>DATE(2012,11,1) + TIME(20,36,12)</f>
        <v>41214.858472222222</v>
      </c>
      <c r="C1244">
        <v>1018.9277344</v>
      </c>
      <c r="D1244">
        <v>892.89916991999996</v>
      </c>
      <c r="E1244">
        <v>2023.4295654</v>
      </c>
      <c r="F1244">
        <v>1819.4282227000001</v>
      </c>
      <c r="G1244">
        <v>80</v>
      </c>
      <c r="H1244">
        <v>79.694999695000007</v>
      </c>
      <c r="I1244">
        <v>50</v>
      </c>
      <c r="J1244">
        <v>43.972541808999999</v>
      </c>
      <c r="K1244">
        <v>0</v>
      </c>
      <c r="L1244">
        <v>2400</v>
      </c>
      <c r="M1244">
        <v>2400</v>
      </c>
      <c r="N1244">
        <v>0</v>
      </c>
    </row>
    <row r="1245" spans="1:14" x14ac:dyDescent="0.25">
      <c r="A1245">
        <v>915.99407299999996</v>
      </c>
      <c r="B1245" s="1">
        <f>DATE(2012,11,1) + TIME(23,51,27)</f>
        <v>41214.994062500002</v>
      </c>
      <c r="C1245">
        <v>1017.5813599000001</v>
      </c>
      <c r="D1245">
        <v>891.54345703000001</v>
      </c>
      <c r="E1245">
        <v>2020.5317382999999</v>
      </c>
      <c r="F1245">
        <v>1818.6635742000001</v>
      </c>
      <c r="G1245">
        <v>80</v>
      </c>
      <c r="H1245">
        <v>79.671592712000006</v>
      </c>
      <c r="I1245">
        <v>50</v>
      </c>
      <c r="J1245">
        <v>44.777091980000002</v>
      </c>
      <c r="K1245">
        <v>0</v>
      </c>
      <c r="L1245">
        <v>2400</v>
      </c>
      <c r="M1245">
        <v>2400</v>
      </c>
      <c r="N1245">
        <v>0</v>
      </c>
    </row>
    <row r="1246" spans="1:14" x14ac:dyDescent="0.25">
      <c r="A1246">
        <v>916.149587</v>
      </c>
      <c r="B1246" s="1">
        <f>DATE(2012,11,2) + TIME(3,35,24)</f>
        <v>41215.149583333332</v>
      </c>
      <c r="C1246">
        <v>1016.6461182</v>
      </c>
      <c r="D1246">
        <v>890.59808350000003</v>
      </c>
      <c r="E1246">
        <v>2017.3743896000001</v>
      </c>
      <c r="F1246">
        <v>1817.5322266000001</v>
      </c>
      <c r="G1246">
        <v>80</v>
      </c>
      <c r="H1246">
        <v>79.645622252999999</v>
      </c>
      <c r="I1246">
        <v>50</v>
      </c>
      <c r="J1246">
        <v>45.562900542999998</v>
      </c>
      <c r="K1246">
        <v>0</v>
      </c>
      <c r="L1246">
        <v>2400</v>
      </c>
      <c r="M1246">
        <v>2400</v>
      </c>
      <c r="N1246">
        <v>0</v>
      </c>
    </row>
    <row r="1247" spans="1:14" x14ac:dyDescent="0.25">
      <c r="A1247">
        <v>916.33153400000003</v>
      </c>
      <c r="B1247" s="1">
        <f>DATE(2012,11,2) + TIME(7,57,24)</f>
        <v>41215.33152777778</v>
      </c>
      <c r="C1247">
        <v>1015.9907227</v>
      </c>
      <c r="D1247">
        <v>889.93139647999999</v>
      </c>
      <c r="E1247">
        <v>2014.1174315999999</v>
      </c>
      <c r="F1247">
        <v>1816.1854248</v>
      </c>
      <c r="G1247">
        <v>80</v>
      </c>
      <c r="H1247">
        <v>79.616310119999994</v>
      </c>
      <c r="I1247">
        <v>50</v>
      </c>
      <c r="J1247">
        <v>46.325588226000001</v>
      </c>
      <c r="K1247">
        <v>0</v>
      </c>
      <c r="L1247">
        <v>2400</v>
      </c>
      <c r="M1247">
        <v>2400</v>
      </c>
      <c r="N1247">
        <v>0</v>
      </c>
    </row>
    <row r="1248" spans="1:14" x14ac:dyDescent="0.25">
      <c r="A1248">
        <v>916.54999699999996</v>
      </c>
      <c r="B1248" s="1">
        <f>DATE(2012,11,2) + TIME(13,11,59)</f>
        <v>41215.549988425926</v>
      </c>
      <c r="C1248">
        <v>1015.5234985</v>
      </c>
      <c r="D1248">
        <v>889.45117187999995</v>
      </c>
      <c r="E1248">
        <v>2010.8608397999999</v>
      </c>
      <c r="F1248">
        <v>1814.7100829999999</v>
      </c>
      <c r="G1248">
        <v>80</v>
      </c>
      <c r="H1248">
        <v>79.582489014000004</v>
      </c>
      <c r="I1248">
        <v>50</v>
      </c>
      <c r="J1248">
        <v>47.059028625000003</v>
      </c>
      <c r="K1248">
        <v>0</v>
      </c>
      <c r="L1248">
        <v>2400</v>
      </c>
      <c r="M1248">
        <v>2400</v>
      </c>
      <c r="N1248">
        <v>0</v>
      </c>
    </row>
    <row r="1249" spans="1:14" x14ac:dyDescent="0.25">
      <c r="A1249">
        <v>916.78008199999999</v>
      </c>
      <c r="B1249" s="1">
        <f>DATE(2012,11,2) + TIME(18,43,19)</f>
        <v>41215.780081018522</v>
      </c>
      <c r="C1249">
        <v>1015.2037354</v>
      </c>
      <c r="D1249">
        <v>889.12011718999997</v>
      </c>
      <c r="E1249">
        <v>2007.9680175999999</v>
      </c>
      <c r="F1249">
        <v>1813.2407227000001</v>
      </c>
      <c r="G1249">
        <v>80</v>
      </c>
      <c r="H1249">
        <v>79.547164917000003</v>
      </c>
      <c r="I1249">
        <v>50</v>
      </c>
      <c r="J1249">
        <v>47.670406342</v>
      </c>
      <c r="K1249">
        <v>0</v>
      </c>
      <c r="L1249">
        <v>2400</v>
      </c>
      <c r="M1249">
        <v>2400</v>
      </c>
      <c r="N1249">
        <v>0</v>
      </c>
    </row>
    <row r="1250" spans="1:14" x14ac:dyDescent="0.25">
      <c r="A1250">
        <v>917.01522</v>
      </c>
      <c r="B1250" s="1">
        <f>DATE(2012,11,3) + TIME(0,21,55)</f>
        <v>41216.015219907407</v>
      </c>
      <c r="C1250">
        <v>1014.9749756</v>
      </c>
      <c r="D1250">
        <v>888.88024901999995</v>
      </c>
      <c r="E1250">
        <v>2005.5102539</v>
      </c>
      <c r="F1250">
        <v>1811.8852539</v>
      </c>
      <c r="G1250">
        <v>80</v>
      </c>
      <c r="H1250">
        <v>79.511116028000004</v>
      </c>
      <c r="I1250">
        <v>50</v>
      </c>
      <c r="J1250">
        <v>48.162075043000002</v>
      </c>
      <c r="K1250">
        <v>0</v>
      </c>
      <c r="L1250">
        <v>2400</v>
      </c>
      <c r="M1250">
        <v>2400</v>
      </c>
      <c r="N1250">
        <v>0</v>
      </c>
    </row>
    <row r="1251" spans="1:14" x14ac:dyDescent="0.25">
      <c r="A1251">
        <v>917.25966800000003</v>
      </c>
      <c r="B1251" s="1">
        <f>DATE(2012,11,3) + TIME(6,13,55)</f>
        <v>41216.259664351855</v>
      </c>
      <c r="C1251">
        <v>1014.7984009</v>
      </c>
      <c r="D1251">
        <v>888.69177246000004</v>
      </c>
      <c r="E1251">
        <v>2003.4066161999999</v>
      </c>
      <c r="F1251">
        <v>1810.6439209</v>
      </c>
      <c r="G1251">
        <v>80</v>
      </c>
      <c r="H1251">
        <v>79.473892211999996</v>
      </c>
      <c r="I1251">
        <v>50</v>
      </c>
      <c r="J1251">
        <v>48.560535430999998</v>
      </c>
      <c r="K1251">
        <v>0</v>
      </c>
      <c r="L1251">
        <v>2400</v>
      </c>
      <c r="M1251">
        <v>2400</v>
      </c>
      <c r="N1251">
        <v>0</v>
      </c>
    </row>
    <row r="1252" spans="1:14" x14ac:dyDescent="0.25">
      <c r="A1252">
        <v>917.51671499999998</v>
      </c>
      <c r="B1252" s="1">
        <f>DATE(2012,11,3) + TIME(12,24,4)</f>
        <v>41216.516712962963</v>
      </c>
      <c r="C1252">
        <v>1014.651062</v>
      </c>
      <c r="D1252">
        <v>888.53179932</v>
      </c>
      <c r="E1252">
        <v>2001.5765381000001</v>
      </c>
      <c r="F1252">
        <v>1809.4842529</v>
      </c>
      <c r="G1252">
        <v>80</v>
      </c>
      <c r="H1252">
        <v>79.435119628999999</v>
      </c>
      <c r="I1252">
        <v>50</v>
      </c>
      <c r="J1252">
        <v>48.883235931000002</v>
      </c>
      <c r="K1252">
        <v>0</v>
      </c>
      <c r="L1252">
        <v>2400</v>
      </c>
      <c r="M1252">
        <v>2400</v>
      </c>
      <c r="N1252">
        <v>0</v>
      </c>
    </row>
    <row r="1253" spans="1:14" x14ac:dyDescent="0.25">
      <c r="A1253">
        <v>917.79012399999999</v>
      </c>
      <c r="B1253" s="1">
        <f>DATE(2012,11,3) + TIME(18,57,46)</f>
        <v>41216.79011574074</v>
      </c>
      <c r="C1253">
        <v>1014.5189819</v>
      </c>
      <c r="D1253">
        <v>888.38623046999999</v>
      </c>
      <c r="E1253">
        <v>1999.9592285000001</v>
      </c>
      <c r="F1253">
        <v>1808.3820800999999</v>
      </c>
      <c r="G1253">
        <v>80</v>
      </c>
      <c r="H1253">
        <v>79.394378661999994</v>
      </c>
      <c r="I1253">
        <v>50</v>
      </c>
      <c r="J1253">
        <v>49.143623351999999</v>
      </c>
      <c r="K1253">
        <v>0</v>
      </c>
      <c r="L1253">
        <v>2400</v>
      </c>
      <c r="M1253">
        <v>2400</v>
      </c>
      <c r="N1253">
        <v>0</v>
      </c>
    </row>
    <row r="1254" spans="1:14" x14ac:dyDescent="0.25">
      <c r="A1254">
        <v>918.08445400000005</v>
      </c>
      <c r="B1254" s="1">
        <f>DATE(2012,11,4) + TIME(2,1,36)</f>
        <v>41217.084444444445</v>
      </c>
      <c r="C1254">
        <v>1014.3932495</v>
      </c>
      <c r="D1254">
        <v>888.24603271000001</v>
      </c>
      <c r="E1254">
        <v>1998.5061035000001</v>
      </c>
      <c r="F1254">
        <v>1807.3170166</v>
      </c>
      <c r="G1254">
        <v>80</v>
      </c>
      <c r="H1254">
        <v>79.351150512999993</v>
      </c>
      <c r="I1254">
        <v>50</v>
      </c>
      <c r="J1254">
        <v>49.352333068999997</v>
      </c>
      <c r="K1254">
        <v>0</v>
      </c>
      <c r="L1254">
        <v>2400</v>
      </c>
      <c r="M1254">
        <v>2400</v>
      </c>
      <c r="N1254">
        <v>0</v>
      </c>
    </row>
    <row r="1255" spans="1:14" x14ac:dyDescent="0.25">
      <c r="A1255">
        <v>918.40302299999996</v>
      </c>
      <c r="B1255" s="1">
        <f>DATE(2012,11,4) + TIME(9,40,21)</f>
        <v>41217.403020833335</v>
      </c>
      <c r="C1255">
        <v>1014.2674561</v>
      </c>
      <c r="D1255">
        <v>888.10485840000001</v>
      </c>
      <c r="E1255">
        <v>1997.1804199000001</v>
      </c>
      <c r="F1255">
        <v>1806.2718506000001</v>
      </c>
      <c r="G1255">
        <v>80</v>
      </c>
      <c r="H1255">
        <v>79.305053710999999</v>
      </c>
      <c r="I1255">
        <v>50</v>
      </c>
      <c r="J1255">
        <v>49.517032622999999</v>
      </c>
      <c r="K1255">
        <v>0</v>
      </c>
      <c r="L1255">
        <v>2400</v>
      </c>
      <c r="M1255">
        <v>2400</v>
      </c>
      <c r="N1255">
        <v>0</v>
      </c>
    </row>
    <row r="1256" spans="1:14" x14ac:dyDescent="0.25">
      <c r="A1256">
        <v>918.74735699999997</v>
      </c>
      <c r="B1256" s="1">
        <f>DATE(2012,11,4) + TIME(17,56,11)</f>
        <v>41217.747349537036</v>
      </c>
      <c r="C1256">
        <v>1014.1373291</v>
      </c>
      <c r="D1256">
        <v>887.95843506000006</v>
      </c>
      <c r="E1256">
        <v>1995.956543</v>
      </c>
      <c r="F1256">
        <v>1805.2374268000001</v>
      </c>
      <c r="G1256">
        <v>80</v>
      </c>
      <c r="H1256">
        <v>79.255859375</v>
      </c>
      <c r="I1256">
        <v>50</v>
      </c>
      <c r="J1256">
        <v>49.644062042000002</v>
      </c>
      <c r="K1256">
        <v>0</v>
      </c>
      <c r="L1256">
        <v>2400</v>
      </c>
      <c r="M1256">
        <v>2400</v>
      </c>
      <c r="N1256">
        <v>0</v>
      </c>
    </row>
    <row r="1257" spans="1:14" x14ac:dyDescent="0.25">
      <c r="A1257">
        <v>919.12432999999999</v>
      </c>
      <c r="B1257" s="1">
        <f>DATE(2012,11,5) + TIME(2,59,2)</f>
        <v>41218.124328703707</v>
      </c>
      <c r="C1257">
        <v>1014.0003052</v>
      </c>
      <c r="D1257">
        <v>887.80358887</v>
      </c>
      <c r="E1257">
        <v>1994.8125</v>
      </c>
      <c r="F1257">
        <v>1804.2109375</v>
      </c>
      <c r="G1257">
        <v>80</v>
      </c>
      <c r="H1257">
        <v>79.202865600999999</v>
      </c>
      <c r="I1257">
        <v>50</v>
      </c>
      <c r="J1257">
        <v>49.740715027</v>
      </c>
      <c r="K1257">
        <v>0</v>
      </c>
      <c r="L1257">
        <v>2400</v>
      </c>
      <c r="M1257">
        <v>2400</v>
      </c>
      <c r="N1257">
        <v>0</v>
      </c>
    </row>
    <row r="1258" spans="1:14" x14ac:dyDescent="0.25">
      <c r="A1258">
        <v>919.54242399999998</v>
      </c>
      <c r="B1258" s="1">
        <f>DATE(2012,11,5) + TIME(13,1,5)</f>
        <v>41218.54241898148</v>
      </c>
      <c r="C1258">
        <v>1013.8527222</v>
      </c>
      <c r="D1258">
        <v>887.63653564000003</v>
      </c>
      <c r="E1258">
        <v>1993.7200928</v>
      </c>
      <c r="F1258">
        <v>1803.1778564000001</v>
      </c>
      <c r="G1258">
        <v>80</v>
      </c>
      <c r="H1258">
        <v>79.145164489999999</v>
      </c>
      <c r="I1258">
        <v>50</v>
      </c>
      <c r="J1258">
        <v>49.812900542999998</v>
      </c>
      <c r="K1258">
        <v>0</v>
      </c>
      <c r="L1258">
        <v>2400</v>
      </c>
      <c r="M1258">
        <v>2400</v>
      </c>
      <c r="N1258">
        <v>0</v>
      </c>
    </row>
    <row r="1259" spans="1:14" x14ac:dyDescent="0.25">
      <c r="A1259">
        <v>920.01330299999995</v>
      </c>
      <c r="B1259" s="1">
        <f>DATE(2012,11,6) + TIME(0,19,9)</f>
        <v>41219.013298611113</v>
      </c>
      <c r="C1259">
        <v>1013.6907349000001</v>
      </c>
      <c r="D1259">
        <v>887.45306396000001</v>
      </c>
      <c r="E1259">
        <v>1992.6541748</v>
      </c>
      <c r="F1259">
        <v>1802.1243896000001</v>
      </c>
      <c r="G1259">
        <v>80</v>
      </c>
      <c r="H1259">
        <v>79.081573485999996</v>
      </c>
      <c r="I1259">
        <v>50</v>
      </c>
      <c r="J1259">
        <v>49.865573883000003</v>
      </c>
      <c r="K1259">
        <v>0</v>
      </c>
      <c r="L1259">
        <v>2400</v>
      </c>
      <c r="M1259">
        <v>2400</v>
      </c>
      <c r="N1259">
        <v>0</v>
      </c>
    </row>
    <row r="1260" spans="1:14" x14ac:dyDescent="0.25">
      <c r="A1260">
        <v>920.50787500000001</v>
      </c>
      <c r="B1260" s="1">
        <f>DATE(2012,11,6) + TIME(12,11,20)</f>
        <v>41219.507870370369</v>
      </c>
      <c r="C1260">
        <v>1013.5098267</v>
      </c>
      <c r="D1260">
        <v>887.25109863</v>
      </c>
      <c r="E1260">
        <v>1991.5972899999999</v>
      </c>
      <c r="F1260">
        <v>1801.0373535000001</v>
      </c>
      <c r="G1260">
        <v>80</v>
      </c>
      <c r="H1260">
        <v>79.014198303000001</v>
      </c>
      <c r="I1260">
        <v>50</v>
      </c>
      <c r="J1260">
        <v>49.900882721000002</v>
      </c>
      <c r="K1260">
        <v>0</v>
      </c>
      <c r="L1260">
        <v>2400</v>
      </c>
      <c r="M1260">
        <v>2400</v>
      </c>
      <c r="N1260">
        <v>0</v>
      </c>
    </row>
    <row r="1261" spans="1:14" x14ac:dyDescent="0.25">
      <c r="A1261">
        <v>921.00864799999999</v>
      </c>
      <c r="B1261" s="1">
        <f>DATE(2012,11,7) + TIME(0,12,27)</f>
        <v>41220.008645833332</v>
      </c>
      <c r="C1261">
        <v>1013.3197632</v>
      </c>
      <c r="D1261">
        <v>887.03985595999995</v>
      </c>
      <c r="E1261">
        <v>1990.6026611</v>
      </c>
      <c r="F1261">
        <v>1799.9902344</v>
      </c>
      <c r="G1261">
        <v>80</v>
      </c>
      <c r="H1261">
        <v>78.944862365999995</v>
      </c>
      <c r="I1261">
        <v>50</v>
      </c>
      <c r="J1261">
        <v>49.923683167</v>
      </c>
      <c r="K1261">
        <v>0</v>
      </c>
      <c r="L1261">
        <v>2400</v>
      </c>
      <c r="M1261">
        <v>2400</v>
      </c>
      <c r="N1261">
        <v>0</v>
      </c>
    </row>
    <row r="1262" spans="1:14" x14ac:dyDescent="0.25">
      <c r="A1262">
        <v>921.52347699999996</v>
      </c>
      <c r="B1262" s="1">
        <f>DATE(2012,11,7) + TIME(12,33,48)</f>
        <v>41220.523472222223</v>
      </c>
      <c r="C1262">
        <v>1013.1274414</v>
      </c>
      <c r="D1262">
        <v>886.82464600000003</v>
      </c>
      <c r="E1262">
        <v>1989.6872559000001</v>
      </c>
      <c r="F1262">
        <v>1799.0136719</v>
      </c>
      <c r="G1262">
        <v>80</v>
      </c>
      <c r="H1262">
        <v>78.873504639000004</v>
      </c>
      <c r="I1262">
        <v>50</v>
      </c>
      <c r="J1262">
        <v>49.938552856000001</v>
      </c>
      <c r="K1262">
        <v>0</v>
      </c>
      <c r="L1262">
        <v>2400</v>
      </c>
      <c r="M1262">
        <v>2400</v>
      </c>
      <c r="N1262">
        <v>0</v>
      </c>
    </row>
    <row r="1263" spans="1:14" x14ac:dyDescent="0.25">
      <c r="A1263">
        <v>922.05975100000001</v>
      </c>
      <c r="B1263" s="1">
        <f>DATE(2012,11,8) + TIME(1,26,2)</f>
        <v>41221.059745370374</v>
      </c>
      <c r="C1263">
        <v>1012.930603</v>
      </c>
      <c r="D1263">
        <v>886.60351562000005</v>
      </c>
      <c r="E1263">
        <v>1988.8243408000001</v>
      </c>
      <c r="F1263">
        <v>1798.0850829999999</v>
      </c>
      <c r="G1263">
        <v>80</v>
      </c>
      <c r="H1263">
        <v>78.799728393999999</v>
      </c>
      <c r="I1263">
        <v>50</v>
      </c>
      <c r="J1263">
        <v>49.948295592999997</v>
      </c>
      <c r="K1263">
        <v>0</v>
      </c>
      <c r="L1263">
        <v>2400</v>
      </c>
      <c r="M1263">
        <v>2400</v>
      </c>
      <c r="N1263">
        <v>0</v>
      </c>
    </row>
    <row r="1264" spans="1:14" x14ac:dyDescent="0.25">
      <c r="A1264">
        <v>922.62509799999998</v>
      </c>
      <c r="B1264" s="1">
        <f>DATE(2012,11,8) + TIME(15,0,8)</f>
        <v>41221.625092592592</v>
      </c>
      <c r="C1264">
        <v>1012.7264404</v>
      </c>
      <c r="D1264">
        <v>886.37365723000005</v>
      </c>
      <c r="E1264">
        <v>1987.9948730000001</v>
      </c>
      <c r="F1264">
        <v>1797.1881103999999</v>
      </c>
      <c r="G1264">
        <v>80</v>
      </c>
      <c r="H1264">
        <v>78.722923279</v>
      </c>
      <c r="I1264">
        <v>50</v>
      </c>
      <c r="J1264">
        <v>49.954689025999997</v>
      </c>
      <c r="K1264">
        <v>0</v>
      </c>
      <c r="L1264">
        <v>2400</v>
      </c>
      <c r="M1264">
        <v>2400</v>
      </c>
      <c r="N1264">
        <v>0</v>
      </c>
    </row>
    <row r="1265" spans="1:14" x14ac:dyDescent="0.25">
      <c r="A1265">
        <v>923.22839199999999</v>
      </c>
      <c r="B1265" s="1">
        <f>DATE(2012,11,9) + TIME(5,28,53)</f>
        <v>41222.228391203702</v>
      </c>
      <c r="C1265">
        <v>1012.5120239</v>
      </c>
      <c r="D1265">
        <v>886.13195800999995</v>
      </c>
      <c r="E1265">
        <v>1987.1846923999999</v>
      </c>
      <c r="F1265">
        <v>1796.3094481999999</v>
      </c>
      <c r="G1265">
        <v>80</v>
      </c>
      <c r="H1265">
        <v>78.642257689999994</v>
      </c>
      <c r="I1265">
        <v>50</v>
      </c>
      <c r="J1265">
        <v>49.958881378000001</v>
      </c>
      <c r="K1265">
        <v>0</v>
      </c>
      <c r="L1265">
        <v>2400</v>
      </c>
      <c r="M1265">
        <v>2400</v>
      </c>
      <c r="N1265">
        <v>0</v>
      </c>
    </row>
    <row r="1266" spans="1:14" x14ac:dyDescent="0.25">
      <c r="A1266">
        <v>923.88054099999999</v>
      </c>
      <c r="B1266" s="1">
        <f>DATE(2012,11,9) + TIME(21,7,58)</f>
        <v>41222.880532407406</v>
      </c>
      <c r="C1266">
        <v>1012.2839966</v>
      </c>
      <c r="D1266">
        <v>885.87469481999995</v>
      </c>
      <c r="E1266">
        <v>1986.3811035000001</v>
      </c>
      <c r="F1266">
        <v>1795.4375</v>
      </c>
      <c r="G1266">
        <v>80</v>
      </c>
      <c r="H1266">
        <v>78.556671143000003</v>
      </c>
      <c r="I1266">
        <v>50</v>
      </c>
      <c r="J1266">
        <v>49.961631775000001</v>
      </c>
      <c r="K1266">
        <v>0</v>
      </c>
      <c r="L1266">
        <v>2400</v>
      </c>
      <c r="M1266">
        <v>2400</v>
      </c>
      <c r="N1266">
        <v>0</v>
      </c>
    </row>
    <row r="1267" spans="1:14" x14ac:dyDescent="0.25">
      <c r="A1267">
        <v>924.59021099999995</v>
      </c>
      <c r="B1267" s="1">
        <f>DATE(2012,11,10) + TIME(14,9,54)</f>
        <v>41223.590208333335</v>
      </c>
      <c r="C1267">
        <v>1012.0380859000001</v>
      </c>
      <c r="D1267">
        <v>885.59759521000001</v>
      </c>
      <c r="E1267">
        <v>1985.572876</v>
      </c>
      <c r="F1267">
        <v>1794.5611572</v>
      </c>
      <c r="G1267">
        <v>80</v>
      </c>
      <c r="H1267">
        <v>78.465148925999998</v>
      </c>
      <c r="I1267">
        <v>50</v>
      </c>
      <c r="J1267">
        <v>49.963428497000002</v>
      </c>
      <c r="K1267">
        <v>0</v>
      </c>
      <c r="L1267">
        <v>2400</v>
      </c>
      <c r="M1267">
        <v>2400</v>
      </c>
      <c r="N1267">
        <v>0</v>
      </c>
    </row>
    <row r="1268" spans="1:14" x14ac:dyDescent="0.25">
      <c r="A1268">
        <v>925.36050299999999</v>
      </c>
      <c r="B1268" s="1">
        <f>DATE(2012,11,11) + TIME(8,39,7)</f>
        <v>41224.360497685186</v>
      </c>
      <c r="C1268">
        <v>1011.7709961</v>
      </c>
      <c r="D1268">
        <v>885.29730225000003</v>
      </c>
      <c r="E1268">
        <v>1984.7541504000001</v>
      </c>
      <c r="F1268">
        <v>1793.6751709</v>
      </c>
      <c r="G1268">
        <v>80</v>
      </c>
      <c r="H1268">
        <v>78.367042541999993</v>
      </c>
      <c r="I1268">
        <v>50</v>
      </c>
      <c r="J1268">
        <v>49.964595795000001</v>
      </c>
      <c r="K1268">
        <v>0</v>
      </c>
      <c r="L1268">
        <v>2400</v>
      </c>
      <c r="M1268">
        <v>2400</v>
      </c>
      <c r="N1268">
        <v>0</v>
      </c>
    </row>
    <row r="1269" spans="1:14" x14ac:dyDescent="0.25">
      <c r="A1269">
        <v>926.16035699999998</v>
      </c>
      <c r="B1269" s="1">
        <f>DATE(2012,11,12) + TIME(3,50,54)</f>
        <v>41225.16034722222</v>
      </c>
      <c r="C1269">
        <v>1011.4811400999999</v>
      </c>
      <c r="D1269">
        <v>884.97381591999999</v>
      </c>
      <c r="E1269">
        <v>1983.9273682</v>
      </c>
      <c r="F1269">
        <v>1792.7827147999999</v>
      </c>
      <c r="G1269">
        <v>80</v>
      </c>
      <c r="H1269">
        <v>78.264030457000004</v>
      </c>
      <c r="I1269">
        <v>50</v>
      </c>
      <c r="J1269">
        <v>49.965335846000002</v>
      </c>
      <c r="K1269">
        <v>0</v>
      </c>
      <c r="L1269">
        <v>2400</v>
      </c>
      <c r="M1269">
        <v>2400</v>
      </c>
      <c r="N1269">
        <v>0</v>
      </c>
    </row>
    <row r="1270" spans="1:14" x14ac:dyDescent="0.25">
      <c r="A1270">
        <v>926.96902399999999</v>
      </c>
      <c r="B1270" s="1">
        <f>DATE(2012,11,12) + TIME(23,15,23)</f>
        <v>41225.9690162037</v>
      </c>
      <c r="C1270">
        <v>1011.1798706</v>
      </c>
      <c r="D1270">
        <v>884.63793944999998</v>
      </c>
      <c r="E1270">
        <v>1983.1279297000001</v>
      </c>
      <c r="F1270">
        <v>1791.9224853999999</v>
      </c>
      <c r="G1270">
        <v>80</v>
      </c>
      <c r="H1270">
        <v>78.158325195000003</v>
      </c>
      <c r="I1270">
        <v>50</v>
      </c>
      <c r="J1270">
        <v>49.965805054</v>
      </c>
      <c r="K1270">
        <v>0</v>
      </c>
      <c r="L1270">
        <v>2400</v>
      </c>
      <c r="M1270">
        <v>2400</v>
      </c>
      <c r="N1270">
        <v>0</v>
      </c>
    </row>
    <row r="1271" spans="1:14" x14ac:dyDescent="0.25">
      <c r="A1271">
        <v>927.79777999999999</v>
      </c>
      <c r="B1271" s="1">
        <f>DATE(2012,11,13) + TIME(19,8,48)</f>
        <v>41226.797777777778</v>
      </c>
      <c r="C1271">
        <v>1010.8753662</v>
      </c>
      <c r="D1271">
        <v>884.29675293000003</v>
      </c>
      <c r="E1271">
        <v>1982.3726807</v>
      </c>
      <c r="F1271">
        <v>1791.1126709</v>
      </c>
      <c r="G1271">
        <v>80</v>
      </c>
      <c r="H1271">
        <v>78.050346375000004</v>
      </c>
      <c r="I1271">
        <v>50</v>
      </c>
      <c r="J1271">
        <v>49.966121674</v>
      </c>
      <c r="K1271">
        <v>0</v>
      </c>
      <c r="L1271">
        <v>2400</v>
      </c>
      <c r="M1271">
        <v>2400</v>
      </c>
      <c r="N1271">
        <v>0</v>
      </c>
    </row>
    <row r="1272" spans="1:14" x14ac:dyDescent="0.25">
      <c r="A1272">
        <v>928.65819399999998</v>
      </c>
      <c r="B1272" s="1">
        <f>DATE(2012,11,14) + TIME(15,47,47)</f>
        <v>41227.658182870371</v>
      </c>
      <c r="C1272">
        <v>1010.5637817</v>
      </c>
      <c r="D1272">
        <v>883.94671631000006</v>
      </c>
      <c r="E1272">
        <v>1981.6467285000001</v>
      </c>
      <c r="F1272">
        <v>1790.3367920000001</v>
      </c>
      <c r="G1272">
        <v>80</v>
      </c>
      <c r="H1272">
        <v>77.939605713000006</v>
      </c>
      <c r="I1272">
        <v>50</v>
      </c>
      <c r="J1272">
        <v>49.966342926000003</v>
      </c>
      <c r="K1272">
        <v>0</v>
      </c>
      <c r="L1272">
        <v>2400</v>
      </c>
      <c r="M1272">
        <v>2400</v>
      </c>
      <c r="N1272">
        <v>0</v>
      </c>
    </row>
    <row r="1273" spans="1:14" x14ac:dyDescent="0.25">
      <c r="A1273">
        <v>929.562455</v>
      </c>
      <c r="B1273" s="1">
        <f>DATE(2012,11,15) + TIME(13,29,56)</f>
        <v>41228.5624537037</v>
      </c>
      <c r="C1273">
        <v>1010.2406616</v>
      </c>
      <c r="D1273">
        <v>883.58331298999997</v>
      </c>
      <c r="E1273">
        <v>1980.9379882999999</v>
      </c>
      <c r="F1273">
        <v>1789.5816649999999</v>
      </c>
      <c r="G1273">
        <v>80</v>
      </c>
      <c r="H1273">
        <v>77.825119018999999</v>
      </c>
      <c r="I1273">
        <v>50</v>
      </c>
      <c r="J1273">
        <v>49.966506957999997</v>
      </c>
      <c r="K1273">
        <v>0</v>
      </c>
      <c r="L1273">
        <v>2400</v>
      </c>
      <c r="M1273">
        <v>2400</v>
      </c>
      <c r="N1273">
        <v>0</v>
      </c>
    </row>
    <row r="1274" spans="1:14" x14ac:dyDescent="0.25">
      <c r="A1274">
        <v>930.52482399999997</v>
      </c>
      <c r="B1274" s="1">
        <f>DATE(2012,11,16) + TIME(12,35,44)</f>
        <v>41229.524814814817</v>
      </c>
      <c r="C1274">
        <v>1009.9011841</v>
      </c>
      <c r="D1274">
        <v>883.20129395000004</v>
      </c>
      <c r="E1274">
        <v>1980.2362060999999</v>
      </c>
      <c r="F1274">
        <v>1788.8364257999999</v>
      </c>
      <c r="G1274">
        <v>80</v>
      </c>
      <c r="H1274">
        <v>77.705551146999994</v>
      </c>
      <c r="I1274">
        <v>50</v>
      </c>
      <c r="J1274">
        <v>49.966636657999999</v>
      </c>
      <c r="K1274">
        <v>0</v>
      </c>
      <c r="L1274">
        <v>2400</v>
      </c>
      <c r="M1274">
        <v>2400</v>
      </c>
      <c r="N1274">
        <v>0</v>
      </c>
    </row>
    <row r="1275" spans="1:14" x14ac:dyDescent="0.25">
      <c r="A1275">
        <v>931.56296399999997</v>
      </c>
      <c r="B1275" s="1">
        <f>DATE(2012,11,17) + TIME(13,30,40)</f>
        <v>41230.562962962962</v>
      </c>
      <c r="C1275">
        <v>1009.539856</v>
      </c>
      <c r="D1275">
        <v>882.79455566000001</v>
      </c>
      <c r="E1275">
        <v>1979.5321045000001</v>
      </c>
      <c r="F1275">
        <v>1788.0910644999999</v>
      </c>
      <c r="G1275">
        <v>80</v>
      </c>
      <c r="H1275">
        <v>77.579223632999998</v>
      </c>
      <c r="I1275">
        <v>50</v>
      </c>
      <c r="J1275">
        <v>49.966739654999998</v>
      </c>
      <c r="K1275">
        <v>0</v>
      </c>
      <c r="L1275">
        <v>2400</v>
      </c>
      <c r="M1275">
        <v>2400</v>
      </c>
      <c r="N1275">
        <v>0</v>
      </c>
    </row>
    <row r="1276" spans="1:14" x14ac:dyDescent="0.25">
      <c r="A1276">
        <v>932.68867799999998</v>
      </c>
      <c r="B1276" s="1">
        <f>DATE(2012,11,18) + TIME(16,31,41)</f>
        <v>41231.688668981478</v>
      </c>
      <c r="C1276">
        <v>1009.1497192</v>
      </c>
      <c r="D1276">
        <v>882.35583496000004</v>
      </c>
      <c r="E1276">
        <v>1978.8161620999999</v>
      </c>
      <c r="F1276">
        <v>1787.3354492000001</v>
      </c>
      <c r="G1276">
        <v>80</v>
      </c>
      <c r="H1276">
        <v>77.444587708</v>
      </c>
      <c r="I1276">
        <v>50</v>
      </c>
      <c r="J1276">
        <v>49.966827393000003</v>
      </c>
      <c r="K1276">
        <v>0</v>
      </c>
      <c r="L1276">
        <v>2400</v>
      </c>
      <c r="M1276">
        <v>2400</v>
      </c>
      <c r="N1276">
        <v>0</v>
      </c>
    </row>
    <row r="1277" spans="1:14" x14ac:dyDescent="0.25">
      <c r="A1277">
        <v>933.82206599999995</v>
      </c>
      <c r="B1277" s="1">
        <f>DATE(2012,11,19) + TIME(19,43,46)</f>
        <v>41232.822060185186</v>
      </c>
      <c r="C1277">
        <v>1008.7250977</v>
      </c>
      <c r="D1277">
        <v>881.88299560999997</v>
      </c>
      <c r="E1277">
        <v>1978.0850829999999</v>
      </c>
      <c r="F1277">
        <v>1786.5665283000001</v>
      </c>
      <c r="G1277">
        <v>80</v>
      </c>
      <c r="H1277">
        <v>77.304801940999994</v>
      </c>
      <c r="I1277">
        <v>50</v>
      </c>
      <c r="J1277">
        <v>49.966896057</v>
      </c>
      <c r="K1277">
        <v>0</v>
      </c>
      <c r="L1277">
        <v>2400</v>
      </c>
      <c r="M1277">
        <v>2400</v>
      </c>
      <c r="N1277">
        <v>0</v>
      </c>
    </row>
    <row r="1278" spans="1:14" x14ac:dyDescent="0.25">
      <c r="A1278">
        <v>934.97410100000002</v>
      </c>
      <c r="B1278" s="1">
        <f>DATE(2012,11,20) + TIME(23,22,42)</f>
        <v>41233.974097222221</v>
      </c>
      <c r="C1278">
        <v>1008.2960815</v>
      </c>
      <c r="D1278">
        <v>881.40234375</v>
      </c>
      <c r="E1278">
        <v>1977.3908690999999</v>
      </c>
      <c r="F1278">
        <v>1785.8387451000001</v>
      </c>
      <c r="G1278">
        <v>80</v>
      </c>
      <c r="H1278">
        <v>77.162345885999997</v>
      </c>
      <c r="I1278">
        <v>50</v>
      </c>
      <c r="J1278">
        <v>49.966960907000001</v>
      </c>
      <c r="K1278">
        <v>0</v>
      </c>
      <c r="L1278">
        <v>2400</v>
      </c>
      <c r="M1278">
        <v>2400</v>
      </c>
      <c r="N1278">
        <v>0</v>
      </c>
    </row>
    <row r="1279" spans="1:14" x14ac:dyDescent="0.25">
      <c r="A1279">
        <v>936.16134499999998</v>
      </c>
      <c r="B1279" s="1">
        <f>DATE(2012,11,22) + TIME(3,52,20)</f>
        <v>41235.16134259259</v>
      </c>
      <c r="C1279">
        <v>1007.8592529</v>
      </c>
      <c r="D1279">
        <v>880.91143798999997</v>
      </c>
      <c r="E1279">
        <v>1976.7238769999999</v>
      </c>
      <c r="F1279">
        <v>1785.1414795000001</v>
      </c>
      <c r="G1279">
        <v>80</v>
      </c>
      <c r="H1279">
        <v>77.017219542999996</v>
      </c>
      <c r="I1279">
        <v>50</v>
      </c>
      <c r="J1279">
        <v>49.967021942000002</v>
      </c>
      <c r="K1279">
        <v>0</v>
      </c>
      <c r="L1279">
        <v>2400</v>
      </c>
      <c r="M1279">
        <v>2400</v>
      </c>
      <c r="N1279">
        <v>0</v>
      </c>
    </row>
    <row r="1280" spans="1:14" x14ac:dyDescent="0.25">
      <c r="A1280">
        <v>937.40076399999998</v>
      </c>
      <c r="B1280" s="1">
        <f>DATE(2012,11,23) + TIME(9,37,5)</f>
        <v>41236.400752314818</v>
      </c>
      <c r="C1280">
        <v>1007.4080811</v>
      </c>
      <c r="D1280">
        <v>880.40356444999998</v>
      </c>
      <c r="E1280">
        <v>1976.0725098</v>
      </c>
      <c r="F1280">
        <v>1784.4626464999999</v>
      </c>
      <c r="G1280">
        <v>80</v>
      </c>
      <c r="H1280">
        <v>76.868263244999994</v>
      </c>
      <c r="I1280">
        <v>50</v>
      </c>
      <c r="J1280">
        <v>49.967079163000001</v>
      </c>
      <c r="K1280">
        <v>0</v>
      </c>
      <c r="L1280">
        <v>2400</v>
      </c>
      <c r="M1280">
        <v>2400</v>
      </c>
      <c r="N1280">
        <v>0</v>
      </c>
    </row>
    <row r="1281" spans="1:14" x14ac:dyDescent="0.25">
      <c r="A1281">
        <v>938.71132699999998</v>
      </c>
      <c r="B1281" s="1">
        <f>DATE(2012,11,24) + TIME(17,4,18)</f>
        <v>41237.711319444446</v>
      </c>
      <c r="C1281">
        <v>1006.9356079</v>
      </c>
      <c r="D1281">
        <v>879.87109375</v>
      </c>
      <c r="E1281">
        <v>1975.4272461</v>
      </c>
      <c r="F1281">
        <v>1783.7919922000001</v>
      </c>
      <c r="G1281">
        <v>80</v>
      </c>
      <c r="H1281">
        <v>76.713775635000005</v>
      </c>
      <c r="I1281">
        <v>50</v>
      </c>
      <c r="J1281">
        <v>49.967136383000003</v>
      </c>
      <c r="K1281">
        <v>0</v>
      </c>
      <c r="L1281">
        <v>2400</v>
      </c>
      <c r="M1281">
        <v>2400</v>
      </c>
      <c r="N1281">
        <v>0</v>
      </c>
    </row>
    <row r="1282" spans="1:14" x14ac:dyDescent="0.25">
      <c r="A1282">
        <v>940.11084900000003</v>
      </c>
      <c r="B1282" s="1">
        <f>DATE(2012,11,26) + TIME(2,39,37)</f>
        <v>41239.110844907409</v>
      </c>
      <c r="C1282">
        <v>1006.4338989</v>
      </c>
      <c r="D1282">
        <v>879.30554199000005</v>
      </c>
      <c r="E1282">
        <v>1974.7794189000001</v>
      </c>
      <c r="F1282">
        <v>1783.1204834</v>
      </c>
      <c r="G1282">
        <v>80</v>
      </c>
      <c r="H1282">
        <v>76.551826477000006</v>
      </c>
      <c r="I1282">
        <v>50</v>
      </c>
      <c r="J1282">
        <v>49.967197417999998</v>
      </c>
      <c r="K1282">
        <v>0</v>
      </c>
      <c r="L1282">
        <v>2400</v>
      </c>
      <c r="M1282">
        <v>2400</v>
      </c>
      <c r="N1282">
        <v>0</v>
      </c>
    </row>
    <row r="1283" spans="1:14" x14ac:dyDescent="0.25">
      <c r="A1283">
        <v>941.60759399999995</v>
      </c>
      <c r="B1283" s="1">
        <f>DATE(2012,11,27) + TIME(14,34,56)</f>
        <v>41240.607592592591</v>
      </c>
      <c r="C1283">
        <v>1005.8952637</v>
      </c>
      <c r="D1283">
        <v>878.69842529000005</v>
      </c>
      <c r="E1283">
        <v>1974.1225586</v>
      </c>
      <c r="F1283">
        <v>1782.4414062000001</v>
      </c>
      <c r="G1283">
        <v>80</v>
      </c>
      <c r="H1283">
        <v>76.380836486999996</v>
      </c>
      <c r="I1283">
        <v>50</v>
      </c>
      <c r="J1283">
        <v>49.967258452999999</v>
      </c>
      <c r="K1283">
        <v>0</v>
      </c>
      <c r="L1283">
        <v>2400</v>
      </c>
      <c r="M1283">
        <v>2400</v>
      </c>
      <c r="N1283">
        <v>0</v>
      </c>
    </row>
    <row r="1284" spans="1:14" x14ac:dyDescent="0.25">
      <c r="A1284">
        <v>943.11452699999995</v>
      </c>
      <c r="B1284" s="1">
        <f>DATE(2012,11,29) + TIME(2,44,55)</f>
        <v>41242.114525462966</v>
      </c>
      <c r="C1284">
        <v>1005.3146973</v>
      </c>
      <c r="D1284">
        <v>878.04730225000003</v>
      </c>
      <c r="E1284">
        <v>1973.4558105000001</v>
      </c>
      <c r="F1284">
        <v>1781.7539062000001</v>
      </c>
      <c r="G1284">
        <v>80</v>
      </c>
      <c r="H1284">
        <v>76.203544617000006</v>
      </c>
      <c r="I1284">
        <v>50</v>
      </c>
      <c r="J1284">
        <v>49.967315673999998</v>
      </c>
      <c r="K1284">
        <v>0</v>
      </c>
      <c r="L1284">
        <v>2400</v>
      </c>
      <c r="M1284">
        <v>2400</v>
      </c>
      <c r="N1284">
        <v>0</v>
      </c>
    </row>
    <row r="1285" spans="1:14" x14ac:dyDescent="0.25">
      <c r="A1285">
        <v>944.64377899999999</v>
      </c>
      <c r="B1285" s="1">
        <f>DATE(2012,11,30) + TIME(15,27,2)</f>
        <v>41243.643773148149</v>
      </c>
      <c r="C1285">
        <v>1004.725647</v>
      </c>
      <c r="D1285">
        <v>877.38293456999997</v>
      </c>
      <c r="E1285">
        <v>1972.817749</v>
      </c>
      <c r="F1285">
        <v>1781.0977783000001</v>
      </c>
      <c r="G1285">
        <v>80</v>
      </c>
      <c r="H1285">
        <v>76.023468018000003</v>
      </c>
      <c r="I1285">
        <v>50</v>
      </c>
      <c r="J1285">
        <v>49.967372894</v>
      </c>
      <c r="K1285">
        <v>0</v>
      </c>
      <c r="L1285">
        <v>2400</v>
      </c>
      <c r="M1285">
        <v>2400</v>
      </c>
      <c r="N1285">
        <v>0</v>
      </c>
    </row>
    <row r="1286" spans="1:14" x14ac:dyDescent="0.25">
      <c r="A1286">
        <v>945</v>
      </c>
      <c r="B1286" s="1">
        <f>DATE(2012,12,1) + TIME(0,0,0)</f>
        <v>41244</v>
      </c>
      <c r="C1286">
        <v>1004.1378784</v>
      </c>
      <c r="D1286">
        <v>876.81140137</v>
      </c>
      <c r="E1286">
        <v>1972.2243652</v>
      </c>
      <c r="F1286">
        <v>1780.4884033000001</v>
      </c>
      <c r="G1286">
        <v>80</v>
      </c>
      <c r="H1286">
        <v>75.940216063999998</v>
      </c>
      <c r="I1286">
        <v>50</v>
      </c>
      <c r="J1286">
        <v>49.967346190999997</v>
      </c>
      <c r="K1286">
        <v>0</v>
      </c>
      <c r="L1286">
        <v>2400</v>
      </c>
      <c r="M1286">
        <v>2400</v>
      </c>
      <c r="N1286">
        <v>0</v>
      </c>
    </row>
    <row r="1287" spans="1:14" x14ac:dyDescent="0.25">
      <c r="A1287">
        <v>946.57279600000004</v>
      </c>
      <c r="B1287" s="1">
        <f>DATE(2012,12,2) + TIME(13,44,49)</f>
        <v>41245.572789351849</v>
      </c>
      <c r="C1287">
        <v>1003.9741821</v>
      </c>
      <c r="D1287">
        <v>876.51898193</v>
      </c>
      <c r="E1287">
        <v>1972.0576172000001</v>
      </c>
      <c r="F1287">
        <v>1780.3183594</v>
      </c>
      <c r="G1287">
        <v>80</v>
      </c>
      <c r="H1287">
        <v>75.783905028999996</v>
      </c>
      <c r="I1287">
        <v>50</v>
      </c>
      <c r="J1287">
        <v>49.967449188000003</v>
      </c>
      <c r="K1287">
        <v>0</v>
      </c>
      <c r="L1287">
        <v>2400</v>
      </c>
      <c r="M1287">
        <v>2400</v>
      </c>
      <c r="N1287">
        <v>0</v>
      </c>
    </row>
    <row r="1288" spans="1:14" x14ac:dyDescent="0.25">
      <c r="A1288">
        <v>948.23053500000003</v>
      </c>
      <c r="B1288" s="1">
        <f>DATE(2012,12,4) + TIME(5,31,58)</f>
        <v>41247.230532407404</v>
      </c>
      <c r="C1288">
        <v>1003.357666</v>
      </c>
      <c r="D1288">
        <v>875.82629395000004</v>
      </c>
      <c r="E1288">
        <v>1971.4633789</v>
      </c>
      <c r="F1288">
        <v>1779.7102050999999</v>
      </c>
      <c r="G1288">
        <v>80</v>
      </c>
      <c r="H1288">
        <v>75.605354309000006</v>
      </c>
      <c r="I1288">
        <v>50</v>
      </c>
      <c r="J1288">
        <v>49.967510222999998</v>
      </c>
      <c r="K1288">
        <v>0</v>
      </c>
      <c r="L1288">
        <v>2400</v>
      </c>
      <c r="M1288">
        <v>2400</v>
      </c>
      <c r="N1288">
        <v>0</v>
      </c>
    </row>
    <row r="1289" spans="1:14" x14ac:dyDescent="0.25">
      <c r="A1289">
        <v>949.98335499999996</v>
      </c>
      <c r="B1289" s="1">
        <f>DATE(2012,12,5) + TIME(23,36,1)</f>
        <v>41248.983344907407</v>
      </c>
      <c r="C1289">
        <v>1002.6918945</v>
      </c>
      <c r="D1289">
        <v>875.07220458999996</v>
      </c>
      <c r="E1289">
        <v>1970.8613281</v>
      </c>
      <c r="F1289">
        <v>1779.0955810999999</v>
      </c>
      <c r="G1289">
        <v>80</v>
      </c>
      <c r="H1289">
        <v>75.412681579999997</v>
      </c>
      <c r="I1289">
        <v>50</v>
      </c>
      <c r="J1289">
        <v>49.967571259000003</v>
      </c>
      <c r="K1289">
        <v>0</v>
      </c>
      <c r="L1289">
        <v>2400</v>
      </c>
      <c r="M1289">
        <v>2400</v>
      </c>
      <c r="N1289">
        <v>0</v>
      </c>
    </row>
    <row r="1290" spans="1:14" x14ac:dyDescent="0.25">
      <c r="A1290">
        <v>951.86348799999996</v>
      </c>
      <c r="B1290" s="1">
        <f>DATE(2012,12,7) + TIME(20,43,25)</f>
        <v>41250.863483796296</v>
      </c>
      <c r="C1290">
        <v>1001.9801636</v>
      </c>
      <c r="D1290">
        <v>874.26116943</v>
      </c>
      <c r="E1290">
        <v>1970.2524414</v>
      </c>
      <c r="F1290">
        <v>1778.4752197</v>
      </c>
      <c r="G1290">
        <v>80</v>
      </c>
      <c r="H1290">
        <v>75.207359314000001</v>
      </c>
      <c r="I1290">
        <v>50</v>
      </c>
      <c r="J1290">
        <v>49.967636108000001</v>
      </c>
      <c r="K1290">
        <v>0</v>
      </c>
      <c r="L1290">
        <v>2400</v>
      </c>
      <c r="M1290">
        <v>2400</v>
      </c>
      <c r="N1290">
        <v>0</v>
      </c>
    </row>
    <row r="1291" spans="1:14" x14ac:dyDescent="0.25">
      <c r="A1291">
        <v>953.77580799999998</v>
      </c>
      <c r="B1291" s="1">
        <f>DATE(2012,12,9) + TIME(18,37,9)</f>
        <v>41252.77579861111</v>
      </c>
      <c r="C1291">
        <v>1001.2063599000001</v>
      </c>
      <c r="D1291">
        <v>873.38055420000001</v>
      </c>
      <c r="E1291">
        <v>1969.6286620999999</v>
      </c>
      <c r="F1291">
        <v>1777.8409423999999</v>
      </c>
      <c r="G1291">
        <v>80</v>
      </c>
      <c r="H1291">
        <v>74.991882324000002</v>
      </c>
      <c r="I1291">
        <v>50</v>
      </c>
      <c r="J1291">
        <v>49.967700958000002</v>
      </c>
      <c r="K1291">
        <v>0</v>
      </c>
      <c r="L1291">
        <v>2400</v>
      </c>
      <c r="M1291">
        <v>2400</v>
      </c>
      <c r="N1291">
        <v>0</v>
      </c>
    </row>
    <row r="1292" spans="1:14" x14ac:dyDescent="0.25">
      <c r="A1292">
        <v>955.71264399999995</v>
      </c>
      <c r="B1292" s="1">
        <f>DATE(2012,12,11) + TIME(17,6,12)</f>
        <v>41254.712638888886</v>
      </c>
      <c r="C1292">
        <v>1000.407959</v>
      </c>
      <c r="D1292">
        <v>872.46630859000004</v>
      </c>
      <c r="E1292">
        <v>1969.0220947</v>
      </c>
      <c r="F1292">
        <v>1777.2253418</v>
      </c>
      <c r="G1292">
        <v>80</v>
      </c>
      <c r="H1292">
        <v>74.771232604999994</v>
      </c>
      <c r="I1292">
        <v>50</v>
      </c>
      <c r="J1292">
        <v>49.967769623000002</v>
      </c>
      <c r="K1292">
        <v>0</v>
      </c>
      <c r="L1292">
        <v>2400</v>
      </c>
      <c r="M1292">
        <v>2400</v>
      </c>
      <c r="N1292">
        <v>0</v>
      </c>
    </row>
    <row r="1293" spans="1:14" x14ac:dyDescent="0.25">
      <c r="A1293">
        <v>957.70077400000002</v>
      </c>
      <c r="B1293" s="1">
        <f>DATE(2012,12,13) + TIME(16,49,6)</f>
        <v>41256.70076388889</v>
      </c>
      <c r="C1293">
        <v>999.58740234000004</v>
      </c>
      <c r="D1293">
        <v>871.52099609000004</v>
      </c>
      <c r="E1293">
        <v>1968.4337158000001</v>
      </c>
      <c r="F1293">
        <v>1776.6295166</v>
      </c>
      <c r="G1293">
        <v>80</v>
      </c>
      <c r="H1293">
        <v>74.546455382999994</v>
      </c>
      <c r="I1293">
        <v>50</v>
      </c>
      <c r="J1293">
        <v>49.967838286999999</v>
      </c>
      <c r="K1293">
        <v>0</v>
      </c>
      <c r="L1293">
        <v>2400</v>
      </c>
      <c r="M1293">
        <v>2400</v>
      </c>
      <c r="N1293">
        <v>0</v>
      </c>
    </row>
    <row r="1294" spans="1:14" x14ac:dyDescent="0.25">
      <c r="A1294">
        <v>959.76799400000004</v>
      </c>
      <c r="B1294" s="1">
        <f>DATE(2012,12,15) + TIME(18,25,54)</f>
        <v>41258.76798611111</v>
      </c>
      <c r="C1294">
        <v>998.73181151999995</v>
      </c>
      <c r="D1294">
        <v>870.53045654000005</v>
      </c>
      <c r="E1294">
        <v>1967.8549805</v>
      </c>
      <c r="F1294">
        <v>1776.0443115</v>
      </c>
      <c r="G1294">
        <v>80</v>
      </c>
      <c r="H1294">
        <v>74.315544127999999</v>
      </c>
      <c r="I1294">
        <v>50</v>
      </c>
      <c r="J1294">
        <v>49.967906952</v>
      </c>
      <c r="K1294">
        <v>0</v>
      </c>
      <c r="L1294">
        <v>2400</v>
      </c>
      <c r="M1294">
        <v>2400</v>
      </c>
      <c r="N1294">
        <v>0</v>
      </c>
    </row>
    <row r="1295" spans="1:14" x14ac:dyDescent="0.25">
      <c r="A1295">
        <v>961.94535900000005</v>
      </c>
      <c r="B1295" s="1">
        <f>DATE(2012,12,17) + TIME(22,41,19)</f>
        <v>41260.9453587963</v>
      </c>
      <c r="C1295">
        <v>997.82696533000001</v>
      </c>
      <c r="D1295">
        <v>869.47753906000003</v>
      </c>
      <c r="E1295">
        <v>1967.2775879000001</v>
      </c>
      <c r="F1295">
        <v>1775.4614257999999</v>
      </c>
      <c r="G1295">
        <v>80</v>
      </c>
      <c r="H1295">
        <v>74.075416564999998</v>
      </c>
      <c r="I1295">
        <v>50</v>
      </c>
      <c r="J1295">
        <v>49.967979431000003</v>
      </c>
      <c r="K1295">
        <v>0</v>
      </c>
      <c r="L1295">
        <v>2400</v>
      </c>
      <c r="M1295">
        <v>2400</v>
      </c>
      <c r="N1295">
        <v>0</v>
      </c>
    </row>
    <row r="1296" spans="1:14" x14ac:dyDescent="0.25">
      <c r="A1296">
        <v>964.24237200000005</v>
      </c>
      <c r="B1296" s="1">
        <f>DATE(2012,12,20) + TIME(5,49,0)</f>
        <v>41263.242361111108</v>
      </c>
      <c r="C1296">
        <v>996.85571288999995</v>
      </c>
      <c r="D1296">
        <v>868.34228515999996</v>
      </c>
      <c r="E1296">
        <v>1966.6939697</v>
      </c>
      <c r="F1296">
        <v>1774.8731689000001</v>
      </c>
      <c r="G1296">
        <v>80</v>
      </c>
      <c r="H1296">
        <v>73.823127747000001</v>
      </c>
      <c r="I1296">
        <v>50</v>
      </c>
      <c r="J1296">
        <v>49.968055724999999</v>
      </c>
      <c r="K1296">
        <v>0</v>
      </c>
      <c r="L1296">
        <v>2400</v>
      </c>
      <c r="M1296">
        <v>2400</v>
      </c>
      <c r="N1296">
        <v>0</v>
      </c>
    </row>
    <row r="1297" spans="1:14" x14ac:dyDescent="0.25">
      <c r="A1297">
        <v>966.54548</v>
      </c>
      <c r="B1297" s="1">
        <f>DATE(2012,12,22) + TIME(13,5,29)</f>
        <v>41265.545474537037</v>
      </c>
      <c r="C1297">
        <v>995.80877685999997</v>
      </c>
      <c r="D1297">
        <v>867.11584473000005</v>
      </c>
      <c r="E1297">
        <v>1966.1030272999999</v>
      </c>
      <c r="F1297">
        <v>1774.2785644999999</v>
      </c>
      <c r="G1297">
        <v>80</v>
      </c>
      <c r="H1297">
        <v>73.560417174999998</v>
      </c>
      <c r="I1297">
        <v>50</v>
      </c>
      <c r="J1297">
        <v>49.968132019000002</v>
      </c>
      <c r="K1297">
        <v>0</v>
      </c>
      <c r="L1297">
        <v>2400</v>
      </c>
      <c r="M1297">
        <v>2400</v>
      </c>
      <c r="N1297">
        <v>0</v>
      </c>
    </row>
    <row r="1298" spans="1:14" x14ac:dyDescent="0.25">
      <c r="A1298">
        <v>968.88370799999996</v>
      </c>
      <c r="B1298" s="1">
        <f>DATE(2012,12,24) + TIME(21,12,32)</f>
        <v>41267.883703703701</v>
      </c>
      <c r="C1298">
        <v>994.73498534999999</v>
      </c>
      <c r="D1298">
        <v>865.84576416000004</v>
      </c>
      <c r="E1298">
        <v>1965.5334473</v>
      </c>
      <c r="F1298">
        <v>1773.7060547000001</v>
      </c>
      <c r="G1298">
        <v>80</v>
      </c>
      <c r="H1298">
        <v>73.292533875000004</v>
      </c>
      <c r="I1298">
        <v>50</v>
      </c>
      <c r="J1298">
        <v>49.968204497999999</v>
      </c>
      <c r="K1298">
        <v>0</v>
      </c>
      <c r="L1298">
        <v>2400</v>
      </c>
      <c r="M1298">
        <v>2400</v>
      </c>
      <c r="N1298">
        <v>0</v>
      </c>
    </row>
    <row r="1299" spans="1:14" x14ac:dyDescent="0.25">
      <c r="A1299">
        <v>971.286967</v>
      </c>
      <c r="B1299" s="1">
        <f>DATE(2012,12,27) + TIME(6,53,13)</f>
        <v>41270.286956018521</v>
      </c>
      <c r="C1299">
        <v>993.61968993999994</v>
      </c>
      <c r="D1299">
        <v>864.51635741999996</v>
      </c>
      <c r="E1299">
        <v>1964.9769286999999</v>
      </c>
      <c r="F1299">
        <v>1773.1475829999999</v>
      </c>
      <c r="G1299">
        <v>80</v>
      </c>
      <c r="H1299">
        <v>73.018165588000002</v>
      </c>
      <c r="I1299">
        <v>50</v>
      </c>
      <c r="J1299">
        <v>49.968284607000001</v>
      </c>
      <c r="K1299">
        <v>0</v>
      </c>
      <c r="L1299">
        <v>2400</v>
      </c>
      <c r="M1299">
        <v>2400</v>
      </c>
      <c r="N1299">
        <v>0</v>
      </c>
    </row>
    <row r="1300" spans="1:14" x14ac:dyDescent="0.25">
      <c r="A1300">
        <v>973.78644399999996</v>
      </c>
      <c r="B1300" s="1">
        <f>DATE(2012,12,29) + TIME(18,52,28)</f>
        <v>41272.786435185182</v>
      </c>
      <c r="C1300">
        <v>992.44543456999997</v>
      </c>
      <c r="D1300">
        <v>863.10620116999996</v>
      </c>
      <c r="E1300">
        <v>1964.4261475000001</v>
      </c>
      <c r="F1300">
        <v>1772.5953368999999</v>
      </c>
      <c r="G1300">
        <v>80</v>
      </c>
      <c r="H1300">
        <v>72.734001160000005</v>
      </c>
      <c r="I1300">
        <v>50</v>
      </c>
      <c r="J1300">
        <v>49.968360900999997</v>
      </c>
      <c r="K1300">
        <v>0</v>
      </c>
      <c r="L1300">
        <v>2400</v>
      </c>
      <c r="M1300">
        <v>2400</v>
      </c>
      <c r="N1300">
        <v>0</v>
      </c>
    </row>
    <row r="1301" spans="1:14" x14ac:dyDescent="0.25">
      <c r="A1301">
        <v>976</v>
      </c>
      <c r="B1301" s="1">
        <f>DATE(2013,1,1) + TIME(0,0,0)</f>
        <v>41275</v>
      </c>
      <c r="C1301">
        <v>991.19006348000005</v>
      </c>
      <c r="D1301">
        <v>861.60382079999999</v>
      </c>
      <c r="E1301">
        <v>1963.8746338000001</v>
      </c>
      <c r="F1301">
        <v>1772.0430908000001</v>
      </c>
      <c r="G1301">
        <v>80</v>
      </c>
      <c r="H1301">
        <v>72.449356078999998</v>
      </c>
      <c r="I1301">
        <v>50</v>
      </c>
      <c r="J1301">
        <v>49.968429565000001</v>
      </c>
      <c r="K1301">
        <v>0</v>
      </c>
      <c r="L1301">
        <v>2400</v>
      </c>
      <c r="M1301">
        <v>2400</v>
      </c>
      <c r="N1301">
        <v>0</v>
      </c>
    </row>
    <row r="1302" spans="1:14" x14ac:dyDescent="0.25">
      <c r="A1302">
        <v>978.632206</v>
      </c>
      <c r="B1302" s="1">
        <f>DATE(2013,1,3) + TIME(15,10,22)</f>
        <v>41277.632199074076</v>
      </c>
      <c r="C1302">
        <v>990.05059814000003</v>
      </c>
      <c r="D1302">
        <v>860.19122314000003</v>
      </c>
      <c r="E1302">
        <v>1963.4001464999999</v>
      </c>
      <c r="F1302">
        <v>1771.5684814000001</v>
      </c>
      <c r="G1302">
        <v>80</v>
      </c>
      <c r="H1302">
        <v>72.164520264000004</v>
      </c>
      <c r="I1302">
        <v>50</v>
      </c>
      <c r="J1302">
        <v>49.968513489000003</v>
      </c>
      <c r="K1302">
        <v>0</v>
      </c>
      <c r="L1302">
        <v>2400</v>
      </c>
      <c r="M1302">
        <v>2400</v>
      </c>
      <c r="N1302">
        <v>0</v>
      </c>
    </row>
    <row r="1303" spans="1:14" x14ac:dyDescent="0.25">
      <c r="A1303">
        <v>981.33151399999997</v>
      </c>
      <c r="B1303" s="1">
        <f>DATE(2013,1,6) + TIME(7,57,22)</f>
        <v>41280.331504629627</v>
      </c>
      <c r="C1303">
        <v>988.66302489999998</v>
      </c>
      <c r="D1303">
        <v>858.49468993999994</v>
      </c>
      <c r="E1303">
        <v>1962.8577881000001</v>
      </c>
      <c r="F1303">
        <v>1771.0263672000001</v>
      </c>
      <c r="G1303">
        <v>80</v>
      </c>
      <c r="H1303">
        <v>71.850975036999998</v>
      </c>
      <c r="I1303">
        <v>50</v>
      </c>
      <c r="J1303">
        <v>49.968597412000001</v>
      </c>
      <c r="K1303">
        <v>0</v>
      </c>
      <c r="L1303">
        <v>2400</v>
      </c>
      <c r="M1303">
        <v>2400</v>
      </c>
      <c r="N1303">
        <v>0</v>
      </c>
    </row>
    <row r="1304" spans="1:14" x14ac:dyDescent="0.25">
      <c r="A1304">
        <v>984.06540399999994</v>
      </c>
      <c r="B1304" s="1">
        <f>DATE(2013,1,9) + TIME(1,34,10)</f>
        <v>41283.065393518518</v>
      </c>
      <c r="C1304">
        <v>987.19506836000005</v>
      </c>
      <c r="D1304">
        <v>856.67974853999999</v>
      </c>
      <c r="E1304">
        <v>1962.3194579999999</v>
      </c>
      <c r="F1304">
        <v>1770.4888916</v>
      </c>
      <c r="G1304">
        <v>80</v>
      </c>
      <c r="H1304">
        <v>71.521423339999998</v>
      </c>
      <c r="I1304">
        <v>50</v>
      </c>
      <c r="J1304">
        <v>49.968677520999996</v>
      </c>
      <c r="K1304">
        <v>0</v>
      </c>
      <c r="L1304">
        <v>2400</v>
      </c>
      <c r="M1304">
        <v>2400</v>
      </c>
      <c r="N1304">
        <v>0</v>
      </c>
    </row>
    <row r="1305" spans="1:14" x14ac:dyDescent="0.25">
      <c r="A1305">
        <v>986.81774600000006</v>
      </c>
      <c r="B1305" s="1">
        <f>DATE(2013,1,11) + TIME(19,37,33)</f>
        <v>41285.817743055559</v>
      </c>
      <c r="C1305">
        <v>985.66235352000001</v>
      </c>
      <c r="D1305">
        <v>854.765625</v>
      </c>
      <c r="E1305">
        <v>1961.7923584</v>
      </c>
      <c r="F1305">
        <v>1769.9630127</v>
      </c>
      <c r="G1305">
        <v>80</v>
      </c>
      <c r="H1305">
        <v>71.180999756000006</v>
      </c>
      <c r="I1305">
        <v>50</v>
      </c>
      <c r="J1305">
        <v>49.968761444000002</v>
      </c>
      <c r="K1305">
        <v>0</v>
      </c>
      <c r="L1305">
        <v>2400</v>
      </c>
      <c r="M1305">
        <v>2400</v>
      </c>
      <c r="N1305">
        <v>0</v>
      </c>
    </row>
    <row r="1306" spans="1:14" x14ac:dyDescent="0.25">
      <c r="A1306">
        <v>989.589653</v>
      </c>
      <c r="B1306" s="1">
        <f>DATE(2013,1,14) + TIME(14,9,6)</f>
        <v>41288.58965277778</v>
      </c>
      <c r="C1306">
        <v>984.07098388999998</v>
      </c>
      <c r="D1306">
        <v>852.75872803000004</v>
      </c>
      <c r="E1306">
        <v>1961.2788086</v>
      </c>
      <c r="F1306">
        <v>1769.4510498</v>
      </c>
      <c r="G1306">
        <v>80</v>
      </c>
      <c r="H1306">
        <v>70.831451415999993</v>
      </c>
      <c r="I1306">
        <v>50</v>
      </c>
      <c r="J1306">
        <v>49.968845367</v>
      </c>
      <c r="K1306">
        <v>0</v>
      </c>
      <c r="L1306">
        <v>2400</v>
      </c>
      <c r="M1306">
        <v>2400</v>
      </c>
      <c r="N1306">
        <v>0</v>
      </c>
    </row>
    <row r="1307" spans="1:14" x14ac:dyDescent="0.25">
      <c r="A1307">
        <v>992.38611700000001</v>
      </c>
      <c r="B1307" s="1">
        <f>DATE(2013,1,17) + TIME(9,16,0)</f>
        <v>41291.386111111111</v>
      </c>
      <c r="C1307">
        <v>982.41778564000003</v>
      </c>
      <c r="D1307">
        <v>850.65411376999998</v>
      </c>
      <c r="E1307">
        <v>1960.777832</v>
      </c>
      <c r="F1307">
        <v>1768.9519043</v>
      </c>
      <c r="G1307">
        <v>80</v>
      </c>
      <c r="H1307">
        <v>70.472534179999997</v>
      </c>
      <c r="I1307">
        <v>50</v>
      </c>
      <c r="J1307">
        <v>49.968925476000003</v>
      </c>
      <c r="K1307">
        <v>0</v>
      </c>
      <c r="L1307">
        <v>2400</v>
      </c>
      <c r="M1307">
        <v>2400</v>
      </c>
      <c r="N1307">
        <v>0</v>
      </c>
    </row>
    <row r="1308" spans="1:14" x14ac:dyDescent="0.25">
      <c r="A1308">
        <v>995.212039</v>
      </c>
      <c r="B1308" s="1">
        <f>DATE(2013,1,20) + TIME(5,5,20)</f>
        <v>41294.212037037039</v>
      </c>
      <c r="C1308">
        <v>980.69696045000001</v>
      </c>
      <c r="D1308">
        <v>848.44335937999995</v>
      </c>
      <c r="E1308">
        <v>1960.2877197</v>
      </c>
      <c r="F1308">
        <v>1768.4639893000001</v>
      </c>
      <c r="G1308">
        <v>80</v>
      </c>
      <c r="H1308">
        <v>70.103340149000005</v>
      </c>
      <c r="I1308">
        <v>50</v>
      </c>
      <c r="J1308">
        <v>49.969009399000001</v>
      </c>
      <c r="K1308">
        <v>0</v>
      </c>
      <c r="L1308">
        <v>2400</v>
      </c>
      <c r="M1308">
        <v>2400</v>
      </c>
      <c r="N1308">
        <v>0</v>
      </c>
    </row>
    <row r="1309" spans="1:14" x14ac:dyDescent="0.25">
      <c r="A1309">
        <v>998.06888400000003</v>
      </c>
      <c r="B1309" s="1">
        <f>DATE(2013,1,23) + TIME(1,39,11)</f>
        <v>41297.068877314814</v>
      </c>
      <c r="C1309">
        <v>978.90307616999996</v>
      </c>
      <c r="D1309">
        <v>846.11737060999997</v>
      </c>
      <c r="E1309">
        <v>1959.8070068</v>
      </c>
      <c r="F1309">
        <v>1767.9857178</v>
      </c>
      <c r="G1309">
        <v>80</v>
      </c>
      <c r="H1309">
        <v>69.722152710000003</v>
      </c>
      <c r="I1309">
        <v>50</v>
      </c>
      <c r="J1309">
        <v>49.969093323000003</v>
      </c>
      <c r="K1309">
        <v>0</v>
      </c>
      <c r="L1309">
        <v>2400</v>
      </c>
      <c r="M1309">
        <v>2400</v>
      </c>
      <c r="N1309">
        <v>0</v>
      </c>
    </row>
    <row r="1310" spans="1:14" x14ac:dyDescent="0.25">
      <c r="A1310">
        <v>1000.944787</v>
      </c>
      <c r="B1310" s="1">
        <f>DATE(2013,1,25) + TIME(22,40,29)</f>
        <v>41299.944780092592</v>
      </c>
      <c r="C1310">
        <v>977.03210449000005</v>
      </c>
      <c r="D1310">
        <v>843.66979979999996</v>
      </c>
      <c r="E1310">
        <v>1959.3349608999999</v>
      </c>
      <c r="F1310">
        <v>1767.5162353999999</v>
      </c>
      <c r="G1310">
        <v>80</v>
      </c>
      <c r="H1310">
        <v>69.328529357999997</v>
      </c>
      <c r="I1310">
        <v>50</v>
      </c>
      <c r="J1310">
        <v>49.969173431000002</v>
      </c>
      <c r="K1310">
        <v>0</v>
      </c>
      <c r="L1310">
        <v>2400</v>
      </c>
      <c r="M1310">
        <v>2400</v>
      </c>
      <c r="N1310">
        <v>0</v>
      </c>
    </row>
    <row r="1311" spans="1:14" x14ac:dyDescent="0.25">
      <c r="A1311">
        <v>1003.833717</v>
      </c>
      <c r="B1311" s="1">
        <f>DATE(2013,1,28) + TIME(20,0,33)</f>
        <v>41302.833715277775</v>
      </c>
      <c r="C1311">
        <v>975.08874512</v>
      </c>
      <c r="D1311">
        <v>841.10461425999995</v>
      </c>
      <c r="E1311">
        <v>1958.8728027</v>
      </c>
      <c r="F1311">
        <v>1767.0567627</v>
      </c>
      <c r="G1311">
        <v>80</v>
      </c>
      <c r="H1311">
        <v>68.923057556000003</v>
      </c>
      <c r="I1311">
        <v>50</v>
      </c>
      <c r="J1311">
        <v>49.969257355000003</v>
      </c>
      <c r="K1311">
        <v>0</v>
      </c>
      <c r="L1311">
        <v>2400</v>
      </c>
      <c r="M1311">
        <v>2400</v>
      </c>
      <c r="N1311">
        <v>0</v>
      </c>
    </row>
    <row r="1312" spans="1:14" x14ac:dyDescent="0.25">
      <c r="A1312">
        <v>1006.739184</v>
      </c>
      <c r="B1312" s="1">
        <f>DATE(2013,1,31) + TIME(17,44,25)</f>
        <v>41305.739178240743</v>
      </c>
      <c r="C1312">
        <v>973.07562256000006</v>
      </c>
      <c r="D1312">
        <v>838.42303466999999</v>
      </c>
      <c r="E1312">
        <v>1958.4207764</v>
      </c>
      <c r="F1312">
        <v>1766.6076660000001</v>
      </c>
      <c r="G1312">
        <v>80</v>
      </c>
      <c r="H1312">
        <v>68.505729674999998</v>
      </c>
      <c r="I1312">
        <v>50</v>
      </c>
      <c r="J1312">
        <v>49.969337463000002</v>
      </c>
      <c r="K1312">
        <v>0</v>
      </c>
      <c r="L1312">
        <v>2400</v>
      </c>
      <c r="M1312">
        <v>2400</v>
      </c>
      <c r="N1312">
        <v>0</v>
      </c>
    </row>
    <row r="1313" spans="1:14" x14ac:dyDescent="0.25">
      <c r="A1313">
        <v>1007</v>
      </c>
      <c r="B1313" s="1">
        <f>DATE(2013,2,1) + TIME(0,0,0)</f>
        <v>41306</v>
      </c>
      <c r="C1313">
        <v>971.11621093999997</v>
      </c>
      <c r="D1313">
        <v>836.25335693</v>
      </c>
      <c r="E1313">
        <v>1958.0361327999999</v>
      </c>
      <c r="F1313">
        <v>1766.2258300999999</v>
      </c>
      <c r="G1313">
        <v>80</v>
      </c>
      <c r="H1313">
        <v>68.378509520999998</v>
      </c>
      <c r="I1313">
        <v>50</v>
      </c>
      <c r="J1313">
        <v>49.969314574999999</v>
      </c>
      <c r="K1313">
        <v>0</v>
      </c>
      <c r="L1313">
        <v>2400</v>
      </c>
      <c r="M1313">
        <v>2400</v>
      </c>
      <c r="N1313">
        <v>0</v>
      </c>
    </row>
    <row r="1314" spans="1:14" x14ac:dyDescent="0.25">
      <c r="A1314">
        <v>1009.927846</v>
      </c>
      <c r="B1314" s="1">
        <f>DATE(2013,2,3) + TIME(22,16,5)</f>
        <v>41308.927835648145</v>
      </c>
      <c r="C1314">
        <v>970.77667236000002</v>
      </c>
      <c r="D1314">
        <v>835.29858397999999</v>
      </c>
      <c r="E1314">
        <v>1957.9332274999999</v>
      </c>
      <c r="F1314">
        <v>1766.1234131000001</v>
      </c>
      <c r="G1314">
        <v>80</v>
      </c>
      <c r="H1314">
        <v>68.015335082999997</v>
      </c>
      <c r="I1314">
        <v>50</v>
      </c>
      <c r="J1314">
        <v>49.969429015999999</v>
      </c>
      <c r="K1314">
        <v>0</v>
      </c>
      <c r="L1314">
        <v>2400</v>
      </c>
      <c r="M1314">
        <v>2400</v>
      </c>
      <c r="N1314">
        <v>0</v>
      </c>
    </row>
    <row r="1315" spans="1:14" x14ac:dyDescent="0.25">
      <c r="A1315">
        <v>1012.8817330000001</v>
      </c>
      <c r="B1315" s="1">
        <f>DATE(2013,2,6) + TIME(21,9,41)</f>
        <v>41311.881724537037</v>
      </c>
      <c r="C1315">
        <v>968.62335204999999</v>
      </c>
      <c r="D1315">
        <v>832.40216064000003</v>
      </c>
      <c r="E1315">
        <v>1957.5039062000001</v>
      </c>
      <c r="F1315">
        <v>1765.6971435999999</v>
      </c>
      <c r="G1315">
        <v>80</v>
      </c>
      <c r="H1315">
        <v>67.586425781000003</v>
      </c>
      <c r="I1315">
        <v>50</v>
      </c>
      <c r="J1315">
        <v>49.969509125000002</v>
      </c>
      <c r="K1315">
        <v>0</v>
      </c>
      <c r="L1315">
        <v>2400</v>
      </c>
      <c r="M1315">
        <v>2400</v>
      </c>
      <c r="N1315">
        <v>0</v>
      </c>
    </row>
    <row r="1316" spans="1:14" x14ac:dyDescent="0.25">
      <c r="A1316">
        <v>1015.850161</v>
      </c>
      <c r="B1316" s="1">
        <f>DATE(2013,2,9) + TIME(20,24,13)</f>
        <v>41314.85015046296</v>
      </c>
      <c r="C1316">
        <v>966.36865234000004</v>
      </c>
      <c r="D1316">
        <v>829.32598876999998</v>
      </c>
      <c r="E1316">
        <v>1957.0765381000001</v>
      </c>
      <c r="F1316">
        <v>1765.2729492000001</v>
      </c>
      <c r="G1316">
        <v>80</v>
      </c>
      <c r="H1316">
        <v>67.131034850999995</v>
      </c>
      <c r="I1316">
        <v>50</v>
      </c>
      <c r="J1316">
        <v>49.969589233000001</v>
      </c>
      <c r="K1316">
        <v>0</v>
      </c>
      <c r="L1316">
        <v>2400</v>
      </c>
      <c r="M1316">
        <v>2400</v>
      </c>
      <c r="N1316">
        <v>0</v>
      </c>
    </row>
    <row r="1317" spans="1:14" x14ac:dyDescent="0.25">
      <c r="A1317">
        <v>1018.839119</v>
      </c>
      <c r="B1317" s="1">
        <f>DATE(2013,2,12) + TIME(20,8,19)</f>
        <v>41317.839108796295</v>
      </c>
      <c r="C1317">
        <v>964.03594970999995</v>
      </c>
      <c r="D1317">
        <v>826.11120604999996</v>
      </c>
      <c r="E1317">
        <v>1956.6563721</v>
      </c>
      <c r="F1317">
        <v>1764.8560791</v>
      </c>
      <c r="G1317">
        <v>80</v>
      </c>
      <c r="H1317">
        <v>66.658859253000003</v>
      </c>
      <c r="I1317">
        <v>50</v>
      </c>
      <c r="J1317">
        <v>49.969673157000003</v>
      </c>
      <c r="K1317">
        <v>0</v>
      </c>
      <c r="L1317">
        <v>2400</v>
      </c>
      <c r="M1317">
        <v>2400</v>
      </c>
      <c r="N1317">
        <v>0</v>
      </c>
    </row>
    <row r="1318" spans="1:14" x14ac:dyDescent="0.25">
      <c r="A1318">
        <v>1021.854319</v>
      </c>
      <c r="B1318" s="1">
        <f>DATE(2013,2,15) + TIME(20,30,13)</f>
        <v>41320.854317129626</v>
      </c>
      <c r="C1318">
        <v>961.62097168000003</v>
      </c>
      <c r="D1318">
        <v>822.75512694999998</v>
      </c>
      <c r="E1318">
        <v>1956.2424315999999</v>
      </c>
      <c r="F1318">
        <v>1764.4454346</v>
      </c>
      <c r="G1318">
        <v>80</v>
      </c>
      <c r="H1318">
        <v>66.171272278000004</v>
      </c>
      <c r="I1318">
        <v>50</v>
      </c>
      <c r="J1318">
        <v>49.969753265000001</v>
      </c>
      <c r="K1318">
        <v>0</v>
      </c>
      <c r="L1318">
        <v>2400</v>
      </c>
      <c r="M1318">
        <v>2400</v>
      </c>
      <c r="N1318">
        <v>0</v>
      </c>
    </row>
    <row r="1319" spans="1:14" x14ac:dyDescent="0.25">
      <c r="A1319">
        <v>1024.9013540000001</v>
      </c>
      <c r="B1319" s="1">
        <f>DATE(2013,2,18) + TIME(21,37,56)</f>
        <v>41323.901342592595</v>
      </c>
      <c r="C1319">
        <v>959.11822510000002</v>
      </c>
      <c r="D1319">
        <v>819.24945068</v>
      </c>
      <c r="E1319">
        <v>1955.8336182</v>
      </c>
      <c r="F1319">
        <v>1764.0400391000001</v>
      </c>
      <c r="G1319">
        <v>80</v>
      </c>
      <c r="H1319">
        <v>65.667648314999994</v>
      </c>
      <c r="I1319">
        <v>50</v>
      </c>
      <c r="J1319">
        <v>49.969833373999997</v>
      </c>
      <c r="K1319">
        <v>0</v>
      </c>
      <c r="L1319">
        <v>2400</v>
      </c>
      <c r="M1319">
        <v>2400</v>
      </c>
      <c r="N1319">
        <v>0</v>
      </c>
    </row>
    <row r="1320" spans="1:14" x14ac:dyDescent="0.25">
      <c r="A1320">
        <v>1027.9696469999999</v>
      </c>
      <c r="B1320" s="1">
        <f>DATE(2013,2,21) + TIME(23,16,17)</f>
        <v>41326.969641203701</v>
      </c>
      <c r="C1320">
        <v>956.52227783000001</v>
      </c>
      <c r="D1320">
        <v>815.58673095999995</v>
      </c>
      <c r="E1320">
        <v>1955.4287108999999</v>
      </c>
      <c r="F1320">
        <v>1763.6384277</v>
      </c>
      <c r="G1320">
        <v>80</v>
      </c>
      <c r="H1320">
        <v>65.147613524999997</v>
      </c>
      <c r="I1320">
        <v>50</v>
      </c>
      <c r="J1320">
        <v>49.969917297000002</v>
      </c>
      <c r="K1320">
        <v>0</v>
      </c>
      <c r="L1320">
        <v>2400</v>
      </c>
      <c r="M1320">
        <v>2400</v>
      </c>
      <c r="N1320">
        <v>0</v>
      </c>
    </row>
    <row r="1321" spans="1:14" x14ac:dyDescent="0.25">
      <c r="A1321">
        <v>1031.063545</v>
      </c>
      <c r="B1321" s="1">
        <f>DATE(2013,2,25) + TIME(1,31,30)</f>
        <v>41330.06354166667</v>
      </c>
      <c r="C1321">
        <v>953.84082031000003</v>
      </c>
      <c r="D1321">
        <v>811.77465819999998</v>
      </c>
      <c r="E1321">
        <v>1955.0285644999999</v>
      </c>
      <c r="F1321">
        <v>1763.2418213000001</v>
      </c>
      <c r="G1321">
        <v>80</v>
      </c>
      <c r="H1321">
        <v>64.612075806000007</v>
      </c>
      <c r="I1321">
        <v>50</v>
      </c>
      <c r="J1321">
        <v>49.969997405999997</v>
      </c>
      <c r="K1321">
        <v>0</v>
      </c>
      <c r="L1321">
        <v>2400</v>
      </c>
      <c r="M1321">
        <v>2400</v>
      </c>
      <c r="N1321">
        <v>0</v>
      </c>
    </row>
    <row r="1322" spans="1:14" x14ac:dyDescent="0.25">
      <c r="A1322">
        <v>1034.1873310000001</v>
      </c>
      <c r="B1322" s="1">
        <f>DATE(2013,2,28) + TIME(4,29,45)</f>
        <v>41333.187326388892</v>
      </c>
      <c r="C1322">
        <v>951.07037353999999</v>
      </c>
      <c r="D1322">
        <v>807.80773925999995</v>
      </c>
      <c r="E1322">
        <v>1954.6322021000001</v>
      </c>
      <c r="F1322">
        <v>1762.8488769999999</v>
      </c>
      <c r="G1322">
        <v>80</v>
      </c>
      <c r="H1322">
        <v>64.060577393000003</v>
      </c>
      <c r="I1322">
        <v>50</v>
      </c>
      <c r="J1322">
        <v>49.970077515</v>
      </c>
      <c r="K1322">
        <v>0</v>
      </c>
      <c r="L1322">
        <v>2400</v>
      </c>
      <c r="M1322">
        <v>2400</v>
      </c>
      <c r="N1322">
        <v>0</v>
      </c>
    </row>
    <row r="1323" spans="1:14" x14ac:dyDescent="0.25">
      <c r="A1323">
        <v>1035</v>
      </c>
      <c r="B1323" s="1">
        <f>DATE(2013,3,1) + TIME(0,0,0)</f>
        <v>41334</v>
      </c>
      <c r="C1323">
        <v>948.25335693</v>
      </c>
      <c r="D1323">
        <v>804.17779541000004</v>
      </c>
      <c r="E1323">
        <v>1954.2574463000001</v>
      </c>
      <c r="F1323">
        <v>1762.4775391000001</v>
      </c>
      <c r="G1323">
        <v>80</v>
      </c>
      <c r="H1323">
        <v>63.713077544999997</v>
      </c>
      <c r="I1323">
        <v>50</v>
      </c>
      <c r="J1323">
        <v>49.970081329000003</v>
      </c>
      <c r="K1323">
        <v>0</v>
      </c>
      <c r="L1323">
        <v>2400</v>
      </c>
      <c r="M1323">
        <v>2400</v>
      </c>
      <c r="N1323">
        <v>0</v>
      </c>
    </row>
    <row r="1324" spans="1:14" x14ac:dyDescent="0.25">
      <c r="A1324">
        <v>1038.1350600000001</v>
      </c>
      <c r="B1324" s="1">
        <f>DATE(2013,3,4) + TIME(3,14,29)</f>
        <v>41337.135057870371</v>
      </c>
      <c r="C1324">
        <v>947.41510010000002</v>
      </c>
      <c r="D1324">
        <v>802.44183350000003</v>
      </c>
      <c r="E1324">
        <v>1954.1308594</v>
      </c>
      <c r="F1324">
        <v>1762.3519286999999</v>
      </c>
      <c r="G1324">
        <v>80</v>
      </c>
      <c r="H1324">
        <v>63.298019408999998</v>
      </c>
      <c r="I1324">
        <v>50</v>
      </c>
      <c r="J1324">
        <v>49.970184326000002</v>
      </c>
      <c r="K1324">
        <v>0</v>
      </c>
      <c r="L1324">
        <v>2400</v>
      </c>
      <c r="M1324">
        <v>2400</v>
      </c>
      <c r="N1324">
        <v>0</v>
      </c>
    </row>
    <row r="1325" spans="1:14" x14ac:dyDescent="0.25">
      <c r="A1325">
        <v>1041.295306</v>
      </c>
      <c r="B1325" s="1">
        <f>DATE(2013,3,7) + TIME(7,5,14)</f>
        <v>41340.295300925929</v>
      </c>
      <c r="C1325">
        <v>944.49029541000004</v>
      </c>
      <c r="D1325">
        <v>798.25592041000004</v>
      </c>
      <c r="E1325">
        <v>1953.7495117000001</v>
      </c>
      <c r="F1325">
        <v>1761.973999</v>
      </c>
      <c r="G1325">
        <v>80</v>
      </c>
      <c r="H1325">
        <v>62.748435974000003</v>
      </c>
      <c r="I1325">
        <v>50</v>
      </c>
      <c r="J1325">
        <v>49.970260619999998</v>
      </c>
      <c r="K1325">
        <v>0</v>
      </c>
      <c r="L1325">
        <v>2400</v>
      </c>
      <c r="M1325">
        <v>2400</v>
      </c>
      <c r="N1325">
        <v>0</v>
      </c>
    </row>
    <row r="1326" spans="1:14" x14ac:dyDescent="0.25">
      <c r="A1326">
        <v>1044.4821420000001</v>
      </c>
      <c r="B1326" s="1">
        <f>DATE(2013,3,10) + TIME(11,34,17)</f>
        <v>41343.482141203705</v>
      </c>
      <c r="C1326">
        <v>941.45141602000001</v>
      </c>
      <c r="D1326">
        <v>793.82312012</v>
      </c>
      <c r="E1326">
        <v>1953.3648682</v>
      </c>
      <c r="F1326">
        <v>1761.5928954999999</v>
      </c>
      <c r="G1326">
        <v>80</v>
      </c>
      <c r="H1326">
        <v>62.157245635999999</v>
      </c>
      <c r="I1326">
        <v>50</v>
      </c>
      <c r="J1326">
        <v>49.970340729</v>
      </c>
      <c r="K1326">
        <v>0</v>
      </c>
      <c r="L1326">
        <v>2400</v>
      </c>
      <c r="M1326">
        <v>2400</v>
      </c>
      <c r="N1326">
        <v>0</v>
      </c>
    </row>
    <row r="1327" spans="1:14" x14ac:dyDescent="0.25">
      <c r="A1327">
        <v>1047.6937230000001</v>
      </c>
      <c r="B1327" s="1">
        <f>DATE(2013,3,13) + TIME(16,38,57)</f>
        <v>41346.693715277775</v>
      </c>
      <c r="C1327">
        <v>938.32232666000004</v>
      </c>
      <c r="D1327">
        <v>789.21649170000001</v>
      </c>
      <c r="E1327">
        <v>1952.9815673999999</v>
      </c>
      <c r="F1327">
        <v>1761.2131348</v>
      </c>
      <c r="G1327">
        <v>80</v>
      </c>
      <c r="H1327">
        <v>61.545532227000002</v>
      </c>
      <c r="I1327">
        <v>50</v>
      </c>
      <c r="J1327">
        <v>49.970420836999999</v>
      </c>
      <c r="K1327">
        <v>0</v>
      </c>
      <c r="L1327">
        <v>2400</v>
      </c>
      <c r="M1327">
        <v>2400</v>
      </c>
      <c r="N1327">
        <v>0</v>
      </c>
    </row>
    <row r="1328" spans="1:14" x14ac:dyDescent="0.25">
      <c r="A1328">
        <v>1050.9300490000001</v>
      </c>
      <c r="B1328" s="1">
        <f>DATE(2013,3,16) + TIME(22,19,16)</f>
        <v>41349.930046296293</v>
      </c>
      <c r="C1328">
        <v>935.10858154000005</v>
      </c>
      <c r="D1328">
        <v>784.45257568</v>
      </c>
      <c r="E1328">
        <v>1952.5998535000001</v>
      </c>
      <c r="F1328">
        <v>1760.8349608999999</v>
      </c>
      <c r="G1328">
        <v>80</v>
      </c>
      <c r="H1328">
        <v>60.918712616000001</v>
      </c>
      <c r="I1328">
        <v>50</v>
      </c>
      <c r="J1328">
        <v>49.970500946000001</v>
      </c>
      <c r="K1328">
        <v>0</v>
      </c>
      <c r="L1328">
        <v>2400</v>
      </c>
      <c r="M1328">
        <v>2400</v>
      </c>
      <c r="N1328">
        <v>0</v>
      </c>
    </row>
    <row r="1329" spans="1:14" x14ac:dyDescent="0.25">
      <c r="A1329">
        <v>1054.197465</v>
      </c>
      <c r="B1329" s="1">
        <f>DATE(2013,3,20) + TIME(4,44,20)</f>
        <v>41353.197453703702</v>
      </c>
      <c r="C1329">
        <v>931.81237793000003</v>
      </c>
      <c r="D1329">
        <v>779.53564453000001</v>
      </c>
      <c r="E1329">
        <v>1952.2191161999999</v>
      </c>
      <c r="F1329">
        <v>1760.4576416</v>
      </c>
      <c r="G1329">
        <v>80</v>
      </c>
      <c r="H1329">
        <v>60.278339385999999</v>
      </c>
      <c r="I1329">
        <v>50</v>
      </c>
      <c r="J1329">
        <v>49.970581054999997</v>
      </c>
      <c r="K1329">
        <v>0</v>
      </c>
      <c r="L1329">
        <v>2400</v>
      </c>
      <c r="M1329">
        <v>2400</v>
      </c>
      <c r="N1329">
        <v>0</v>
      </c>
    </row>
    <row r="1330" spans="1:14" x14ac:dyDescent="0.25">
      <c r="A1330">
        <v>1057.4905229999999</v>
      </c>
      <c r="B1330" s="1">
        <f>DATE(2013,3,23) + TIME(11,46,21)</f>
        <v>41356.490520833337</v>
      </c>
      <c r="C1330">
        <v>928.43035888999998</v>
      </c>
      <c r="D1330">
        <v>774.46081543000003</v>
      </c>
      <c r="E1330">
        <v>1951.8382568</v>
      </c>
      <c r="F1330">
        <v>1760.0804443</v>
      </c>
      <c r="G1330">
        <v>80</v>
      </c>
      <c r="H1330">
        <v>59.624008179</v>
      </c>
      <c r="I1330">
        <v>50</v>
      </c>
      <c r="J1330">
        <v>49.970661163000003</v>
      </c>
      <c r="K1330">
        <v>0</v>
      </c>
      <c r="L1330">
        <v>2400</v>
      </c>
      <c r="M1330">
        <v>2400</v>
      </c>
      <c r="N1330">
        <v>0</v>
      </c>
    </row>
    <row r="1331" spans="1:14" x14ac:dyDescent="0.25">
      <c r="A1331">
        <v>1060.809307</v>
      </c>
      <c r="B1331" s="1">
        <f>DATE(2013,3,26) + TIME(19,25,24)</f>
        <v>41359.809305555558</v>
      </c>
      <c r="C1331">
        <v>924.97064208999996</v>
      </c>
      <c r="D1331">
        <v>769.23779296999999</v>
      </c>
      <c r="E1331">
        <v>1951.4575195</v>
      </c>
      <c r="F1331">
        <v>1759.703125</v>
      </c>
      <c r="G1331">
        <v>80</v>
      </c>
      <c r="H1331">
        <v>58.957042694000002</v>
      </c>
      <c r="I1331">
        <v>50</v>
      </c>
      <c r="J1331">
        <v>49.970741271999998</v>
      </c>
      <c r="K1331">
        <v>0</v>
      </c>
      <c r="L1331">
        <v>2400</v>
      </c>
      <c r="M1331">
        <v>2400</v>
      </c>
      <c r="N1331">
        <v>0</v>
      </c>
    </row>
    <row r="1332" spans="1:14" x14ac:dyDescent="0.25">
      <c r="A1332">
        <v>1064.1496950000001</v>
      </c>
      <c r="B1332" s="1">
        <f>DATE(2013,3,30) + TIME(3,35,33)</f>
        <v>41363.149687500001</v>
      </c>
      <c r="C1332">
        <v>921.43609618999994</v>
      </c>
      <c r="D1332">
        <v>763.87182616999996</v>
      </c>
      <c r="E1332">
        <v>1951.0762939000001</v>
      </c>
      <c r="F1332">
        <v>1759.3255615</v>
      </c>
      <c r="G1332">
        <v>80</v>
      </c>
      <c r="H1332">
        <v>58.279155731000003</v>
      </c>
      <c r="I1332">
        <v>50</v>
      </c>
      <c r="J1332">
        <v>49.970821381</v>
      </c>
      <c r="K1332">
        <v>0</v>
      </c>
      <c r="L1332">
        <v>2400</v>
      </c>
      <c r="M1332">
        <v>2400</v>
      </c>
      <c r="N1332">
        <v>0</v>
      </c>
    </row>
    <row r="1333" spans="1:14" x14ac:dyDescent="0.25">
      <c r="A1333">
        <v>1066</v>
      </c>
      <c r="B1333" s="1">
        <f>DATE(2013,4,1) + TIME(0,0,0)</f>
        <v>41365</v>
      </c>
      <c r="C1333">
        <v>917.84906006000006</v>
      </c>
      <c r="D1333">
        <v>758.63763428000004</v>
      </c>
      <c r="E1333">
        <v>1950.6994629000001</v>
      </c>
      <c r="F1333">
        <v>1758.9520264</v>
      </c>
      <c r="G1333">
        <v>80</v>
      </c>
      <c r="H1333">
        <v>57.692008971999996</v>
      </c>
      <c r="I1333">
        <v>50</v>
      </c>
      <c r="J1333">
        <v>49.970859527999998</v>
      </c>
      <c r="K1333">
        <v>0</v>
      </c>
      <c r="L1333">
        <v>2400</v>
      </c>
      <c r="M1333">
        <v>2400</v>
      </c>
      <c r="N1333">
        <v>0</v>
      </c>
    </row>
    <row r="1334" spans="1:14" x14ac:dyDescent="0.25">
      <c r="A1334">
        <v>1069.3674570000001</v>
      </c>
      <c r="B1334" s="1">
        <f>DATE(2013,4,4) + TIME(8,49,8)</f>
        <v>41368.3674537037</v>
      </c>
      <c r="C1334">
        <v>915.79479979999996</v>
      </c>
      <c r="D1334">
        <v>755.13647461000005</v>
      </c>
      <c r="E1334">
        <v>1950.479126</v>
      </c>
      <c r="F1334">
        <v>1758.7337646000001</v>
      </c>
      <c r="G1334">
        <v>80</v>
      </c>
      <c r="H1334">
        <v>57.165134430000002</v>
      </c>
      <c r="I1334">
        <v>50</v>
      </c>
      <c r="J1334">
        <v>49.970947266000003</v>
      </c>
      <c r="K1334">
        <v>0</v>
      </c>
      <c r="L1334">
        <v>2400</v>
      </c>
      <c r="M1334">
        <v>2400</v>
      </c>
      <c r="N1334">
        <v>0</v>
      </c>
    </row>
    <row r="1335" spans="1:14" x14ac:dyDescent="0.25">
      <c r="A1335">
        <v>1072.79177</v>
      </c>
      <c r="B1335" s="1">
        <f>DATE(2013,4,7) + TIME(19,0,8)</f>
        <v>41371.791759259257</v>
      </c>
      <c r="C1335">
        <v>912.13317871000004</v>
      </c>
      <c r="D1335">
        <v>749.57940673999997</v>
      </c>
      <c r="E1335">
        <v>1950.1011963000001</v>
      </c>
      <c r="F1335">
        <v>1758.3592529</v>
      </c>
      <c r="G1335">
        <v>80</v>
      </c>
      <c r="H1335">
        <v>56.500347136999999</v>
      </c>
      <c r="I1335">
        <v>50</v>
      </c>
      <c r="J1335">
        <v>49.971023559999999</v>
      </c>
      <c r="K1335">
        <v>0</v>
      </c>
      <c r="L1335">
        <v>2400</v>
      </c>
      <c r="M1335">
        <v>2400</v>
      </c>
      <c r="N1335">
        <v>0</v>
      </c>
    </row>
    <row r="1336" spans="1:14" x14ac:dyDescent="0.25">
      <c r="A1336">
        <v>1076.2492689999999</v>
      </c>
      <c r="B1336" s="1">
        <f>DATE(2013,4,11) + TIME(5,58,56)</f>
        <v>41375.249259259261</v>
      </c>
      <c r="C1336">
        <v>908.35357666000004</v>
      </c>
      <c r="D1336">
        <v>743.75054932</v>
      </c>
      <c r="E1336">
        <v>1949.7137451000001</v>
      </c>
      <c r="F1336">
        <v>1757.9753418</v>
      </c>
      <c r="G1336">
        <v>80</v>
      </c>
      <c r="H1336">
        <v>55.797084808000001</v>
      </c>
      <c r="I1336">
        <v>50</v>
      </c>
      <c r="J1336">
        <v>49.971103667999998</v>
      </c>
      <c r="K1336">
        <v>0</v>
      </c>
      <c r="L1336">
        <v>2400</v>
      </c>
      <c r="M1336">
        <v>2400</v>
      </c>
      <c r="N1336">
        <v>0</v>
      </c>
    </row>
    <row r="1337" spans="1:14" x14ac:dyDescent="0.25">
      <c r="A1337">
        <v>1079.736101</v>
      </c>
      <c r="B1337" s="1">
        <f>DATE(2013,4,14) + TIME(17,39,59)</f>
        <v>41378.73609953704</v>
      </c>
      <c r="C1337">
        <v>904.50677489999998</v>
      </c>
      <c r="D1337">
        <v>737.77239989999998</v>
      </c>
      <c r="E1337">
        <v>1949.3229980000001</v>
      </c>
      <c r="F1337">
        <v>1757.5880127</v>
      </c>
      <c r="G1337">
        <v>80</v>
      </c>
      <c r="H1337">
        <v>55.080780029000003</v>
      </c>
      <c r="I1337">
        <v>50</v>
      </c>
      <c r="J1337">
        <v>49.971183777</v>
      </c>
      <c r="K1337">
        <v>0</v>
      </c>
      <c r="L1337">
        <v>2400</v>
      </c>
      <c r="M1337">
        <v>2400</v>
      </c>
      <c r="N1337">
        <v>0</v>
      </c>
    </row>
    <row r="1338" spans="1:14" x14ac:dyDescent="0.25">
      <c r="A1338">
        <v>1083.260158</v>
      </c>
      <c r="B1338" s="1">
        <f>DATE(2013,4,18) + TIME(6,14,37)</f>
        <v>41382.260150462964</v>
      </c>
      <c r="C1338">
        <v>900.60479736000002</v>
      </c>
      <c r="D1338">
        <v>731.67333984000004</v>
      </c>
      <c r="E1338">
        <v>1948.9291992000001</v>
      </c>
      <c r="F1338">
        <v>1757.1976318</v>
      </c>
      <c r="G1338">
        <v>80</v>
      </c>
      <c r="H1338">
        <v>54.357902527</v>
      </c>
      <c r="I1338">
        <v>50</v>
      </c>
      <c r="J1338">
        <v>49.971263884999999</v>
      </c>
      <c r="K1338">
        <v>0</v>
      </c>
      <c r="L1338">
        <v>2400</v>
      </c>
      <c r="M1338">
        <v>2400</v>
      </c>
      <c r="N1338">
        <v>0</v>
      </c>
    </row>
    <row r="1339" spans="1:14" x14ac:dyDescent="0.25">
      <c r="A1339">
        <v>1086.824447</v>
      </c>
      <c r="B1339" s="1">
        <f>DATE(2013,4,21) + TIME(19,47,12)</f>
        <v>41385.824444444443</v>
      </c>
      <c r="C1339">
        <v>896.64477538999995</v>
      </c>
      <c r="D1339">
        <v>725.45294189000003</v>
      </c>
      <c r="E1339">
        <v>1948.5310059000001</v>
      </c>
      <c r="F1339">
        <v>1756.8029785000001</v>
      </c>
      <c r="G1339">
        <v>80</v>
      </c>
      <c r="H1339">
        <v>53.629840850999997</v>
      </c>
      <c r="I1339">
        <v>50</v>
      </c>
      <c r="J1339">
        <v>49.971343994000001</v>
      </c>
      <c r="K1339">
        <v>0</v>
      </c>
      <c r="L1339">
        <v>2400</v>
      </c>
      <c r="M1339">
        <v>2400</v>
      </c>
      <c r="N1339">
        <v>0</v>
      </c>
    </row>
    <row r="1340" spans="1:14" x14ac:dyDescent="0.25">
      <c r="A1340">
        <v>1090.4360240000001</v>
      </c>
      <c r="B1340" s="1">
        <f>DATE(2013,4,25) + TIME(10,27,52)</f>
        <v>41389.436018518521</v>
      </c>
      <c r="C1340">
        <v>892.62902831999997</v>
      </c>
      <c r="D1340">
        <v>719.11425781000003</v>
      </c>
      <c r="E1340">
        <v>1948.1279297000001</v>
      </c>
      <c r="F1340">
        <v>1756.4034423999999</v>
      </c>
      <c r="G1340">
        <v>80</v>
      </c>
      <c r="H1340">
        <v>52.897502899000003</v>
      </c>
      <c r="I1340">
        <v>50</v>
      </c>
      <c r="J1340">
        <v>49.971424102999997</v>
      </c>
      <c r="K1340">
        <v>0</v>
      </c>
      <c r="L1340">
        <v>2400</v>
      </c>
      <c r="M1340">
        <v>2400</v>
      </c>
      <c r="N1340">
        <v>0</v>
      </c>
    </row>
    <row r="1341" spans="1:14" x14ac:dyDescent="0.25">
      <c r="A1341">
        <v>1094.1034970000001</v>
      </c>
      <c r="B1341" s="1">
        <f>DATE(2013,4,29) + TIME(2,29,2)</f>
        <v>41393.103495370371</v>
      </c>
      <c r="C1341">
        <v>888.55688477000001</v>
      </c>
      <c r="D1341">
        <v>712.65631103999999</v>
      </c>
      <c r="E1341">
        <v>1947.7188721</v>
      </c>
      <c r="F1341">
        <v>1755.9976807</v>
      </c>
      <c r="G1341">
        <v>80</v>
      </c>
      <c r="H1341">
        <v>52.161174774000003</v>
      </c>
      <c r="I1341">
        <v>50</v>
      </c>
      <c r="J1341">
        <v>49.971508026000002</v>
      </c>
      <c r="K1341">
        <v>0</v>
      </c>
      <c r="L1341">
        <v>2400</v>
      </c>
      <c r="M1341">
        <v>2400</v>
      </c>
      <c r="N1341">
        <v>0</v>
      </c>
    </row>
    <row r="1342" spans="1:14" x14ac:dyDescent="0.25">
      <c r="A1342">
        <v>1096</v>
      </c>
      <c r="B1342" s="1">
        <f>DATE(2013,5,1) + TIME(0,0,0)</f>
        <v>41395</v>
      </c>
      <c r="C1342">
        <v>884.44702147999999</v>
      </c>
      <c r="D1342">
        <v>706.44500731999995</v>
      </c>
      <c r="E1342">
        <v>1947.3110352000001</v>
      </c>
      <c r="F1342">
        <v>1755.5932617000001</v>
      </c>
      <c r="G1342">
        <v>80</v>
      </c>
      <c r="H1342">
        <v>51.536193848000003</v>
      </c>
      <c r="I1342">
        <v>50</v>
      </c>
      <c r="J1342">
        <v>49.971538543999998</v>
      </c>
      <c r="K1342">
        <v>0</v>
      </c>
      <c r="L1342">
        <v>2400</v>
      </c>
      <c r="M1342">
        <v>2400</v>
      </c>
      <c r="N1342">
        <v>0</v>
      </c>
    </row>
    <row r="1343" spans="1:14" x14ac:dyDescent="0.25">
      <c r="A1343">
        <v>1096.0000010000001</v>
      </c>
      <c r="B1343" s="1">
        <f>DATE(2013,5,1) + TIME(0,0,0)</f>
        <v>41395</v>
      </c>
      <c r="C1343">
        <v>1064.0362548999999</v>
      </c>
      <c r="D1343">
        <v>885.31445312000005</v>
      </c>
      <c r="E1343">
        <v>1754.6851807</v>
      </c>
      <c r="F1343">
        <v>1563.0102539</v>
      </c>
      <c r="G1343">
        <v>80</v>
      </c>
      <c r="H1343">
        <v>51.536334990999997</v>
      </c>
      <c r="I1343">
        <v>50</v>
      </c>
      <c r="J1343">
        <v>49.971424102999997</v>
      </c>
      <c r="K1343">
        <v>2400</v>
      </c>
      <c r="L1343">
        <v>0</v>
      </c>
      <c r="M1343">
        <v>0</v>
      </c>
      <c r="N1343">
        <v>2400</v>
      </c>
    </row>
    <row r="1344" spans="1:14" x14ac:dyDescent="0.25">
      <c r="A1344">
        <v>1096.000004</v>
      </c>
      <c r="B1344" s="1">
        <f>DATE(2013,5,1) + TIME(0,0,0)</f>
        <v>41395</v>
      </c>
      <c r="C1344">
        <v>1066.7337646000001</v>
      </c>
      <c r="D1344">
        <v>887.88378906000003</v>
      </c>
      <c r="E1344">
        <v>1751.9958495999999</v>
      </c>
      <c r="F1344">
        <v>1560.3189697</v>
      </c>
      <c r="G1344">
        <v>80</v>
      </c>
      <c r="H1344">
        <v>51.536758423000002</v>
      </c>
      <c r="I1344">
        <v>50</v>
      </c>
      <c r="J1344">
        <v>49.971084595000001</v>
      </c>
      <c r="K1344">
        <v>2400</v>
      </c>
      <c r="L1344">
        <v>0</v>
      </c>
      <c r="M1344">
        <v>0</v>
      </c>
      <c r="N1344">
        <v>2400</v>
      </c>
    </row>
    <row r="1345" spans="1:14" x14ac:dyDescent="0.25">
      <c r="A1345">
        <v>1096.0000130000001</v>
      </c>
      <c r="B1345" s="1">
        <f>DATE(2013,5,1) + TIME(0,0,1)</f>
        <v>41395.000011574077</v>
      </c>
      <c r="C1345">
        <v>1074.5047606999999</v>
      </c>
      <c r="D1345">
        <v>895.30920409999999</v>
      </c>
      <c r="E1345">
        <v>1744.2292480000001</v>
      </c>
      <c r="F1345">
        <v>1552.5465088000001</v>
      </c>
      <c r="G1345">
        <v>80</v>
      </c>
      <c r="H1345">
        <v>51.537982941000003</v>
      </c>
      <c r="I1345">
        <v>50</v>
      </c>
      <c r="J1345">
        <v>49.970104218000003</v>
      </c>
      <c r="K1345">
        <v>2400</v>
      </c>
      <c r="L1345">
        <v>0</v>
      </c>
      <c r="M1345">
        <v>0</v>
      </c>
      <c r="N1345">
        <v>2400</v>
      </c>
    </row>
    <row r="1346" spans="1:14" x14ac:dyDescent="0.25">
      <c r="A1346">
        <v>1096.0000399999999</v>
      </c>
      <c r="B1346" s="1">
        <f>DATE(2013,5,1) + TIME(0,0,3)</f>
        <v>41395.000034722223</v>
      </c>
      <c r="C1346">
        <v>1095.3314209</v>
      </c>
      <c r="D1346">
        <v>915.36773682</v>
      </c>
      <c r="E1346">
        <v>1723.2783202999999</v>
      </c>
      <c r="F1346">
        <v>1531.5808105000001</v>
      </c>
      <c r="G1346">
        <v>80</v>
      </c>
      <c r="H1346">
        <v>51.541389465000002</v>
      </c>
      <c r="I1346">
        <v>50</v>
      </c>
      <c r="J1346">
        <v>49.967453003000003</v>
      </c>
      <c r="K1346">
        <v>2400</v>
      </c>
      <c r="L1346">
        <v>0</v>
      </c>
      <c r="M1346">
        <v>0</v>
      </c>
      <c r="N1346">
        <v>2400</v>
      </c>
    </row>
    <row r="1347" spans="1:14" x14ac:dyDescent="0.25">
      <c r="A1347">
        <v>1096.000121</v>
      </c>
      <c r="B1347" s="1">
        <f>DATE(2013,5,1) + TIME(0,0,10)</f>
        <v>41395.000115740739</v>
      </c>
      <c r="C1347">
        <v>1142.5389404</v>
      </c>
      <c r="D1347">
        <v>961.51654053000004</v>
      </c>
      <c r="E1347">
        <v>1675.1427002</v>
      </c>
      <c r="F1347">
        <v>1483.4169922000001</v>
      </c>
      <c r="G1347">
        <v>80</v>
      </c>
      <c r="H1347">
        <v>51.549888611</v>
      </c>
      <c r="I1347">
        <v>50</v>
      </c>
      <c r="J1347">
        <v>49.961364746000001</v>
      </c>
      <c r="K1347">
        <v>2400</v>
      </c>
      <c r="L1347">
        <v>0</v>
      </c>
      <c r="M1347">
        <v>0</v>
      </c>
      <c r="N1347">
        <v>2400</v>
      </c>
    </row>
    <row r="1348" spans="1:14" x14ac:dyDescent="0.25">
      <c r="A1348">
        <v>1096.000364</v>
      </c>
      <c r="B1348" s="1">
        <f>DATE(2013,5,1) + TIME(0,0,31)</f>
        <v>41395.000358796293</v>
      </c>
      <c r="C1348">
        <v>1222.5321045000001</v>
      </c>
      <c r="D1348">
        <v>1041.1326904</v>
      </c>
      <c r="E1348">
        <v>1591.8104248</v>
      </c>
      <c r="F1348">
        <v>1400.0600586</v>
      </c>
      <c r="G1348">
        <v>80</v>
      </c>
      <c r="H1348">
        <v>51.568012238000001</v>
      </c>
      <c r="I1348">
        <v>50</v>
      </c>
      <c r="J1348">
        <v>49.950828551999997</v>
      </c>
      <c r="K1348">
        <v>2400</v>
      </c>
      <c r="L1348">
        <v>0</v>
      </c>
      <c r="M1348">
        <v>0</v>
      </c>
      <c r="N1348">
        <v>2400</v>
      </c>
    </row>
    <row r="1349" spans="1:14" x14ac:dyDescent="0.25">
      <c r="A1349">
        <v>1096.0010930000001</v>
      </c>
      <c r="B1349" s="1">
        <f>DATE(2013,5,1) + TIME(0,1,34)</f>
        <v>41395.001087962963</v>
      </c>
      <c r="C1349">
        <v>1321.6365966999999</v>
      </c>
      <c r="D1349">
        <v>1140.8424072</v>
      </c>
      <c r="E1349">
        <v>1486.8890381000001</v>
      </c>
      <c r="F1349">
        <v>1295.1513672000001</v>
      </c>
      <c r="G1349">
        <v>80</v>
      </c>
      <c r="H1349">
        <v>51.604701996000003</v>
      </c>
      <c r="I1349">
        <v>50</v>
      </c>
      <c r="J1349">
        <v>49.937534331999998</v>
      </c>
      <c r="K1349">
        <v>2400</v>
      </c>
      <c r="L1349">
        <v>0</v>
      </c>
      <c r="M1349">
        <v>0</v>
      </c>
      <c r="N1349">
        <v>2400</v>
      </c>
    </row>
    <row r="1350" spans="1:14" x14ac:dyDescent="0.25">
      <c r="A1350">
        <v>1096.0032799999999</v>
      </c>
      <c r="B1350" s="1">
        <f>DATE(2013,5,1) + TIME(0,4,43)</f>
        <v>41395.003275462965</v>
      </c>
      <c r="C1350">
        <v>1425.5373535000001</v>
      </c>
      <c r="D1350">
        <v>1245.6837158000001</v>
      </c>
      <c r="E1350">
        <v>1377.4160156</v>
      </c>
      <c r="F1350">
        <v>1185.7421875</v>
      </c>
      <c r="G1350">
        <v>80</v>
      </c>
      <c r="H1350">
        <v>51.689682007000002</v>
      </c>
      <c r="I1350">
        <v>50</v>
      </c>
      <c r="J1350">
        <v>49.923545836999999</v>
      </c>
      <c r="K1350">
        <v>2400</v>
      </c>
      <c r="L1350">
        <v>0</v>
      </c>
      <c r="M1350">
        <v>0</v>
      </c>
      <c r="N1350">
        <v>2400</v>
      </c>
    </row>
    <row r="1351" spans="1:14" x14ac:dyDescent="0.25">
      <c r="A1351">
        <v>1096.0098410000001</v>
      </c>
      <c r="B1351" s="1">
        <f>DATE(2013,5,1) + TIME(0,14,10)</f>
        <v>41395.009837962964</v>
      </c>
      <c r="C1351">
        <v>1532.8026123</v>
      </c>
      <c r="D1351">
        <v>1354.1571045000001</v>
      </c>
      <c r="E1351">
        <v>1267.6634521000001</v>
      </c>
      <c r="F1351">
        <v>1076.1137695</v>
      </c>
      <c r="G1351">
        <v>80</v>
      </c>
      <c r="H1351">
        <v>51.916095734000002</v>
      </c>
      <c r="I1351">
        <v>50</v>
      </c>
      <c r="J1351">
        <v>49.909160614000001</v>
      </c>
      <c r="K1351">
        <v>2400</v>
      </c>
      <c r="L1351">
        <v>0</v>
      </c>
      <c r="M1351">
        <v>0</v>
      </c>
      <c r="N1351">
        <v>2400</v>
      </c>
    </row>
    <row r="1352" spans="1:14" x14ac:dyDescent="0.25">
      <c r="A1352">
        <v>1096.029524</v>
      </c>
      <c r="B1352" s="1">
        <f>DATE(2013,5,1) + TIME(0,42,30)</f>
        <v>41395.029513888891</v>
      </c>
      <c r="C1352">
        <v>1646.7774658000001</v>
      </c>
      <c r="D1352">
        <v>1470.1706543</v>
      </c>
      <c r="E1352">
        <v>1156.5672606999999</v>
      </c>
      <c r="F1352">
        <v>965.14685058999999</v>
      </c>
      <c r="G1352">
        <v>80</v>
      </c>
      <c r="H1352">
        <v>52.553478241000001</v>
      </c>
      <c r="I1352">
        <v>50</v>
      </c>
      <c r="J1352">
        <v>49.893505095999998</v>
      </c>
      <c r="K1352">
        <v>2400</v>
      </c>
      <c r="L1352">
        <v>0</v>
      </c>
      <c r="M1352">
        <v>0</v>
      </c>
      <c r="N1352">
        <v>2400</v>
      </c>
    </row>
    <row r="1353" spans="1:14" x14ac:dyDescent="0.25">
      <c r="A1353">
        <v>1096.05871</v>
      </c>
      <c r="B1353" s="1">
        <f>DATE(2013,5,1) + TIME(1,24,32)</f>
        <v>41395.058703703704</v>
      </c>
      <c r="C1353">
        <v>1725.7189940999999</v>
      </c>
      <c r="D1353">
        <v>1551.5039062000001</v>
      </c>
      <c r="E1353">
        <v>1081.043457</v>
      </c>
      <c r="F1353">
        <v>889.66192626999998</v>
      </c>
      <c r="G1353">
        <v>80</v>
      </c>
      <c r="H1353">
        <v>53.457500457999998</v>
      </c>
      <c r="I1353">
        <v>50</v>
      </c>
      <c r="J1353">
        <v>49.881404877000001</v>
      </c>
      <c r="K1353">
        <v>2400</v>
      </c>
      <c r="L1353">
        <v>0</v>
      </c>
      <c r="M1353">
        <v>0</v>
      </c>
      <c r="N1353">
        <v>2400</v>
      </c>
    </row>
    <row r="1354" spans="1:14" x14ac:dyDescent="0.25">
      <c r="A1354">
        <v>1096.089203</v>
      </c>
      <c r="B1354" s="1">
        <f>DATE(2013,5,1) + TIME(2,8,27)</f>
        <v>41395.089201388888</v>
      </c>
      <c r="C1354">
        <v>1773.8126221</v>
      </c>
      <c r="D1354">
        <v>1601.8353271000001</v>
      </c>
      <c r="E1354">
        <v>1034.3990478999999</v>
      </c>
      <c r="F1354">
        <v>843.01538086000005</v>
      </c>
      <c r="G1354">
        <v>80</v>
      </c>
      <c r="H1354">
        <v>54.367259979000004</v>
      </c>
      <c r="I1354">
        <v>50</v>
      </c>
      <c r="J1354">
        <v>49.872703551999997</v>
      </c>
      <c r="K1354">
        <v>2400</v>
      </c>
      <c r="L1354">
        <v>0</v>
      </c>
      <c r="M1354">
        <v>0</v>
      </c>
      <c r="N1354">
        <v>2400</v>
      </c>
    </row>
    <row r="1355" spans="1:14" x14ac:dyDescent="0.25">
      <c r="A1355">
        <v>1096.1208320000001</v>
      </c>
      <c r="B1355" s="1">
        <f>DATE(2013,5,1) + TIME(2,53,59)</f>
        <v>41395.120821759258</v>
      </c>
      <c r="C1355">
        <v>1806.1082764</v>
      </c>
      <c r="D1355">
        <v>1636.2861327999999</v>
      </c>
      <c r="E1355">
        <v>1002.1798096</v>
      </c>
      <c r="F1355">
        <v>810.78448486000002</v>
      </c>
      <c r="G1355">
        <v>80</v>
      </c>
      <c r="H1355">
        <v>55.277244568</v>
      </c>
      <c r="I1355">
        <v>50</v>
      </c>
      <c r="J1355">
        <v>49.865653991999999</v>
      </c>
      <c r="K1355">
        <v>2400</v>
      </c>
      <c r="L1355">
        <v>0</v>
      </c>
      <c r="M1355">
        <v>0</v>
      </c>
      <c r="N1355">
        <v>2400</v>
      </c>
    </row>
    <row r="1356" spans="1:14" x14ac:dyDescent="0.25">
      <c r="A1356">
        <v>1096.1535710000001</v>
      </c>
      <c r="B1356" s="1">
        <f>DATE(2013,5,1) + TIME(3,41,8)</f>
        <v>41395.153564814813</v>
      </c>
      <c r="C1356">
        <v>1829.0329589999999</v>
      </c>
      <c r="D1356">
        <v>1661.3007812000001</v>
      </c>
      <c r="E1356">
        <v>978.54449463000003</v>
      </c>
      <c r="F1356">
        <v>787.13708496000004</v>
      </c>
      <c r="G1356">
        <v>80</v>
      </c>
      <c r="H1356">
        <v>56.185329437</v>
      </c>
      <c r="I1356">
        <v>50</v>
      </c>
      <c r="J1356">
        <v>49.859554291000002</v>
      </c>
      <c r="K1356">
        <v>2400</v>
      </c>
      <c r="L1356">
        <v>0</v>
      </c>
      <c r="M1356">
        <v>0</v>
      </c>
      <c r="N1356">
        <v>2400</v>
      </c>
    </row>
    <row r="1357" spans="1:14" x14ac:dyDescent="0.25">
      <c r="A1357">
        <v>1096.187459</v>
      </c>
      <c r="B1357" s="1">
        <f>DATE(2013,5,1) + TIME(4,29,56)</f>
        <v>41395.1874537037</v>
      </c>
      <c r="C1357">
        <v>1845.8808594</v>
      </c>
      <c r="D1357">
        <v>1680.1791992000001</v>
      </c>
      <c r="E1357">
        <v>960.57733154000005</v>
      </c>
      <c r="F1357">
        <v>769.15936279000005</v>
      </c>
      <c r="G1357">
        <v>80</v>
      </c>
      <c r="H1357">
        <v>57.090717316000003</v>
      </c>
      <c r="I1357">
        <v>50</v>
      </c>
      <c r="J1357">
        <v>49.854049683</v>
      </c>
      <c r="K1357">
        <v>2400</v>
      </c>
      <c r="L1357">
        <v>0</v>
      </c>
      <c r="M1357">
        <v>0</v>
      </c>
      <c r="N1357">
        <v>2400</v>
      </c>
    </row>
    <row r="1358" spans="1:14" x14ac:dyDescent="0.25">
      <c r="A1358">
        <v>1096.222559</v>
      </c>
      <c r="B1358" s="1">
        <f>DATE(2013,5,1) + TIME(5,20,29)</f>
        <v>41395.222557870373</v>
      </c>
      <c r="C1358">
        <v>1858.536499</v>
      </c>
      <c r="D1358">
        <v>1694.8093262</v>
      </c>
      <c r="E1358">
        <v>946.62097168000003</v>
      </c>
      <c r="F1358">
        <v>755.19415283000001</v>
      </c>
      <c r="G1358">
        <v>80</v>
      </c>
      <c r="H1358">
        <v>57.992942810000002</v>
      </c>
      <c r="I1358">
        <v>50</v>
      </c>
      <c r="J1358">
        <v>49.848934174</v>
      </c>
      <c r="K1358">
        <v>2400</v>
      </c>
      <c r="L1358">
        <v>0</v>
      </c>
      <c r="M1358">
        <v>0</v>
      </c>
      <c r="N1358">
        <v>2400</v>
      </c>
    </row>
    <row r="1359" spans="1:14" x14ac:dyDescent="0.25">
      <c r="A1359">
        <v>1096.2589479999999</v>
      </c>
      <c r="B1359" s="1">
        <f>DATE(2013,5,1) + TIME(6,12,53)</f>
        <v>41395.258946759262</v>
      </c>
      <c r="C1359">
        <v>1868.1629639</v>
      </c>
      <c r="D1359">
        <v>1706.3560791</v>
      </c>
      <c r="E1359">
        <v>935.64526366999996</v>
      </c>
      <c r="F1359">
        <v>744.2109375</v>
      </c>
      <c r="G1359">
        <v>80</v>
      </c>
      <c r="H1359">
        <v>58.891674041999998</v>
      </c>
      <c r="I1359">
        <v>50</v>
      </c>
      <c r="J1359">
        <v>49.844074249000002</v>
      </c>
      <c r="K1359">
        <v>2400</v>
      </c>
      <c r="L1359">
        <v>0</v>
      </c>
      <c r="M1359">
        <v>0</v>
      </c>
      <c r="N1359">
        <v>2400</v>
      </c>
    </row>
    <row r="1360" spans="1:14" x14ac:dyDescent="0.25">
      <c r="A1360">
        <v>1096.2967209999999</v>
      </c>
      <c r="B1360" s="1">
        <f>DATE(2013,5,1) + TIME(7,7,16)</f>
        <v>41395.296712962961</v>
      </c>
      <c r="C1360">
        <v>1875.5200195</v>
      </c>
      <c r="D1360">
        <v>1715.5810547000001</v>
      </c>
      <c r="E1360">
        <v>926.96496581999997</v>
      </c>
      <c r="F1360">
        <v>735.52423095999995</v>
      </c>
      <c r="G1360">
        <v>80</v>
      </c>
      <c r="H1360">
        <v>59.786647797000001</v>
      </c>
      <c r="I1360">
        <v>50</v>
      </c>
      <c r="J1360">
        <v>49.839378357000001</v>
      </c>
      <c r="K1360">
        <v>2400</v>
      </c>
      <c r="L1360">
        <v>0</v>
      </c>
      <c r="M1360">
        <v>0</v>
      </c>
      <c r="N1360">
        <v>2400</v>
      </c>
    </row>
    <row r="1361" spans="1:14" x14ac:dyDescent="0.25">
      <c r="A1361">
        <v>1096.3359869999999</v>
      </c>
      <c r="B1361" s="1">
        <f>DATE(2013,5,1) + TIME(8,3,49)</f>
        <v>41395.3359837963</v>
      </c>
      <c r="C1361">
        <v>1881.1276855000001</v>
      </c>
      <c r="D1361">
        <v>1723.005249</v>
      </c>
      <c r="E1361">
        <v>920.09790038999995</v>
      </c>
      <c r="F1361">
        <v>728.65167236000002</v>
      </c>
      <c r="G1361">
        <v>80</v>
      </c>
      <c r="H1361">
        <v>60.677124022999998</v>
      </c>
      <c r="I1361">
        <v>50</v>
      </c>
      <c r="J1361">
        <v>49.834789276000002</v>
      </c>
      <c r="K1361">
        <v>2400</v>
      </c>
      <c r="L1361">
        <v>0</v>
      </c>
      <c r="M1361">
        <v>0</v>
      </c>
      <c r="N1361">
        <v>2400</v>
      </c>
    </row>
    <row r="1362" spans="1:14" x14ac:dyDescent="0.25">
      <c r="A1362">
        <v>1096.3768680000001</v>
      </c>
      <c r="B1362" s="1">
        <f>DATE(2013,5,1) + TIME(9,2,41)</f>
        <v>41395.376863425925</v>
      </c>
      <c r="C1362">
        <v>1885.3557129000001</v>
      </c>
      <c r="D1362">
        <v>1729.0003661999999</v>
      </c>
      <c r="E1362">
        <v>914.68829345999995</v>
      </c>
      <c r="F1362">
        <v>723.23718262</v>
      </c>
      <c r="G1362">
        <v>80</v>
      </c>
      <c r="H1362">
        <v>61.563186645999998</v>
      </c>
      <c r="I1362">
        <v>50</v>
      </c>
      <c r="J1362">
        <v>49.830242157000001</v>
      </c>
      <c r="K1362">
        <v>2400</v>
      </c>
      <c r="L1362">
        <v>0</v>
      </c>
      <c r="M1362">
        <v>0</v>
      </c>
      <c r="N1362">
        <v>2400</v>
      </c>
    </row>
    <row r="1363" spans="1:14" x14ac:dyDescent="0.25">
      <c r="A1363">
        <v>1096.419506</v>
      </c>
      <c r="B1363" s="1">
        <f>DATE(2013,5,1) + TIME(10,4,5)</f>
        <v>41395.419502314813</v>
      </c>
      <c r="C1363">
        <v>1888.4768065999999</v>
      </c>
      <c r="D1363">
        <v>1733.8404541</v>
      </c>
      <c r="E1363">
        <v>910.46264647999999</v>
      </c>
      <c r="F1363">
        <v>719.00714111000002</v>
      </c>
      <c r="G1363">
        <v>80</v>
      </c>
      <c r="H1363">
        <v>62.444744110000002</v>
      </c>
      <c r="I1363">
        <v>50</v>
      </c>
      <c r="J1363">
        <v>49.825706482000001</v>
      </c>
      <c r="K1363">
        <v>2400</v>
      </c>
      <c r="L1363">
        <v>0</v>
      </c>
      <c r="M1363">
        <v>0</v>
      </c>
      <c r="N1363">
        <v>2400</v>
      </c>
    </row>
    <row r="1364" spans="1:14" x14ac:dyDescent="0.25">
      <c r="A1364">
        <v>1096.4640629999999</v>
      </c>
      <c r="B1364" s="1">
        <f>DATE(2013,5,1) + TIME(11,8,15)</f>
        <v>41395.464062500003</v>
      </c>
      <c r="C1364">
        <v>1890.6984863</v>
      </c>
      <c r="D1364">
        <v>1737.7341309000001</v>
      </c>
      <c r="E1364">
        <v>907.20367432</v>
      </c>
      <c r="F1364">
        <v>715.74414062000005</v>
      </c>
      <c r="G1364">
        <v>80</v>
      </c>
      <c r="H1364">
        <v>63.321544647000003</v>
      </c>
      <c r="I1364">
        <v>50</v>
      </c>
      <c r="J1364">
        <v>49.821132660000004</v>
      </c>
      <c r="K1364">
        <v>2400</v>
      </c>
      <c r="L1364">
        <v>0</v>
      </c>
      <c r="M1364">
        <v>0</v>
      </c>
      <c r="N1364">
        <v>2400</v>
      </c>
    </row>
    <row r="1365" spans="1:14" x14ac:dyDescent="0.25">
      <c r="A1365">
        <v>1096.510749</v>
      </c>
      <c r="B1365" s="1">
        <f>DATE(2013,5,1) + TIME(12,15,28)</f>
        <v>41395.510740740741</v>
      </c>
      <c r="C1365">
        <v>1892.1831055</v>
      </c>
      <c r="D1365">
        <v>1740.8459473</v>
      </c>
      <c r="E1365">
        <v>904.73345946999996</v>
      </c>
      <c r="F1365">
        <v>713.27020263999998</v>
      </c>
      <c r="G1365">
        <v>80</v>
      </c>
      <c r="H1365">
        <v>64.193771362000007</v>
      </c>
      <c r="I1365">
        <v>50</v>
      </c>
      <c r="J1365">
        <v>49.816486359000002</v>
      </c>
      <c r="K1365">
        <v>2400</v>
      </c>
      <c r="L1365">
        <v>0</v>
      </c>
      <c r="M1365">
        <v>0</v>
      </c>
      <c r="N1365">
        <v>2400</v>
      </c>
    </row>
    <row r="1366" spans="1:14" x14ac:dyDescent="0.25">
      <c r="A1366">
        <v>1096.5597660000001</v>
      </c>
      <c r="B1366" s="1">
        <f>DATE(2013,5,1) + TIME(13,26,3)</f>
        <v>41395.559756944444</v>
      </c>
      <c r="C1366">
        <v>1893.0589600000001</v>
      </c>
      <c r="D1366">
        <v>1743.3044434000001</v>
      </c>
      <c r="E1366">
        <v>902.90655518000005</v>
      </c>
      <c r="F1366">
        <v>711.43981933999999</v>
      </c>
      <c r="G1366">
        <v>80</v>
      </c>
      <c r="H1366">
        <v>65.060859679999993</v>
      </c>
      <c r="I1366">
        <v>50</v>
      </c>
      <c r="J1366">
        <v>49.811740874999998</v>
      </c>
      <c r="K1366">
        <v>2400</v>
      </c>
      <c r="L1366">
        <v>0</v>
      </c>
      <c r="M1366">
        <v>0</v>
      </c>
      <c r="N1366">
        <v>2400</v>
      </c>
    </row>
    <row r="1367" spans="1:14" x14ac:dyDescent="0.25">
      <c r="A1367">
        <v>1096.6113539999999</v>
      </c>
      <c r="B1367" s="1">
        <f>DATE(2013,5,1) + TIME(14,40,21)</f>
        <v>41395.611354166664</v>
      </c>
      <c r="C1367">
        <v>1893.4309082</v>
      </c>
      <c r="D1367">
        <v>1745.215332</v>
      </c>
      <c r="E1367">
        <v>901.60021973000005</v>
      </c>
      <c r="F1367">
        <v>710.13012694999998</v>
      </c>
      <c r="G1367">
        <v>80</v>
      </c>
      <c r="H1367">
        <v>65.92250061</v>
      </c>
      <c r="I1367">
        <v>50</v>
      </c>
      <c r="J1367">
        <v>49.806854248</v>
      </c>
      <c r="K1367">
        <v>2400</v>
      </c>
      <c r="L1367">
        <v>0</v>
      </c>
      <c r="M1367">
        <v>0</v>
      </c>
      <c r="N1367">
        <v>2400</v>
      </c>
    </row>
    <row r="1368" spans="1:14" x14ac:dyDescent="0.25">
      <c r="A1368">
        <v>1096.665804</v>
      </c>
      <c r="B1368" s="1">
        <f>DATE(2013,5,1) + TIME(15,58,45)</f>
        <v>41395.665798611109</v>
      </c>
      <c r="C1368">
        <v>1893.3851318</v>
      </c>
      <c r="D1368">
        <v>1746.6655272999999</v>
      </c>
      <c r="E1368">
        <v>900.71057128999996</v>
      </c>
      <c r="F1368">
        <v>709.23718262</v>
      </c>
      <c r="G1368">
        <v>80</v>
      </c>
      <c r="H1368">
        <v>66.778137207</v>
      </c>
      <c r="I1368">
        <v>50</v>
      </c>
      <c r="J1368">
        <v>49.801795959000003</v>
      </c>
      <c r="K1368">
        <v>2400</v>
      </c>
      <c r="L1368">
        <v>0</v>
      </c>
      <c r="M1368">
        <v>0</v>
      </c>
      <c r="N1368">
        <v>2400</v>
      </c>
    </row>
    <row r="1369" spans="1:14" x14ac:dyDescent="0.25">
      <c r="A1369">
        <v>1096.7234550000001</v>
      </c>
      <c r="B1369" s="1">
        <f>DATE(2013,5,1) + TIME(17,21,46)</f>
        <v>41395.723449074074</v>
      </c>
      <c r="C1369">
        <v>1892.9934082</v>
      </c>
      <c r="D1369">
        <v>1747.7272949000001</v>
      </c>
      <c r="E1369">
        <v>900.14984131000006</v>
      </c>
      <c r="F1369">
        <v>708.67315673999997</v>
      </c>
      <c r="G1369">
        <v>80</v>
      </c>
      <c r="H1369">
        <v>67.627342224000003</v>
      </c>
      <c r="I1369">
        <v>50</v>
      </c>
      <c r="J1369">
        <v>49.796535491999997</v>
      </c>
      <c r="K1369">
        <v>2400</v>
      </c>
      <c r="L1369">
        <v>0</v>
      </c>
      <c r="M1369">
        <v>0</v>
      </c>
      <c r="N1369">
        <v>2400</v>
      </c>
    </row>
    <row r="1370" spans="1:14" x14ac:dyDescent="0.25">
      <c r="A1370">
        <v>1096.784705</v>
      </c>
      <c r="B1370" s="1">
        <f>DATE(2013,5,1) + TIME(18,49,58)</f>
        <v>41395.784699074073</v>
      </c>
      <c r="C1370">
        <v>1892.3153076000001</v>
      </c>
      <c r="D1370">
        <v>1748.4605713000001</v>
      </c>
      <c r="E1370">
        <v>899.84393310999997</v>
      </c>
      <c r="F1370">
        <v>708.36389159999999</v>
      </c>
      <c r="G1370">
        <v>80</v>
      </c>
      <c r="H1370">
        <v>68.469528198000006</v>
      </c>
      <c r="I1370">
        <v>50</v>
      </c>
      <c r="J1370">
        <v>49.791027069000002</v>
      </c>
      <c r="K1370">
        <v>2400</v>
      </c>
      <c r="L1370">
        <v>0</v>
      </c>
      <c r="M1370">
        <v>0</v>
      </c>
      <c r="N1370">
        <v>2400</v>
      </c>
    </row>
    <row r="1371" spans="1:14" x14ac:dyDescent="0.25">
      <c r="A1371">
        <v>1096.850036</v>
      </c>
      <c r="B1371" s="1">
        <f>DATE(2013,5,1) + TIME(20,24,3)</f>
        <v>41395.850034722222</v>
      </c>
      <c r="C1371">
        <v>1891.4000243999999</v>
      </c>
      <c r="D1371">
        <v>1748.9152832</v>
      </c>
      <c r="E1371">
        <v>899.73059081999997</v>
      </c>
      <c r="F1371">
        <v>708.24713135000002</v>
      </c>
      <c r="G1371">
        <v>80</v>
      </c>
      <c r="H1371">
        <v>69.304115295000003</v>
      </c>
      <c r="I1371">
        <v>50</v>
      </c>
      <c r="J1371">
        <v>49.785232544000003</v>
      </c>
      <c r="K1371">
        <v>2400</v>
      </c>
      <c r="L1371">
        <v>0</v>
      </c>
      <c r="M1371">
        <v>0</v>
      </c>
      <c r="N1371">
        <v>2400</v>
      </c>
    </row>
    <row r="1372" spans="1:14" x14ac:dyDescent="0.25">
      <c r="A1372">
        <v>1096.92004</v>
      </c>
      <c r="B1372" s="1">
        <f>DATE(2013,5,1) + TIME(22,4,51)</f>
        <v>41395.920034722221</v>
      </c>
      <c r="C1372">
        <v>1890.2883300999999</v>
      </c>
      <c r="D1372">
        <v>1749.1324463000001</v>
      </c>
      <c r="E1372">
        <v>899.75799560999997</v>
      </c>
      <c r="F1372">
        <v>708.27081298999997</v>
      </c>
      <c r="G1372">
        <v>80</v>
      </c>
      <c r="H1372">
        <v>70.130432128999999</v>
      </c>
      <c r="I1372">
        <v>50</v>
      </c>
      <c r="J1372">
        <v>49.779102324999997</v>
      </c>
      <c r="K1372">
        <v>2400</v>
      </c>
      <c r="L1372">
        <v>0</v>
      </c>
      <c r="M1372">
        <v>0</v>
      </c>
      <c r="N1372">
        <v>2400</v>
      </c>
    </row>
    <row r="1373" spans="1:14" x14ac:dyDescent="0.25">
      <c r="A1373">
        <v>1096.9954339999999</v>
      </c>
      <c r="B1373" s="1">
        <f>DATE(2013,5,1) + TIME(23,53,25)</f>
        <v>41395.995428240742</v>
      </c>
      <c r="C1373">
        <v>1889.0139160000001</v>
      </c>
      <c r="D1373">
        <v>1749.1453856999999</v>
      </c>
      <c r="E1373">
        <v>899.88317871000004</v>
      </c>
      <c r="F1373">
        <v>708.39221191000001</v>
      </c>
      <c r="G1373">
        <v>80</v>
      </c>
      <c r="H1373">
        <v>70.947265625</v>
      </c>
      <c r="I1373">
        <v>50</v>
      </c>
      <c r="J1373">
        <v>49.772579192999999</v>
      </c>
      <c r="K1373">
        <v>2400</v>
      </c>
      <c r="L1373">
        <v>0</v>
      </c>
      <c r="M1373">
        <v>0</v>
      </c>
      <c r="N1373">
        <v>2400</v>
      </c>
    </row>
    <row r="1374" spans="1:14" x14ac:dyDescent="0.25">
      <c r="A1374">
        <v>1097.077108</v>
      </c>
      <c r="B1374" s="1">
        <f>DATE(2013,5,2) + TIME(1,51,2)</f>
        <v>41396.077106481483</v>
      </c>
      <c r="C1374">
        <v>1887.6037598</v>
      </c>
      <c r="D1374">
        <v>1748.9818115</v>
      </c>
      <c r="E1374">
        <v>900.07122803000004</v>
      </c>
      <c r="F1374">
        <v>708.57611083999996</v>
      </c>
      <c r="G1374">
        <v>80</v>
      </c>
      <c r="H1374">
        <v>71.754180907999995</v>
      </c>
      <c r="I1374">
        <v>50</v>
      </c>
      <c r="J1374">
        <v>49.765594481999997</v>
      </c>
      <c r="K1374">
        <v>2400</v>
      </c>
      <c r="L1374">
        <v>0</v>
      </c>
      <c r="M1374">
        <v>0</v>
      </c>
      <c r="N1374">
        <v>2400</v>
      </c>
    </row>
    <row r="1375" spans="1:14" x14ac:dyDescent="0.25">
      <c r="A1375">
        <v>1097.166193</v>
      </c>
      <c r="B1375" s="1">
        <f>DATE(2013,5,2) + TIME(3,59,19)</f>
        <v>41396.166192129633</v>
      </c>
      <c r="C1375">
        <v>1886.0797118999999</v>
      </c>
      <c r="D1375">
        <v>1748.6628418</v>
      </c>
      <c r="E1375">
        <v>900.29412841999999</v>
      </c>
      <c r="F1375">
        <v>708.79455566000001</v>
      </c>
      <c r="G1375">
        <v>80</v>
      </c>
      <c r="H1375">
        <v>72.550102233999993</v>
      </c>
      <c r="I1375">
        <v>50</v>
      </c>
      <c r="J1375">
        <v>49.758064269999998</v>
      </c>
      <c r="K1375">
        <v>2400</v>
      </c>
      <c r="L1375">
        <v>0</v>
      </c>
      <c r="M1375">
        <v>0</v>
      </c>
      <c r="N1375">
        <v>2400</v>
      </c>
    </row>
    <row r="1376" spans="1:14" x14ac:dyDescent="0.25">
      <c r="A1376">
        <v>1097.2641960000001</v>
      </c>
      <c r="B1376" s="1">
        <f>DATE(2013,5,2) + TIME(6,20,26)</f>
        <v>41396.264189814814</v>
      </c>
      <c r="C1376">
        <v>1884.4580077999999</v>
      </c>
      <c r="D1376">
        <v>1748.2045897999999</v>
      </c>
      <c r="E1376">
        <v>900.52984618999994</v>
      </c>
      <c r="F1376">
        <v>709.02526854999996</v>
      </c>
      <c r="G1376">
        <v>80</v>
      </c>
      <c r="H1376">
        <v>73.334106445000003</v>
      </c>
      <c r="I1376">
        <v>50</v>
      </c>
      <c r="J1376">
        <v>49.749889373999999</v>
      </c>
      <c r="K1376">
        <v>2400</v>
      </c>
      <c r="L1376">
        <v>0</v>
      </c>
      <c r="M1376">
        <v>0</v>
      </c>
      <c r="N1376">
        <v>2400</v>
      </c>
    </row>
    <row r="1377" spans="1:14" x14ac:dyDescent="0.25">
      <c r="A1377">
        <v>1097.3729639999999</v>
      </c>
      <c r="B1377" s="1">
        <f>DATE(2013,5,2) + TIME(8,57,4)</f>
        <v>41396.37296296296</v>
      </c>
      <c r="C1377">
        <v>1882.7519531</v>
      </c>
      <c r="D1377">
        <v>1747.6181641000001</v>
      </c>
      <c r="E1377">
        <v>900.76116943</v>
      </c>
      <c r="F1377">
        <v>709.25115966999999</v>
      </c>
      <c r="G1377">
        <v>80</v>
      </c>
      <c r="H1377">
        <v>74.104049683</v>
      </c>
      <c r="I1377">
        <v>50</v>
      </c>
      <c r="J1377">
        <v>49.740936279000003</v>
      </c>
      <c r="K1377">
        <v>2400</v>
      </c>
      <c r="L1377">
        <v>0</v>
      </c>
      <c r="M1377">
        <v>0</v>
      </c>
      <c r="N1377">
        <v>2400</v>
      </c>
    </row>
    <row r="1378" spans="1:14" x14ac:dyDescent="0.25">
      <c r="A1378">
        <v>1097.49505</v>
      </c>
      <c r="B1378" s="1">
        <f>DATE(2013,5,2) + TIME(11,52,52)</f>
        <v>41396.495046296295</v>
      </c>
      <c r="C1378">
        <v>1880.9702147999999</v>
      </c>
      <c r="D1378">
        <v>1746.9106445</v>
      </c>
      <c r="E1378">
        <v>900.97546387</v>
      </c>
      <c r="F1378">
        <v>709.45928954999999</v>
      </c>
      <c r="G1378">
        <v>80</v>
      </c>
      <c r="H1378">
        <v>74.857788085999999</v>
      </c>
      <c r="I1378">
        <v>50</v>
      </c>
      <c r="J1378">
        <v>49.731033324999999</v>
      </c>
      <c r="K1378">
        <v>2400</v>
      </c>
      <c r="L1378">
        <v>0</v>
      </c>
      <c r="M1378">
        <v>0</v>
      </c>
      <c r="N1378">
        <v>2400</v>
      </c>
    </row>
    <row r="1379" spans="1:14" x14ac:dyDescent="0.25">
      <c r="A1379">
        <v>1097.621629</v>
      </c>
      <c r="B1379" s="1">
        <f>DATE(2013,5,2) + TIME(14,55,8)</f>
        <v>41396.621620370373</v>
      </c>
      <c r="C1379">
        <v>1879.2252197</v>
      </c>
      <c r="D1379">
        <v>1746.1083983999999</v>
      </c>
      <c r="E1379">
        <v>901.14849853999999</v>
      </c>
      <c r="F1379">
        <v>709.62677001999998</v>
      </c>
      <c r="G1379">
        <v>80</v>
      </c>
      <c r="H1379">
        <v>75.535484314000001</v>
      </c>
      <c r="I1379">
        <v>50</v>
      </c>
      <c r="J1379">
        <v>49.720806121999999</v>
      </c>
      <c r="K1379">
        <v>2400</v>
      </c>
      <c r="L1379">
        <v>0</v>
      </c>
      <c r="M1379">
        <v>0</v>
      </c>
      <c r="N1379">
        <v>2400</v>
      </c>
    </row>
    <row r="1380" spans="1:14" x14ac:dyDescent="0.25">
      <c r="A1380">
        <v>1097.7490499999999</v>
      </c>
      <c r="B1380" s="1">
        <f>DATE(2013,5,2) + TIME(17,58,37)</f>
        <v>41396.749039351853</v>
      </c>
      <c r="C1380">
        <v>1877.5891113</v>
      </c>
      <c r="D1380">
        <v>1745.2779541</v>
      </c>
      <c r="E1380">
        <v>901.28039550999995</v>
      </c>
      <c r="F1380">
        <v>709.75323486000002</v>
      </c>
      <c r="G1380">
        <v>80</v>
      </c>
      <c r="H1380">
        <v>76.126571655000006</v>
      </c>
      <c r="I1380">
        <v>50</v>
      </c>
      <c r="J1380">
        <v>49.710514068999998</v>
      </c>
      <c r="K1380">
        <v>2400</v>
      </c>
      <c r="L1380">
        <v>0</v>
      </c>
      <c r="M1380">
        <v>0</v>
      </c>
      <c r="N1380">
        <v>2400</v>
      </c>
    </row>
    <row r="1381" spans="1:14" x14ac:dyDescent="0.25">
      <c r="A1381">
        <v>1097.8782229999999</v>
      </c>
      <c r="B1381" s="1">
        <f>DATE(2013,5,2) + TIME(21,4,38)</f>
        <v>41396.878217592595</v>
      </c>
      <c r="C1381">
        <v>1876.0653076000001</v>
      </c>
      <c r="D1381">
        <v>1744.4486084</v>
      </c>
      <c r="E1381">
        <v>901.37908935999997</v>
      </c>
      <c r="F1381">
        <v>709.84631348000005</v>
      </c>
      <c r="G1381">
        <v>80</v>
      </c>
      <c r="H1381">
        <v>76.644714355000005</v>
      </c>
      <c r="I1381">
        <v>50</v>
      </c>
      <c r="J1381">
        <v>49.700096129999999</v>
      </c>
      <c r="K1381">
        <v>2400</v>
      </c>
      <c r="L1381">
        <v>0</v>
      </c>
      <c r="M1381">
        <v>0</v>
      </c>
      <c r="N1381">
        <v>2400</v>
      </c>
    </row>
    <row r="1382" spans="1:14" x14ac:dyDescent="0.25">
      <c r="A1382">
        <v>1098.0097720000001</v>
      </c>
      <c r="B1382" s="1">
        <f>DATE(2013,5,3) + TIME(0,14,4)</f>
        <v>41397.009768518517</v>
      </c>
      <c r="C1382">
        <v>1874.6409911999999</v>
      </c>
      <c r="D1382">
        <v>1743.6243896000001</v>
      </c>
      <c r="E1382">
        <v>901.45080566000001</v>
      </c>
      <c r="F1382">
        <v>709.91204833999996</v>
      </c>
      <c r="G1382">
        <v>80</v>
      </c>
      <c r="H1382">
        <v>77.099708557</v>
      </c>
      <c r="I1382">
        <v>50</v>
      </c>
      <c r="J1382">
        <v>49.689510345000002</v>
      </c>
      <c r="K1382">
        <v>2400</v>
      </c>
      <c r="L1382">
        <v>0</v>
      </c>
      <c r="M1382">
        <v>0</v>
      </c>
      <c r="N1382">
        <v>2400</v>
      </c>
    </row>
    <row r="1383" spans="1:14" x14ac:dyDescent="0.25">
      <c r="A1383">
        <v>1098.144327</v>
      </c>
      <c r="B1383" s="1">
        <f>DATE(2013,5,3) + TIME(3,27,49)</f>
        <v>41397.144317129627</v>
      </c>
      <c r="C1383">
        <v>1873.3045654</v>
      </c>
      <c r="D1383">
        <v>1742.8074951000001</v>
      </c>
      <c r="E1383">
        <v>901.50073241999996</v>
      </c>
      <c r="F1383">
        <v>709.95581055000002</v>
      </c>
      <c r="G1383">
        <v>80</v>
      </c>
      <c r="H1383">
        <v>77.499641417999996</v>
      </c>
      <c r="I1383">
        <v>50</v>
      </c>
      <c r="J1383">
        <v>49.678718566999997</v>
      </c>
      <c r="K1383">
        <v>2400</v>
      </c>
      <c r="L1383">
        <v>0</v>
      </c>
      <c r="M1383">
        <v>0</v>
      </c>
      <c r="N1383">
        <v>2400</v>
      </c>
    </row>
    <row r="1384" spans="1:14" x14ac:dyDescent="0.25">
      <c r="A1384">
        <v>1098.282586</v>
      </c>
      <c r="B1384" s="1">
        <f>DATE(2013,5,3) + TIME(6,46,55)</f>
        <v>41397.282581018517</v>
      </c>
      <c r="C1384">
        <v>1872.0456543</v>
      </c>
      <c r="D1384">
        <v>1741.9986572</v>
      </c>
      <c r="E1384">
        <v>901.53332520000004</v>
      </c>
      <c r="F1384">
        <v>709.98199463000003</v>
      </c>
      <c r="G1384">
        <v>80</v>
      </c>
      <c r="H1384">
        <v>77.851348877000007</v>
      </c>
      <c r="I1384">
        <v>50</v>
      </c>
      <c r="J1384">
        <v>49.667671204000001</v>
      </c>
      <c r="K1384">
        <v>2400</v>
      </c>
      <c r="L1384">
        <v>0</v>
      </c>
      <c r="M1384">
        <v>0</v>
      </c>
      <c r="N1384">
        <v>2400</v>
      </c>
    </row>
    <row r="1385" spans="1:14" x14ac:dyDescent="0.25">
      <c r="A1385">
        <v>1098.4252200000001</v>
      </c>
      <c r="B1385" s="1">
        <f>DATE(2013,5,3) + TIME(10,12,18)</f>
        <v>41397.425208333334</v>
      </c>
      <c r="C1385">
        <v>1870.8546143000001</v>
      </c>
      <c r="D1385">
        <v>1741.1968993999999</v>
      </c>
      <c r="E1385">
        <v>901.55200194999998</v>
      </c>
      <c r="F1385">
        <v>709.99395751999998</v>
      </c>
      <c r="G1385">
        <v>80</v>
      </c>
      <c r="H1385">
        <v>78.160408020000006</v>
      </c>
      <c r="I1385">
        <v>50</v>
      </c>
      <c r="J1385">
        <v>49.656326294000003</v>
      </c>
      <c r="K1385">
        <v>2400</v>
      </c>
      <c r="L1385">
        <v>0</v>
      </c>
      <c r="M1385">
        <v>0</v>
      </c>
      <c r="N1385">
        <v>2400</v>
      </c>
    </row>
    <row r="1386" spans="1:14" x14ac:dyDescent="0.25">
      <c r="A1386">
        <v>1098.5729220000001</v>
      </c>
      <c r="B1386" s="1">
        <f>DATE(2013,5,3) + TIME(13,45,0)</f>
        <v>41397.572916666664</v>
      </c>
      <c r="C1386">
        <v>1869.7227783000001</v>
      </c>
      <c r="D1386">
        <v>1740.4014893000001</v>
      </c>
      <c r="E1386">
        <v>901.55969238</v>
      </c>
      <c r="F1386">
        <v>709.99462890999996</v>
      </c>
      <c r="G1386">
        <v>80</v>
      </c>
      <c r="H1386">
        <v>78.431564331000004</v>
      </c>
      <c r="I1386">
        <v>50</v>
      </c>
      <c r="J1386">
        <v>49.644634246999999</v>
      </c>
      <c r="K1386">
        <v>2400</v>
      </c>
      <c r="L1386">
        <v>0</v>
      </c>
      <c r="M1386">
        <v>0</v>
      </c>
      <c r="N1386">
        <v>2400</v>
      </c>
    </row>
    <row r="1387" spans="1:14" x14ac:dyDescent="0.25">
      <c r="A1387">
        <v>1098.7265070000001</v>
      </c>
      <c r="B1387" s="1">
        <f>DATE(2013,5,3) + TIME(17,26,10)</f>
        <v>41397.726504629631</v>
      </c>
      <c r="C1387">
        <v>1868.6422118999999</v>
      </c>
      <c r="D1387">
        <v>1739.6105957</v>
      </c>
      <c r="E1387">
        <v>901.55853271000001</v>
      </c>
      <c r="F1387">
        <v>709.98608397999999</v>
      </c>
      <c r="G1387">
        <v>80</v>
      </c>
      <c r="H1387">
        <v>78.668968200999998</v>
      </c>
      <c r="I1387">
        <v>50</v>
      </c>
      <c r="J1387">
        <v>49.632545471</v>
      </c>
      <c r="K1387">
        <v>2400</v>
      </c>
      <c r="L1387">
        <v>0</v>
      </c>
      <c r="M1387">
        <v>0</v>
      </c>
      <c r="N1387">
        <v>2400</v>
      </c>
    </row>
    <row r="1388" spans="1:14" x14ac:dyDescent="0.25">
      <c r="A1388">
        <v>1098.886884</v>
      </c>
      <c r="B1388" s="1">
        <f>DATE(2013,5,3) + TIME(21,17,6)</f>
        <v>41397.886874999997</v>
      </c>
      <c r="C1388">
        <v>1867.6054687999999</v>
      </c>
      <c r="D1388">
        <v>1738.8222656</v>
      </c>
      <c r="E1388">
        <v>901.55023193</v>
      </c>
      <c r="F1388">
        <v>709.97009276999995</v>
      </c>
      <c r="G1388">
        <v>80</v>
      </c>
      <c r="H1388">
        <v>78.876251221000004</v>
      </c>
      <c r="I1388">
        <v>50</v>
      </c>
      <c r="J1388">
        <v>49.619998932000001</v>
      </c>
      <c r="K1388">
        <v>2400</v>
      </c>
      <c r="L1388">
        <v>0</v>
      </c>
      <c r="M1388">
        <v>0</v>
      </c>
      <c r="N1388">
        <v>2400</v>
      </c>
    </row>
    <row r="1389" spans="1:14" x14ac:dyDescent="0.25">
      <c r="A1389">
        <v>1099.055083</v>
      </c>
      <c r="B1389" s="1">
        <f>DATE(2013,5,4) + TIME(1,19,19)</f>
        <v>41398.055081018516</v>
      </c>
      <c r="C1389">
        <v>1866.6052245999999</v>
      </c>
      <c r="D1389">
        <v>1738.0339355000001</v>
      </c>
      <c r="E1389">
        <v>901.53607178000004</v>
      </c>
      <c r="F1389">
        <v>709.94781493999994</v>
      </c>
      <c r="G1389">
        <v>80</v>
      </c>
      <c r="H1389">
        <v>79.056579589999998</v>
      </c>
      <c r="I1389">
        <v>50</v>
      </c>
      <c r="J1389">
        <v>49.606925963999998</v>
      </c>
      <c r="K1389">
        <v>2400</v>
      </c>
      <c r="L1389">
        <v>0</v>
      </c>
      <c r="M1389">
        <v>0</v>
      </c>
      <c r="N1389">
        <v>2400</v>
      </c>
    </row>
    <row r="1390" spans="1:14" x14ac:dyDescent="0.25">
      <c r="A1390">
        <v>1099.232307</v>
      </c>
      <c r="B1390" s="1">
        <f>DATE(2013,5,4) + TIME(5,34,31)</f>
        <v>41398.232303240744</v>
      </c>
      <c r="C1390">
        <v>1865.6347656</v>
      </c>
      <c r="D1390">
        <v>1737.2429199000001</v>
      </c>
      <c r="E1390">
        <v>901.51708984000004</v>
      </c>
      <c r="F1390">
        <v>709.92022704999999</v>
      </c>
      <c r="G1390">
        <v>80</v>
      </c>
      <c r="H1390">
        <v>79.212776184000006</v>
      </c>
      <c r="I1390">
        <v>50</v>
      </c>
      <c r="J1390">
        <v>49.593246460000003</v>
      </c>
      <c r="K1390">
        <v>2400</v>
      </c>
      <c r="L1390">
        <v>0</v>
      </c>
      <c r="M1390">
        <v>0</v>
      </c>
      <c r="N1390">
        <v>2400</v>
      </c>
    </row>
    <row r="1391" spans="1:14" x14ac:dyDescent="0.25">
      <c r="A1391">
        <v>1099.420012</v>
      </c>
      <c r="B1391" s="1">
        <f>DATE(2013,5,4) + TIME(10,4,49)</f>
        <v>41398.420011574075</v>
      </c>
      <c r="C1391">
        <v>1864.6873779</v>
      </c>
      <c r="D1391">
        <v>1736.4459228999999</v>
      </c>
      <c r="E1391">
        <v>901.49383545000001</v>
      </c>
      <c r="F1391">
        <v>709.88793944999998</v>
      </c>
      <c r="G1391">
        <v>80</v>
      </c>
      <c r="H1391">
        <v>79.347366332999997</v>
      </c>
      <c r="I1391">
        <v>50</v>
      </c>
      <c r="J1391">
        <v>49.578865051000001</v>
      </c>
      <c r="K1391">
        <v>2400</v>
      </c>
      <c r="L1391">
        <v>0</v>
      </c>
      <c r="M1391">
        <v>0</v>
      </c>
      <c r="N1391">
        <v>2400</v>
      </c>
    </row>
    <row r="1392" spans="1:14" x14ac:dyDescent="0.25">
      <c r="A1392">
        <v>1099.619921</v>
      </c>
      <c r="B1392" s="1">
        <f>DATE(2013,5,4) + TIME(14,52,41)</f>
        <v>41398.61991898148</v>
      </c>
      <c r="C1392">
        <v>1863.7557373</v>
      </c>
      <c r="D1392">
        <v>1735.6391602000001</v>
      </c>
      <c r="E1392">
        <v>901.46679687999995</v>
      </c>
      <c r="F1392">
        <v>709.85119628999996</v>
      </c>
      <c r="G1392">
        <v>80</v>
      </c>
      <c r="H1392">
        <v>79.462615967000005</v>
      </c>
      <c r="I1392">
        <v>50</v>
      </c>
      <c r="J1392">
        <v>49.563682556000003</v>
      </c>
      <c r="K1392">
        <v>2400</v>
      </c>
      <c r="L1392">
        <v>0</v>
      </c>
      <c r="M1392">
        <v>0</v>
      </c>
      <c r="N1392">
        <v>2400</v>
      </c>
    </row>
    <row r="1393" spans="1:14" x14ac:dyDescent="0.25">
      <c r="A1393">
        <v>1099.8325030000001</v>
      </c>
      <c r="B1393" s="1">
        <f>DATE(2013,5,4) + TIME(19,58,48)</f>
        <v>41398.832499999997</v>
      </c>
      <c r="C1393">
        <v>1862.8347168</v>
      </c>
      <c r="D1393">
        <v>1734.8192139</v>
      </c>
      <c r="E1393">
        <v>901.43609618999994</v>
      </c>
      <c r="F1393">
        <v>709.81036376999998</v>
      </c>
      <c r="G1393">
        <v>80</v>
      </c>
      <c r="H1393">
        <v>79.559982300000001</v>
      </c>
      <c r="I1393">
        <v>50</v>
      </c>
      <c r="J1393">
        <v>49.547653197999999</v>
      </c>
      <c r="K1393">
        <v>2400</v>
      </c>
      <c r="L1393">
        <v>0</v>
      </c>
      <c r="M1393">
        <v>0</v>
      </c>
      <c r="N1393">
        <v>2400</v>
      </c>
    </row>
    <row r="1394" spans="1:14" x14ac:dyDescent="0.25">
      <c r="A1394">
        <v>1100.0579909999999</v>
      </c>
      <c r="B1394" s="1">
        <f>DATE(2013,5,5) + TIME(1,23,30)</f>
        <v>41399.057986111111</v>
      </c>
      <c r="C1394">
        <v>1861.9228516000001</v>
      </c>
      <c r="D1394">
        <v>1733.9869385</v>
      </c>
      <c r="E1394">
        <v>901.40203856999995</v>
      </c>
      <c r="F1394">
        <v>709.765625</v>
      </c>
      <c r="G1394">
        <v>80</v>
      </c>
      <c r="H1394">
        <v>79.641059874999996</v>
      </c>
      <c r="I1394">
        <v>50</v>
      </c>
      <c r="J1394">
        <v>49.530761718999997</v>
      </c>
      <c r="K1394">
        <v>2400</v>
      </c>
      <c r="L1394">
        <v>0</v>
      </c>
      <c r="M1394">
        <v>0</v>
      </c>
      <c r="N1394">
        <v>2400</v>
      </c>
    </row>
    <row r="1395" spans="1:14" x14ac:dyDescent="0.25">
      <c r="A1395">
        <v>1100.2985639999999</v>
      </c>
      <c r="B1395" s="1">
        <f>DATE(2013,5,5) + TIME(7,9,55)</f>
        <v>41399.29855324074</v>
      </c>
      <c r="C1395">
        <v>1861.0183105000001</v>
      </c>
      <c r="D1395">
        <v>1733.1439209</v>
      </c>
      <c r="E1395">
        <v>901.36492920000001</v>
      </c>
      <c r="F1395">
        <v>709.71710204999999</v>
      </c>
      <c r="G1395">
        <v>80</v>
      </c>
      <c r="H1395">
        <v>79.708061217999997</v>
      </c>
      <c r="I1395">
        <v>50</v>
      </c>
      <c r="J1395">
        <v>49.512878418</v>
      </c>
      <c r="K1395">
        <v>2400</v>
      </c>
      <c r="L1395">
        <v>0</v>
      </c>
      <c r="M1395">
        <v>0</v>
      </c>
      <c r="N1395">
        <v>2400</v>
      </c>
    </row>
    <row r="1396" spans="1:14" x14ac:dyDescent="0.25">
      <c r="A1396">
        <v>1100.556734</v>
      </c>
      <c r="B1396" s="1">
        <f>DATE(2013,5,5) + TIME(13,21,41)</f>
        <v>41399.55672453704</v>
      </c>
      <c r="C1396">
        <v>1860.1137695</v>
      </c>
      <c r="D1396">
        <v>1732.2854004000001</v>
      </c>
      <c r="E1396">
        <v>901.32458496000004</v>
      </c>
      <c r="F1396">
        <v>709.66455078000001</v>
      </c>
      <c r="G1396">
        <v>80</v>
      </c>
      <c r="H1396">
        <v>79.762886046999995</v>
      </c>
      <c r="I1396">
        <v>50</v>
      </c>
      <c r="J1396">
        <v>49.493846892999997</v>
      </c>
      <c r="K1396">
        <v>2400</v>
      </c>
      <c r="L1396">
        <v>0</v>
      </c>
      <c r="M1396">
        <v>0</v>
      </c>
      <c r="N1396">
        <v>2400</v>
      </c>
    </row>
    <row r="1397" spans="1:14" x14ac:dyDescent="0.25">
      <c r="A1397">
        <v>1100.816685</v>
      </c>
      <c r="B1397" s="1">
        <f>DATE(2013,5,5) + TIME(19,36,1)</f>
        <v>41399.816678240742</v>
      </c>
      <c r="C1397">
        <v>1859.2084961</v>
      </c>
      <c r="D1397">
        <v>1731.4093018000001</v>
      </c>
      <c r="E1397">
        <v>901.27990723000005</v>
      </c>
      <c r="F1397">
        <v>709.60852050999995</v>
      </c>
      <c r="G1397">
        <v>80</v>
      </c>
      <c r="H1397">
        <v>79.804969787999994</v>
      </c>
      <c r="I1397">
        <v>50</v>
      </c>
      <c r="J1397">
        <v>49.474536895999996</v>
      </c>
      <c r="K1397">
        <v>2400</v>
      </c>
      <c r="L1397">
        <v>0</v>
      </c>
      <c r="M1397">
        <v>0</v>
      </c>
      <c r="N1397">
        <v>2400</v>
      </c>
    </row>
    <row r="1398" spans="1:14" x14ac:dyDescent="0.25">
      <c r="A1398">
        <v>1101.079223</v>
      </c>
      <c r="B1398" s="1">
        <f>DATE(2013,5,6) + TIME(1,54,4)</f>
        <v>41400.079212962963</v>
      </c>
      <c r="C1398">
        <v>1858.3459473</v>
      </c>
      <c r="D1398">
        <v>1730.5654297000001</v>
      </c>
      <c r="E1398">
        <v>901.23455810999997</v>
      </c>
      <c r="F1398">
        <v>709.55139159999999</v>
      </c>
      <c r="G1398">
        <v>80</v>
      </c>
      <c r="H1398">
        <v>79.837341308999996</v>
      </c>
      <c r="I1398">
        <v>50</v>
      </c>
      <c r="J1398">
        <v>49.454956054999997</v>
      </c>
      <c r="K1398">
        <v>2400</v>
      </c>
      <c r="L1398">
        <v>0</v>
      </c>
      <c r="M1398">
        <v>0</v>
      </c>
      <c r="N1398">
        <v>2400</v>
      </c>
    </row>
    <row r="1399" spans="1:14" x14ac:dyDescent="0.25">
      <c r="A1399">
        <v>1101.346014</v>
      </c>
      <c r="B1399" s="1">
        <f>DATE(2013,5,6) + TIME(8,18,15)</f>
        <v>41400.346006944441</v>
      </c>
      <c r="C1399">
        <v>1857.5191649999999</v>
      </c>
      <c r="D1399">
        <v>1729.7492675999999</v>
      </c>
      <c r="E1399">
        <v>901.18865966999999</v>
      </c>
      <c r="F1399">
        <v>709.49316406000003</v>
      </c>
      <c r="G1399">
        <v>80</v>
      </c>
      <c r="H1399">
        <v>79.862335204999994</v>
      </c>
      <c r="I1399">
        <v>50</v>
      </c>
      <c r="J1399">
        <v>49.435043335000003</v>
      </c>
      <c r="K1399">
        <v>2400</v>
      </c>
      <c r="L1399">
        <v>0</v>
      </c>
      <c r="M1399">
        <v>0</v>
      </c>
      <c r="N1399">
        <v>2400</v>
      </c>
    </row>
    <row r="1400" spans="1:14" x14ac:dyDescent="0.25">
      <c r="A1400">
        <v>1101.6184370000001</v>
      </c>
      <c r="B1400" s="1">
        <f>DATE(2013,5,6) + TIME(14,50,32)</f>
        <v>41400.618425925924</v>
      </c>
      <c r="C1400">
        <v>1856.7191161999999</v>
      </c>
      <c r="D1400">
        <v>1728.9539795000001</v>
      </c>
      <c r="E1400">
        <v>901.14196776999995</v>
      </c>
      <c r="F1400">
        <v>709.43365478999999</v>
      </c>
      <c r="G1400">
        <v>80</v>
      </c>
      <c r="H1400">
        <v>79.881675720000004</v>
      </c>
      <c r="I1400">
        <v>50</v>
      </c>
      <c r="J1400">
        <v>49.414745330999999</v>
      </c>
      <c r="K1400">
        <v>2400</v>
      </c>
      <c r="L1400">
        <v>0</v>
      </c>
      <c r="M1400">
        <v>0</v>
      </c>
      <c r="N1400">
        <v>2400</v>
      </c>
    </row>
    <row r="1401" spans="1:14" x14ac:dyDescent="0.25">
      <c r="A1401">
        <v>1101.8979400000001</v>
      </c>
      <c r="B1401" s="1">
        <f>DATE(2013,5,6) + TIME(21,33,2)</f>
        <v>41400.897939814815</v>
      </c>
      <c r="C1401">
        <v>1855.9390868999999</v>
      </c>
      <c r="D1401">
        <v>1728.1741943</v>
      </c>
      <c r="E1401">
        <v>901.09417725000003</v>
      </c>
      <c r="F1401">
        <v>709.37261963000003</v>
      </c>
      <c r="G1401">
        <v>80</v>
      </c>
      <c r="H1401">
        <v>79.896659850999995</v>
      </c>
      <c r="I1401">
        <v>50</v>
      </c>
      <c r="J1401">
        <v>49.393989562999998</v>
      </c>
      <c r="K1401">
        <v>2400</v>
      </c>
      <c r="L1401">
        <v>0</v>
      </c>
      <c r="M1401">
        <v>0</v>
      </c>
      <c r="N1401">
        <v>2400</v>
      </c>
    </row>
    <row r="1402" spans="1:14" x14ac:dyDescent="0.25">
      <c r="A1402">
        <v>1102.1860810000001</v>
      </c>
      <c r="B1402" s="1">
        <f>DATE(2013,5,7) + TIME(4,27,57)</f>
        <v>41401.186076388891</v>
      </c>
      <c r="C1402">
        <v>1855.1732178</v>
      </c>
      <c r="D1402">
        <v>1727.4052733999999</v>
      </c>
      <c r="E1402">
        <v>901.04510498000002</v>
      </c>
      <c r="F1402">
        <v>709.30981444999998</v>
      </c>
      <c r="G1402">
        <v>80</v>
      </c>
      <c r="H1402">
        <v>79.908271790000001</v>
      </c>
      <c r="I1402">
        <v>50</v>
      </c>
      <c r="J1402">
        <v>49.372695923000002</v>
      </c>
      <c r="K1402">
        <v>2400</v>
      </c>
      <c r="L1402">
        <v>0</v>
      </c>
      <c r="M1402">
        <v>0</v>
      </c>
      <c r="N1402">
        <v>2400</v>
      </c>
    </row>
    <row r="1403" spans="1:14" x14ac:dyDescent="0.25">
      <c r="A1403">
        <v>1102.484549</v>
      </c>
      <c r="B1403" s="1">
        <f>DATE(2013,5,7) + TIME(11,37,45)</f>
        <v>41401.484548611108</v>
      </c>
      <c r="C1403">
        <v>1854.4161377</v>
      </c>
      <c r="D1403">
        <v>1726.6427002</v>
      </c>
      <c r="E1403">
        <v>900.99444579999999</v>
      </c>
      <c r="F1403">
        <v>709.24487305000002</v>
      </c>
      <c r="G1403">
        <v>80</v>
      </c>
      <c r="H1403">
        <v>79.917266846000004</v>
      </c>
      <c r="I1403">
        <v>50</v>
      </c>
      <c r="J1403">
        <v>49.350765228</v>
      </c>
      <c r="K1403">
        <v>2400</v>
      </c>
      <c r="L1403">
        <v>0</v>
      </c>
      <c r="M1403">
        <v>0</v>
      </c>
      <c r="N1403">
        <v>2400</v>
      </c>
    </row>
    <row r="1404" spans="1:14" x14ac:dyDescent="0.25">
      <c r="A1404">
        <v>1102.795196</v>
      </c>
      <c r="B1404" s="1">
        <f>DATE(2013,5,7) + TIME(19,5,4)</f>
        <v>41401.795185185183</v>
      </c>
      <c r="C1404">
        <v>1853.6630858999999</v>
      </c>
      <c r="D1404">
        <v>1725.8824463000001</v>
      </c>
      <c r="E1404">
        <v>900.94189453000001</v>
      </c>
      <c r="F1404">
        <v>709.17742920000001</v>
      </c>
      <c r="G1404">
        <v>80</v>
      </c>
      <c r="H1404">
        <v>79.924232482999997</v>
      </c>
      <c r="I1404">
        <v>50</v>
      </c>
      <c r="J1404">
        <v>49.328090668000002</v>
      </c>
      <c r="K1404">
        <v>2400</v>
      </c>
      <c r="L1404">
        <v>0</v>
      </c>
      <c r="M1404">
        <v>0</v>
      </c>
      <c r="N1404">
        <v>2400</v>
      </c>
    </row>
    <row r="1405" spans="1:14" x14ac:dyDescent="0.25">
      <c r="A1405">
        <v>1103.1202040000001</v>
      </c>
      <c r="B1405" s="1">
        <f>DATE(2013,5,8) + TIME(2,53,5)</f>
        <v>41402.120196759257</v>
      </c>
      <c r="C1405">
        <v>1852.909668</v>
      </c>
      <c r="D1405">
        <v>1725.1206055</v>
      </c>
      <c r="E1405">
        <v>900.88708496000004</v>
      </c>
      <c r="F1405">
        <v>709.10711670000001</v>
      </c>
      <c r="G1405">
        <v>80</v>
      </c>
      <c r="H1405">
        <v>79.929626464999998</v>
      </c>
      <c r="I1405">
        <v>50</v>
      </c>
      <c r="J1405">
        <v>49.304550171000002</v>
      </c>
      <c r="K1405">
        <v>2400</v>
      </c>
      <c r="L1405">
        <v>0</v>
      </c>
      <c r="M1405">
        <v>0</v>
      </c>
      <c r="N1405">
        <v>2400</v>
      </c>
    </row>
    <row r="1406" spans="1:14" x14ac:dyDescent="0.25">
      <c r="A1406">
        <v>1103.4576999999999</v>
      </c>
      <c r="B1406" s="1">
        <f>DATE(2013,5,8) + TIME(10,59,5)</f>
        <v>41402.457696759258</v>
      </c>
      <c r="C1406">
        <v>1852.1516113</v>
      </c>
      <c r="D1406">
        <v>1724.3532714999999</v>
      </c>
      <c r="E1406">
        <v>900.82952881000006</v>
      </c>
      <c r="F1406">
        <v>709.03363036999997</v>
      </c>
      <c r="G1406">
        <v>80</v>
      </c>
      <c r="H1406">
        <v>79.933753967000001</v>
      </c>
      <c r="I1406">
        <v>50</v>
      </c>
      <c r="J1406">
        <v>49.280212401999997</v>
      </c>
      <c r="K1406">
        <v>2400</v>
      </c>
      <c r="L1406">
        <v>0</v>
      </c>
      <c r="M1406">
        <v>0</v>
      </c>
      <c r="N1406">
        <v>2400</v>
      </c>
    </row>
    <row r="1407" spans="1:14" x14ac:dyDescent="0.25">
      <c r="A1407">
        <v>1103.809062</v>
      </c>
      <c r="B1407" s="1">
        <f>DATE(2013,5,8) + TIME(19,25,2)</f>
        <v>41402.809050925927</v>
      </c>
      <c r="C1407">
        <v>1851.3936768000001</v>
      </c>
      <c r="D1407">
        <v>1723.5855713000001</v>
      </c>
      <c r="E1407">
        <v>900.76953125</v>
      </c>
      <c r="F1407">
        <v>708.95709228999999</v>
      </c>
      <c r="G1407">
        <v>80</v>
      </c>
      <c r="H1407">
        <v>79.936927795000003</v>
      </c>
      <c r="I1407">
        <v>50</v>
      </c>
      <c r="J1407">
        <v>49.255012512</v>
      </c>
      <c r="K1407">
        <v>2400</v>
      </c>
      <c r="L1407">
        <v>0</v>
      </c>
      <c r="M1407">
        <v>0</v>
      </c>
      <c r="N1407">
        <v>2400</v>
      </c>
    </row>
    <row r="1408" spans="1:14" x14ac:dyDescent="0.25">
      <c r="A1408">
        <v>1104.17653</v>
      </c>
      <c r="B1408" s="1">
        <f>DATE(2013,5,9) + TIME(4,14,12)</f>
        <v>41403.176527777781</v>
      </c>
      <c r="C1408">
        <v>1850.6335449000001</v>
      </c>
      <c r="D1408">
        <v>1722.8155518000001</v>
      </c>
      <c r="E1408">
        <v>900.70703125</v>
      </c>
      <c r="F1408">
        <v>708.87719727000001</v>
      </c>
      <c r="G1408">
        <v>80</v>
      </c>
      <c r="H1408">
        <v>79.939361571999996</v>
      </c>
      <c r="I1408">
        <v>50</v>
      </c>
      <c r="J1408">
        <v>49.228824615000001</v>
      </c>
      <c r="K1408">
        <v>2400</v>
      </c>
      <c r="L1408">
        <v>0</v>
      </c>
      <c r="M1408">
        <v>0</v>
      </c>
      <c r="N1408">
        <v>2400</v>
      </c>
    </row>
    <row r="1409" spans="1:14" x14ac:dyDescent="0.25">
      <c r="A1409">
        <v>1104.562862</v>
      </c>
      <c r="B1409" s="1">
        <f>DATE(2013,5,9) + TIME(13,30,31)</f>
        <v>41403.562858796293</v>
      </c>
      <c r="C1409">
        <v>1849.8674315999999</v>
      </c>
      <c r="D1409">
        <v>1722.0395507999999</v>
      </c>
      <c r="E1409">
        <v>900.64160156000003</v>
      </c>
      <c r="F1409">
        <v>708.79351807</v>
      </c>
      <c r="G1409">
        <v>80</v>
      </c>
      <c r="H1409">
        <v>79.941246032999999</v>
      </c>
      <c r="I1409">
        <v>50</v>
      </c>
      <c r="J1409">
        <v>49.201492309999999</v>
      </c>
      <c r="K1409">
        <v>2400</v>
      </c>
      <c r="L1409">
        <v>0</v>
      </c>
      <c r="M1409">
        <v>0</v>
      </c>
      <c r="N1409">
        <v>2400</v>
      </c>
    </row>
    <row r="1410" spans="1:14" x14ac:dyDescent="0.25">
      <c r="A1410">
        <v>1104.9712569999999</v>
      </c>
      <c r="B1410" s="1">
        <f>DATE(2013,5,9) + TIME(23,18,36)</f>
        <v>41403.971250000002</v>
      </c>
      <c r="C1410">
        <v>1849.0909423999999</v>
      </c>
      <c r="D1410">
        <v>1721.253418</v>
      </c>
      <c r="E1410">
        <v>900.57263183999999</v>
      </c>
      <c r="F1410">
        <v>708.70532227000001</v>
      </c>
      <c r="G1410">
        <v>80</v>
      </c>
      <c r="H1410">
        <v>79.942710876000007</v>
      </c>
      <c r="I1410">
        <v>50</v>
      </c>
      <c r="J1410">
        <v>49.172847748000002</v>
      </c>
      <c r="K1410">
        <v>2400</v>
      </c>
      <c r="L1410">
        <v>0</v>
      </c>
      <c r="M1410">
        <v>0</v>
      </c>
      <c r="N1410">
        <v>2400</v>
      </c>
    </row>
    <row r="1411" spans="1:14" x14ac:dyDescent="0.25">
      <c r="A1411">
        <v>1105.383566</v>
      </c>
      <c r="B1411" s="1">
        <f>DATE(2013,5,10) + TIME(9,12,20)</f>
        <v>41404.383564814816</v>
      </c>
      <c r="C1411">
        <v>1848.3010254000001</v>
      </c>
      <c r="D1411">
        <v>1720.4542236</v>
      </c>
      <c r="E1411">
        <v>900.49871826000003</v>
      </c>
      <c r="F1411">
        <v>708.61285399999997</v>
      </c>
      <c r="G1411">
        <v>80</v>
      </c>
      <c r="H1411">
        <v>79.943801879999995</v>
      </c>
      <c r="I1411">
        <v>50</v>
      </c>
      <c r="J1411">
        <v>49.143688202</v>
      </c>
      <c r="K1411">
        <v>2400</v>
      </c>
      <c r="L1411">
        <v>0</v>
      </c>
      <c r="M1411">
        <v>0</v>
      </c>
      <c r="N1411">
        <v>2400</v>
      </c>
    </row>
    <row r="1412" spans="1:14" x14ac:dyDescent="0.25">
      <c r="A1412">
        <v>1105.799802</v>
      </c>
      <c r="B1412" s="1">
        <f>DATE(2013,5,10) + TIME(19,11,42)</f>
        <v>41404.799791666665</v>
      </c>
      <c r="C1412">
        <v>1847.53125</v>
      </c>
      <c r="D1412">
        <v>1719.6759033000001</v>
      </c>
      <c r="E1412">
        <v>900.42395020000004</v>
      </c>
      <c r="F1412">
        <v>708.51892090000001</v>
      </c>
      <c r="G1412">
        <v>80</v>
      </c>
      <c r="H1412">
        <v>79.944641113000003</v>
      </c>
      <c r="I1412">
        <v>50</v>
      </c>
      <c r="J1412">
        <v>49.114135742000002</v>
      </c>
      <c r="K1412">
        <v>2400</v>
      </c>
      <c r="L1412">
        <v>0</v>
      </c>
      <c r="M1412">
        <v>0</v>
      </c>
      <c r="N1412">
        <v>2400</v>
      </c>
    </row>
    <row r="1413" spans="1:14" x14ac:dyDescent="0.25">
      <c r="A1413">
        <v>1106.222407</v>
      </c>
      <c r="B1413" s="1">
        <f>DATE(2013,5,11) + TIME(5,20,15)</f>
        <v>41405.222395833334</v>
      </c>
      <c r="C1413">
        <v>1846.7805175999999</v>
      </c>
      <c r="D1413">
        <v>1718.9174805</v>
      </c>
      <c r="E1413">
        <v>900.34851074000005</v>
      </c>
      <c r="F1413">
        <v>708.42364501999998</v>
      </c>
      <c r="G1413">
        <v>80</v>
      </c>
      <c r="H1413">
        <v>79.945289611999996</v>
      </c>
      <c r="I1413">
        <v>50</v>
      </c>
      <c r="J1413">
        <v>49.084148407000001</v>
      </c>
      <c r="K1413">
        <v>2400</v>
      </c>
      <c r="L1413">
        <v>0</v>
      </c>
      <c r="M1413">
        <v>0</v>
      </c>
      <c r="N1413">
        <v>2400</v>
      </c>
    </row>
    <row r="1414" spans="1:14" x14ac:dyDescent="0.25">
      <c r="A1414">
        <v>1106.6535409999999</v>
      </c>
      <c r="B1414" s="1">
        <f>DATE(2013,5,11) + TIME(15,41,5)</f>
        <v>41405.65353009259</v>
      </c>
      <c r="C1414">
        <v>1846.0435791</v>
      </c>
      <c r="D1414">
        <v>1718.1737060999999</v>
      </c>
      <c r="E1414">
        <v>900.27191161999997</v>
      </c>
      <c r="F1414">
        <v>708.32653808999999</v>
      </c>
      <c r="G1414">
        <v>80</v>
      </c>
      <c r="H1414">
        <v>79.945800781000003</v>
      </c>
      <c r="I1414">
        <v>50</v>
      </c>
      <c r="J1414">
        <v>49.053657532000003</v>
      </c>
      <c r="K1414">
        <v>2400</v>
      </c>
      <c r="L1414">
        <v>0</v>
      </c>
      <c r="M1414">
        <v>0</v>
      </c>
      <c r="N1414">
        <v>2400</v>
      </c>
    </row>
    <row r="1415" spans="1:14" x14ac:dyDescent="0.25">
      <c r="A1415">
        <v>1107.0953959999999</v>
      </c>
      <c r="B1415" s="1">
        <f>DATE(2013,5,12) + TIME(2,17,22)</f>
        <v>41406.095393518517</v>
      </c>
      <c r="C1415">
        <v>1845.3160399999999</v>
      </c>
      <c r="D1415">
        <v>1717.4399414</v>
      </c>
      <c r="E1415">
        <v>900.19372558999999</v>
      </c>
      <c r="F1415">
        <v>708.22723388999998</v>
      </c>
      <c r="G1415">
        <v>80</v>
      </c>
      <c r="H1415">
        <v>79.946212768999999</v>
      </c>
      <c r="I1415">
        <v>50</v>
      </c>
      <c r="J1415">
        <v>49.022563933999997</v>
      </c>
      <c r="K1415">
        <v>2400</v>
      </c>
      <c r="L1415">
        <v>0</v>
      </c>
      <c r="M1415">
        <v>0</v>
      </c>
      <c r="N1415">
        <v>2400</v>
      </c>
    </row>
    <row r="1416" spans="1:14" x14ac:dyDescent="0.25">
      <c r="A1416">
        <v>1107.5504060000001</v>
      </c>
      <c r="B1416" s="1">
        <f>DATE(2013,5,12) + TIME(13,12,35)</f>
        <v>41406.550405092596</v>
      </c>
      <c r="C1416">
        <v>1844.5939940999999</v>
      </c>
      <c r="D1416">
        <v>1716.7124022999999</v>
      </c>
      <c r="E1416">
        <v>900.11340331999997</v>
      </c>
      <c r="F1416">
        <v>708.12518310999997</v>
      </c>
      <c r="G1416">
        <v>80</v>
      </c>
      <c r="H1416">
        <v>79.946548461999996</v>
      </c>
      <c r="I1416">
        <v>50</v>
      </c>
      <c r="J1416">
        <v>48.990756988999998</v>
      </c>
      <c r="K1416">
        <v>2400</v>
      </c>
      <c r="L1416">
        <v>0</v>
      </c>
      <c r="M1416">
        <v>0</v>
      </c>
      <c r="N1416">
        <v>2400</v>
      </c>
    </row>
    <row r="1417" spans="1:14" x14ac:dyDescent="0.25">
      <c r="A1417">
        <v>1108.0212260000001</v>
      </c>
      <c r="B1417" s="1">
        <f>DATE(2013,5,13) + TIME(0,30,33)</f>
        <v>41407.021215277775</v>
      </c>
      <c r="C1417">
        <v>1843.8734131000001</v>
      </c>
      <c r="D1417">
        <v>1715.9869385</v>
      </c>
      <c r="E1417">
        <v>900.03063965000001</v>
      </c>
      <c r="F1417">
        <v>708.01989746000004</v>
      </c>
      <c r="G1417">
        <v>80</v>
      </c>
      <c r="H1417">
        <v>79.946823120000005</v>
      </c>
      <c r="I1417">
        <v>50</v>
      </c>
      <c r="J1417">
        <v>48.958084106000001</v>
      </c>
      <c r="K1417">
        <v>2400</v>
      </c>
      <c r="L1417">
        <v>0</v>
      </c>
      <c r="M1417">
        <v>0</v>
      </c>
      <c r="N1417">
        <v>2400</v>
      </c>
    </row>
    <row r="1418" spans="1:14" x14ac:dyDescent="0.25">
      <c r="A1418">
        <v>1108.5107840000001</v>
      </c>
      <c r="B1418" s="1">
        <f>DATE(2013,5,13) + TIME(12,15,31)</f>
        <v>41407.510775462964</v>
      </c>
      <c r="C1418">
        <v>1843.1506348</v>
      </c>
      <c r="D1418">
        <v>1715.2600098</v>
      </c>
      <c r="E1418">
        <v>899.94476318</v>
      </c>
      <c r="F1418">
        <v>707.91064453000001</v>
      </c>
      <c r="G1418">
        <v>80</v>
      </c>
      <c r="H1418">
        <v>79.947052002000007</v>
      </c>
      <c r="I1418">
        <v>50</v>
      </c>
      <c r="J1418">
        <v>48.924385071000003</v>
      </c>
      <c r="K1418">
        <v>2400</v>
      </c>
      <c r="L1418">
        <v>0</v>
      </c>
      <c r="M1418">
        <v>0</v>
      </c>
      <c r="N1418">
        <v>2400</v>
      </c>
    </row>
    <row r="1419" spans="1:14" x14ac:dyDescent="0.25">
      <c r="A1419">
        <v>1109.0192280000001</v>
      </c>
      <c r="B1419" s="1">
        <f>DATE(2013,5,14) + TIME(0,27,41)</f>
        <v>41408.019224537034</v>
      </c>
      <c r="C1419">
        <v>1842.4219971</v>
      </c>
      <c r="D1419">
        <v>1714.527832</v>
      </c>
      <c r="E1419">
        <v>899.85516356999995</v>
      </c>
      <c r="F1419">
        <v>707.79699706999997</v>
      </c>
      <c r="G1419">
        <v>80</v>
      </c>
      <c r="H1419">
        <v>79.947242736999996</v>
      </c>
      <c r="I1419">
        <v>50</v>
      </c>
      <c r="J1419">
        <v>48.889602660999998</v>
      </c>
      <c r="K1419">
        <v>2400</v>
      </c>
      <c r="L1419">
        <v>0</v>
      </c>
      <c r="M1419">
        <v>0</v>
      </c>
      <c r="N1419">
        <v>2400</v>
      </c>
    </row>
    <row r="1420" spans="1:14" x14ac:dyDescent="0.25">
      <c r="A1420">
        <v>1109.542052</v>
      </c>
      <c r="B1420" s="1">
        <f>DATE(2013,5,14) + TIME(13,0,33)</f>
        <v>41408.542048611111</v>
      </c>
      <c r="C1420">
        <v>1841.6884766000001</v>
      </c>
      <c r="D1420">
        <v>1713.7912598</v>
      </c>
      <c r="E1420">
        <v>899.76159668000003</v>
      </c>
      <c r="F1420">
        <v>707.67889404000005</v>
      </c>
      <c r="G1420">
        <v>80</v>
      </c>
      <c r="H1420">
        <v>79.947402953999998</v>
      </c>
      <c r="I1420">
        <v>50</v>
      </c>
      <c r="J1420">
        <v>48.853904724000003</v>
      </c>
      <c r="K1420">
        <v>2400</v>
      </c>
      <c r="L1420">
        <v>0</v>
      </c>
      <c r="M1420">
        <v>0</v>
      </c>
      <c r="N1420">
        <v>2400</v>
      </c>
    </row>
    <row r="1421" spans="1:14" x14ac:dyDescent="0.25">
      <c r="A1421">
        <v>1110.082214</v>
      </c>
      <c r="B1421" s="1">
        <f>DATE(2013,5,15) + TIME(1,58,23)</f>
        <v>41409.08221064815</v>
      </c>
      <c r="C1421">
        <v>1840.9564209</v>
      </c>
      <c r="D1421">
        <v>1713.0568848</v>
      </c>
      <c r="E1421">
        <v>899.66522216999999</v>
      </c>
      <c r="F1421">
        <v>707.55694579999999</v>
      </c>
      <c r="G1421">
        <v>80</v>
      </c>
      <c r="H1421">
        <v>79.947540282999995</v>
      </c>
      <c r="I1421">
        <v>50</v>
      </c>
      <c r="J1421">
        <v>48.817188262999998</v>
      </c>
      <c r="K1421">
        <v>2400</v>
      </c>
      <c r="L1421">
        <v>0</v>
      </c>
      <c r="M1421">
        <v>0</v>
      </c>
      <c r="N1421">
        <v>2400</v>
      </c>
    </row>
    <row r="1422" spans="1:14" x14ac:dyDescent="0.25">
      <c r="A1422">
        <v>1110.638659</v>
      </c>
      <c r="B1422" s="1">
        <f>DATE(2013,5,15) + TIME(15,19,40)</f>
        <v>41409.638657407406</v>
      </c>
      <c r="C1422">
        <v>1840.2225341999999</v>
      </c>
      <c r="D1422">
        <v>1712.3212891000001</v>
      </c>
      <c r="E1422">
        <v>899.56524658000001</v>
      </c>
      <c r="F1422">
        <v>707.43066406000003</v>
      </c>
      <c r="G1422">
        <v>80</v>
      </c>
      <c r="H1422">
        <v>79.947662354000002</v>
      </c>
      <c r="I1422">
        <v>50</v>
      </c>
      <c r="J1422">
        <v>48.779491425000003</v>
      </c>
      <c r="K1422">
        <v>2400</v>
      </c>
      <c r="L1422">
        <v>0</v>
      </c>
      <c r="M1422">
        <v>0</v>
      </c>
      <c r="N1422">
        <v>2400</v>
      </c>
    </row>
    <row r="1423" spans="1:14" x14ac:dyDescent="0.25">
      <c r="A1423">
        <v>1111.200077</v>
      </c>
      <c r="B1423" s="1">
        <f>DATE(2013,5,16) + TIME(4,48,6)</f>
        <v>41410.200069444443</v>
      </c>
      <c r="C1423">
        <v>1839.4890137</v>
      </c>
      <c r="D1423">
        <v>1711.5867920000001</v>
      </c>
      <c r="E1423">
        <v>899.46148682</v>
      </c>
      <c r="F1423">
        <v>707.30059814000003</v>
      </c>
      <c r="G1423">
        <v>80</v>
      </c>
      <c r="H1423">
        <v>79.947753906000003</v>
      </c>
      <c r="I1423">
        <v>50</v>
      </c>
      <c r="J1423">
        <v>48.741275786999999</v>
      </c>
      <c r="K1423">
        <v>2400</v>
      </c>
      <c r="L1423">
        <v>0</v>
      </c>
      <c r="M1423">
        <v>0</v>
      </c>
      <c r="N1423">
        <v>2400</v>
      </c>
    </row>
    <row r="1424" spans="1:14" x14ac:dyDescent="0.25">
      <c r="A1424">
        <v>1111.7697430000001</v>
      </c>
      <c r="B1424" s="1">
        <f>DATE(2013,5,16) + TIME(18,28,25)</f>
        <v>41410.769733796296</v>
      </c>
      <c r="C1424">
        <v>1838.7696533000001</v>
      </c>
      <c r="D1424">
        <v>1710.8669434000001</v>
      </c>
      <c r="E1424">
        <v>899.35668944999998</v>
      </c>
      <c r="F1424">
        <v>707.16857909999999</v>
      </c>
      <c r="G1424">
        <v>80</v>
      </c>
      <c r="H1424">
        <v>79.947845459000007</v>
      </c>
      <c r="I1424">
        <v>50</v>
      </c>
      <c r="J1424">
        <v>48.702541351000001</v>
      </c>
      <c r="K1424">
        <v>2400</v>
      </c>
      <c r="L1424">
        <v>0</v>
      </c>
      <c r="M1424">
        <v>0</v>
      </c>
      <c r="N1424">
        <v>2400</v>
      </c>
    </row>
    <row r="1425" spans="1:14" x14ac:dyDescent="0.25">
      <c r="A1425">
        <v>1112.3504620000001</v>
      </c>
      <c r="B1425" s="1">
        <f>DATE(2013,5,17) + TIME(8,24,39)</f>
        <v>41411.350451388891</v>
      </c>
      <c r="C1425">
        <v>1838.0600586</v>
      </c>
      <c r="D1425">
        <v>1710.1574707</v>
      </c>
      <c r="E1425">
        <v>899.25012206999997</v>
      </c>
      <c r="F1425">
        <v>707.03399658000001</v>
      </c>
      <c r="G1425">
        <v>80</v>
      </c>
      <c r="H1425">
        <v>79.947914123999993</v>
      </c>
      <c r="I1425">
        <v>50</v>
      </c>
      <c r="J1425">
        <v>48.663219452</v>
      </c>
      <c r="K1425">
        <v>2400</v>
      </c>
      <c r="L1425">
        <v>0</v>
      </c>
      <c r="M1425">
        <v>0</v>
      </c>
      <c r="N1425">
        <v>2400</v>
      </c>
    </row>
    <row r="1426" spans="1:14" x14ac:dyDescent="0.25">
      <c r="A1426">
        <v>1112.9454350000001</v>
      </c>
      <c r="B1426" s="1">
        <f>DATE(2013,5,17) + TIME(22,41,25)</f>
        <v>41411.945428240739</v>
      </c>
      <c r="C1426">
        <v>1837.3563231999999</v>
      </c>
      <c r="D1426">
        <v>1709.4544678</v>
      </c>
      <c r="E1426">
        <v>899.14123534999999</v>
      </c>
      <c r="F1426">
        <v>706.89624022999999</v>
      </c>
      <c r="G1426">
        <v>80</v>
      </c>
      <c r="H1426">
        <v>79.947982788000004</v>
      </c>
      <c r="I1426">
        <v>50</v>
      </c>
      <c r="J1426">
        <v>48.623176575000002</v>
      </c>
      <c r="K1426">
        <v>2400</v>
      </c>
      <c r="L1426">
        <v>0</v>
      </c>
      <c r="M1426">
        <v>0</v>
      </c>
      <c r="N1426">
        <v>2400</v>
      </c>
    </row>
    <row r="1427" spans="1:14" x14ac:dyDescent="0.25">
      <c r="A1427">
        <v>1113.558086</v>
      </c>
      <c r="B1427" s="1">
        <f>DATE(2013,5,18) + TIME(13,23,38)</f>
        <v>41412.558078703703</v>
      </c>
      <c r="C1427">
        <v>1836.6547852000001</v>
      </c>
      <c r="D1427">
        <v>1708.7540283000001</v>
      </c>
      <c r="E1427">
        <v>899.02935791000004</v>
      </c>
      <c r="F1427">
        <v>706.75463866999996</v>
      </c>
      <c r="G1427">
        <v>80</v>
      </c>
      <c r="H1427">
        <v>79.948043823000006</v>
      </c>
      <c r="I1427">
        <v>50</v>
      </c>
      <c r="J1427">
        <v>48.582248688</v>
      </c>
      <c r="K1427">
        <v>2400</v>
      </c>
      <c r="L1427">
        <v>0</v>
      </c>
      <c r="M1427">
        <v>0</v>
      </c>
      <c r="N1427">
        <v>2400</v>
      </c>
    </row>
    <row r="1428" spans="1:14" x14ac:dyDescent="0.25">
      <c r="A1428">
        <v>1114.1921930000001</v>
      </c>
      <c r="B1428" s="1">
        <f>DATE(2013,5,19) + TIME(4,36,45)</f>
        <v>41413.192187499997</v>
      </c>
      <c r="C1428">
        <v>1835.9514160000001</v>
      </c>
      <c r="D1428">
        <v>1708.0523682</v>
      </c>
      <c r="E1428">
        <v>898.91381836000005</v>
      </c>
      <c r="F1428">
        <v>706.60833739999998</v>
      </c>
      <c r="G1428">
        <v>80</v>
      </c>
      <c r="H1428">
        <v>79.948104857999994</v>
      </c>
      <c r="I1428">
        <v>50</v>
      </c>
      <c r="J1428">
        <v>48.540237427000001</v>
      </c>
      <c r="K1428">
        <v>2400</v>
      </c>
      <c r="L1428">
        <v>0</v>
      </c>
      <c r="M1428">
        <v>0</v>
      </c>
      <c r="N1428">
        <v>2400</v>
      </c>
    </row>
    <row r="1429" spans="1:14" x14ac:dyDescent="0.25">
      <c r="A1429">
        <v>1114.8519670000001</v>
      </c>
      <c r="B1429" s="1">
        <f>DATE(2013,5,19) + TIME(20,26,49)</f>
        <v>41413.851956018516</v>
      </c>
      <c r="C1429">
        <v>1835.2426757999999</v>
      </c>
      <c r="D1429">
        <v>1707.3458252</v>
      </c>
      <c r="E1429">
        <v>898.79376220999995</v>
      </c>
      <c r="F1429">
        <v>706.45629883000004</v>
      </c>
      <c r="G1429">
        <v>80</v>
      </c>
      <c r="H1429">
        <v>79.948158264</v>
      </c>
      <c r="I1429">
        <v>50</v>
      </c>
      <c r="J1429">
        <v>48.496902466000002</v>
      </c>
      <c r="K1429">
        <v>2400</v>
      </c>
      <c r="L1429">
        <v>0</v>
      </c>
      <c r="M1429">
        <v>0</v>
      </c>
      <c r="N1429">
        <v>2400</v>
      </c>
    </row>
    <row r="1430" spans="1:14" x14ac:dyDescent="0.25">
      <c r="A1430">
        <v>1115.5423109999999</v>
      </c>
      <c r="B1430" s="1">
        <f>DATE(2013,5,20) + TIME(13,0,55)</f>
        <v>41414.542303240742</v>
      </c>
      <c r="C1430">
        <v>1834.5245361</v>
      </c>
      <c r="D1430">
        <v>1706.6303711</v>
      </c>
      <c r="E1430">
        <v>898.66845703000001</v>
      </c>
      <c r="F1430">
        <v>706.29748534999999</v>
      </c>
      <c r="G1430">
        <v>80</v>
      </c>
      <c r="H1430">
        <v>79.948204040999997</v>
      </c>
      <c r="I1430">
        <v>50</v>
      </c>
      <c r="J1430">
        <v>48.451984406000001</v>
      </c>
      <c r="K1430">
        <v>2400</v>
      </c>
      <c r="L1430">
        <v>0</v>
      </c>
      <c r="M1430">
        <v>0</v>
      </c>
      <c r="N1430">
        <v>2400</v>
      </c>
    </row>
    <row r="1431" spans="1:14" x14ac:dyDescent="0.25">
      <c r="A1431">
        <v>1116.249971</v>
      </c>
      <c r="B1431" s="1">
        <f>DATE(2013,5,21) + TIME(5,59,57)</f>
        <v>41415.249965277777</v>
      </c>
      <c r="C1431">
        <v>1833.7935791</v>
      </c>
      <c r="D1431">
        <v>1705.9027100000001</v>
      </c>
      <c r="E1431">
        <v>898.53619385000002</v>
      </c>
      <c r="F1431">
        <v>706.13128661999997</v>
      </c>
      <c r="G1431">
        <v>80</v>
      </c>
      <c r="H1431">
        <v>79.948257446</v>
      </c>
      <c r="I1431">
        <v>50</v>
      </c>
      <c r="J1431">
        <v>48.405834198000001</v>
      </c>
      <c r="K1431">
        <v>2400</v>
      </c>
      <c r="L1431">
        <v>0</v>
      </c>
      <c r="M1431">
        <v>0</v>
      </c>
      <c r="N1431">
        <v>2400</v>
      </c>
    </row>
    <row r="1432" spans="1:14" x14ac:dyDescent="0.25">
      <c r="A1432">
        <v>1116.973677</v>
      </c>
      <c r="B1432" s="1">
        <f>DATE(2013,5,21) + TIME(23,22,5)</f>
        <v>41415.973668981482</v>
      </c>
      <c r="C1432">
        <v>1833.0635986</v>
      </c>
      <c r="D1432">
        <v>1705.1765137</v>
      </c>
      <c r="E1432">
        <v>898.39996338000003</v>
      </c>
      <c r="F1432">
        <v>705.95989989999998</v>
      </c>
      <c r="G1432">
        <v>80</v>
      </c>
      <c r="H1432">
        <v>79.948295592999997</v>
      </c>
      <c r="I1432">
        <v>50</v>
      </c>
      <c r="J1432">
        <v>48.358615874999998</v>
      </c>
      <c r="K1432">
        <v>2400</v>
      </c>
      <c r="L1432">
        <v>0</v>
      </c>
      <c r="M1432">
        <v>0</v>
      </c>
      <c r="N1432">
        <v>2400</v>
      </c>
    </row>
    <row r="1433" spans="1:14" x14ac:dyDescent="0.25">
      <c r="A1433">
        <v>1117.7032119999999</v>
      </c>
      <c r="B1433" s="1">
        <f>DATE(2013,5,22) + TIME(16,52,37)</f>
        <v>41416.703206018516</v>
      </c>
      <c r="C1433">
        <v>1832.3366699000001</v>
      </c>
      <c r="D1433">
        <v>1704.4537353999999</v>
      </c>
      <c r="E1433">
        <v>898.25970458999996</v>
      </c>
      <c r="F1433">
        <v>705.78399658000001</v>
      </c>
      <c r="G1433">
        <v>80</v>
      </c>
      <c r="H1433">
        <v>79.948341369999994</v>
      </c>
      <c r="I1433">
        <v>50</v>
      </c>
      <c r="J1433">
        <v>48.310768127000003</v>
      </c>
      <c r="K1433">
        <v>2400</v>
      </c>
      <c r="L1433">
        <v>0</v>
      </c>
      <c r="M1433">
        <v>0</v>
      </c>
      <c r="N1433">
        <v>2400</v>
      </c>
    </row>
    <row r="1434" spans="1:14" x14ac:dyDescent="0.25">
      <c r="A1434">
        <v>1118.4428069999999</v>
      </c>
      <c r="B1434" s="1">
        <f>DATE(2013,5,23) + TIME(10,37,38)</f>
        <v>41417.442800925928</v>
      </c>
      <c r="C1434">
        <v>1831.6220702999999</v>
      </c>
      <c r="D1434">
        <v>1703.7436522999999</v>
      </c>
      <c r="E1434">
        <v>898.11791991999996</v>
      </c>
      <c r="F1434">
        <v>705.60522461000005</v>
      </c>
      <c r="G1434">
        <v>80</v>
      </c>
      <c r="H1434">
        <v>79.948387146000002</v>
      </c>
      <c r="I1434">
        <v>50</v>
      </c>
      <c r="J1434">
        <v>48.262336730999998</v>
      </c>
      <c r="K1434">
        <v>2400</v>
      </c>
      <c r="L1434">
        <v>0</v>
      </c>
      <c r="M1434">
        <v>0</v>
      </c>
      <c r="N1434">
        <v>2400</v>
      </c>
    </row>
    <row r="1435" spans="1:14" x14ac:dyDescent="0.25">
      <c r="A1435">
        <v>1119.196299</v>
      </c>
      <c r="B1435" s="1">
        <f>DATE(2013,5,24) + TIME(4,42,40)</f>
        <v>41418.196296296293</v>
      </c>
      <c r="C1435">
        <v>1830.9155272999999</v>
      </c>
      <c r="D1435">
        <v>1703.0419922000001</v>
      </c>
      <c r="E1435">
        <v>897.97357178000004</v>
      </c>
      <c r="F1435">
        <v>705.42279053000004</v>
      </c>
      <c r="G1435">
        <v>80</v>
      </c>
      <c r="H1435">
        <v>79.948425293</v>
      </c>
      <c r="I1435">
        <v>50</v>
      </c>
      <c r="J1435">
        <v>48.213233948000003</v>
      </c>
      <c r="K1435">
        <v>2400</v>
      </c>
      <c r="L1435">
        <v>0</v>
      </c>
      <c r="M1435">
        <v>0</v>
      </c>
      <c r="N1435">
        <v>2400</v>
      </c>
    </row>
    <row r="1436" spans="1:14" x14ac:dyDescent="0.25">
      <c r="A1436">
        <v>1119.9642180000001</v>
      </c>
      <c r="B1436" s="1">
        <f>DATE(2013,5,24) + TIME(23,8,28)</f>
        <v>41418.964212962965</v>
      </c>
      <c r="C1436">
        <v>1830.2132568</v>
      </c>
      <c r="D1436">
        <v>1702.3449707</v>
      </c>
      <c r="E1436">
        <v>897.82574463000003</v>
      </c>
      <c r="F1436">
        <v>705.23590088000003</v>
      </c>
      <c r="G1436">
        <v>80</v>
      </c>
      <c r="H1436">
        <v>79.948471068999993</v>
      </c>
      <c r="I1436">
        <v>50</v>
      </c>
      <c r="J1436">
        <v>48.163406371999997</v>
      </c>
      <c r="K1436">
        <v>2400</v>
      </c>
      <c r="L1436">
        <v>0</v>
      </c>
      <c r="M1436">
        <v>0</v>
      </c>
      <c r="N1436">
        <v>2400</v>
      </c>
    </row>
    <row r="1437" spans="1:14" x14ac:dyDescent="0.25">
      <c r="A1437">
        <v>1120.7493790000001</v>
      </c>
      <c r="B1437" s="1">
        <f>DATE(2013,5,25) + TIME(17,59,6)</f>
        <v>41419.749374999999</v>
      </c>
      <c r="C1437">
        <v>1829.5146483999999</v>
      </c>
      <c r="D1437">
        <v>1701.6519774999999</v>
      </c>
      <c r="E1437">
        <v>897.67425536999997</v>
      </c>
      <c r="F1437">
        <v>705.04418944999998</v>
      </c>
      <c r="G1437">
        <v>80</v>
      </c>
      <c r="H1437">
        <v>79.948509216000005</v>
      </c>
      <c r="I1437">
        <v>50</v>
      </c>
      <c r="J1437">
        <v>48.112739562999998</v>
      </c>
      <c r="K1437">
        <v>2400</v>
      </c>
      <c r="L1437">
        <v>0</v>
      </c>
      <c r="M1437">
        <v>0</v>
      </c>
      <c r="N1437">
        <v>2400</v>
      </c>
    </row>
    <row r="1438" spans="1:14" x14ac:dyDescent="0.25">
      <c r="A1438">
        <v>1121.5560889999999</v>
      </c>
      <c r="B1438" s="1">
        <f>DATE(2013,5,26) + TIME(13,20,46)</f>
        <v>41420.556087962963</v>
      </c>
      <c r="C1438">
        <v>1828.8172606999999</v>
      </c>
      <c r="D1438">
        <v>1700.9604492000001</v>
      </c>
      <c r="E1438">
        <v>897.51849364999998</v>
      </c>
      <c r="F1438">
        <v>704.84674071999996</v>
      </c>
      <c r="G1438">
        <v>80</v>
      </c>
      <c r="H1438">
        <v>79.948547363000003</v>
      </c>
      <c r="I1438">
        <v>50</v>
      </c>
      <c r="J1438">
        <v>48.061038971000002</v>
      </c>
      <c r="K1438">
        <v>2400</v>
      </c>
      <c r="L1438">
        <v>0</v>
      </c>
      <c r="M1438">
        <v>0</v>
      </c>
      <c r="N1438">
        <v>2400</v>
      </c>
    </row>
    <row r="1439" spans="1:14" x14ac:dyDescent="0.25">
      <c r="A1439">
        <v>1122.389023</v>
      </c>
      <c r="B1439" s="1">
        <f>DATE(2013,5,27) + TIME(9,20,11)</f>
        <v>41421.389016203706</v>
      </c>
      <c r="C1439">
        <v>1828.1173096</v>
      </c>
      <c r="D1439">
        <v>1700.2669678</v>
      </c>
      <c r="E1439">
        <v>897.35748291000004</v>
      </c>
      <c r="F1439">
        <v>704.64245604999996</v>
      </c>
      <c r="G1439">
        <v>80</v>
      </c>
      <c r="H1439">
        <v>79.94859314</v>
      </c>
      <c r="I1439">
        <v>50</v>
      </c>
      <c r="J1439">
        <v>48.008060454999999</v>
      </c>
      <c r="K1439">
        <v>2400</v>
      </c>
      <c r="L1439">
        <v>0</v>
      </c>
      <c r="M1439">
        <v>0</v>
      </c>
      <c r="N1439">
        <v>2400</v>
      </c>
    </row>
    <row r="1440" spans="1:14" x14ac:dyDescent="0.25">
      <c r="A1440">
        <v>1123.2534820000001</v>
      </c>
      <c r="B1440" s="1">
        <f>DATE(2013,5,28) + TIME(6,5,0)</f>
        <v>41422.253472222219</v>
      </c>
      <c r="C1440">
        <v>1827.411499</v>
      </c>
      <c r="D1440">
        <v>1699.567749</v>
      </c>
      <c r="E1440">
        <v>897.19018555000002</v>
      </c>
      <c r="F1440">
        <v>704.42993163999995</v>
      </c>
      <c r="G1440">
        <v>80</v>
      </c>
      <c r="H1440">
        <v>79.948638915999993</v>
      </c>
      <c r="I1440">
        <v>50</v>
      </c>
      <c r="J1440">
        <v>47.953510283999996</v>
      </c>
      <c r="K1440">
        <v>2400</v>
      </c>
      <c r="L1440">
        <v>0</v>
      </c>
      <c r="M1440">
        <v>0</v>
      </c>
      <c r="N1440">
        <v>2400</v>
      </c>
    </row>
    <row r="1441" spans="1:14" x14ac:dyDescent="0.25">
      <c r="A1441">
        <v>1124.144215</v>
      </c>
      <c r="B1441" s="1">
        <f>DATE(2013,5,29) + TIME(3,27,40)</f>
        <v>41423.144212962965</v>
      </c>
      <c r="C1441">
        <v>1826.6962891000001</v>
      </c>
      <c r="D1441">
        <v>1698.8596190999999</v>
      </c>
      <c r="E1441">
        <v>897.01507568</v>
      </c>
      <c r="F1441">
        <v>704.20788574000005</v>
      </c>
      <c r="G1441">
        <v>80</v>
      </c>
      <c r="H1441">
        <v>79.948677063000005</v>
      </c>
      <c r="I1441">
        <v>50</v>
      </c>
      <c r="J1441">
        <v>47.897411345999998</v>
      </c>
      <c r="K1441">
        <v>2400</v>
      </c>
      <c r="L1441">
        <v>0</v>
      </c>
      <c r="M1441">
        <v>0</v>
      </c>
      <c r="N1441">
        <v>2400</v>
      </c>
    </row>
    <row r="1442" spans="1:14" x14ac:dyDescent="0.25">
      <c r="A1442">
        <v>1125.037718</v>
      </c>
      <c r="B1442" s="1">
        <f>DATE(2013,5,30) + TIME(0,54,18)</f>
        <v>41424.037708333337</v>
      </c>
      <c r="C1442">
        <v>1825.9769286999999</v>
      </c>
      <c r="D1442">
        <v>1698.1478271000001</v>
      </c>
      <c r="E1442">
        <v>896.83251953000001</v>
      </c>
      <c r="F1442">
        <v>703.97778319999998</v>
      </c>
      <c r="G1442">
        <v>80</v>
      </c>
      <c r="H1442">
        <v>79.948722838999998</v>
      </c>
      <c r="I1442">
        <v>50</v>
      </c>
      <c r="J1442">
        <v>47.840496063000003</v>
      </c>
      <c r="K1442">
        <v>2400</v>
      </c>
      <c r="L1442">
        <v>0</v>
      </c>
      <c r="M1442">
        <v>0</v>
      </c>
      <c r="N1442">
        <v>2400</v>
      </c>
    </row>
    <row r="1443" spans="1:14" x14ac:dyDescent="0.25">
      <c r="A1443">
        <v>1125.938633</v>
      </c>
      <c r="B1443" s="1">
        <f>DATE(2013,5,30) + TIME(22,31,37)</f>
        <v>41424.938622685186</v>
      </c>
      <c r="C1443">
        <v>1825.2709961</v>
      </c>
      <c r="D1443">
        <v>1697.4494629000001</v>
      </c>
      <c r="E1443">
        <v>896.64825439000003</v>
      </c>
      <c r="F1443">
        <v>703.74407958999996</v>
      </c>
      <c r="G1443">
        <v>80</v>
      </c>
      <c r="H1443">
        <v>79.948768615999995</v>
      </c>
      <c r="I1443">
        <v>50</v>
      </c>
      <c r="J1443">
        <v>47.783016205000003</v>
      </c>
      <c r="K1443">
        <v>2400</v>
      </c>
      <c r="L1443">
        <v>0</v>
      </c>
      <c r="M1443">
        <v>0</v>
      </c>
      <c r="N1443">
        <v>2400</v>
      </c>
    </row>
    <row r="1444" spans="1:14" x14ac:dyDescent="0.25">
      <c r="A1444">
        <v>1126.8519670000001</v>
      </c>
      <c r="B1444" s="1">
        <f>DATE(2013,5,31) + TIME(20,26,49)</f>
        <v>41425.851956018516</v>
      </c>
      <c r="C1444">
        <v>1824.5749512</v>
      </c>
      <c r="D1444">
        <v>1696.7611084</v>
      </c>
      <c r="E1444">
        <v>896.46118163999995</v>
      </c>
      <c r="F1444">
        <v>703.50585937999995</v>
      </c>
      <c r="G1444">
        <v>80</v>
      </c>
      <c r="H1444">
        <v>79.948806762999993</v>
      </c>
      <c r="I1444">
        <v>50</v>
      </c>
      <c r="J1444">
        <v>47.724929809999999</v>
      </c>
      <c r="K1444">
        <v>2400</v>
      </c>
      <c r="L1444">
        <v>0</v>
      </c>
      <c r="M1444">
        <v>0</v>
      </c>
      <c r="N1444">
        <v>2400</v>
      </c>
    </row>
    <row r="1445" spans="1:14" x14ac:dyDescent="0.25">
      <c r="A1445">
        <v>1127</v>
      </c>
      <c r="B1445" s="1">
        <f>DATE(2013,6,1) + TIME(0,0,0)</f>
        <v>41426</v>
      </c>
      <c r="C1445">
        <v>1823.9804687999999</v>
      </c>
      <c r="D1445">
        <v>1696.1740723</v>
      </c>
      <c r="E1445">
        <v>896.24407958999996</v>
      </c>
      <c r="F1445">
        <v>703.31890868999994</v>
      </c>
      <c r="G1445">
        <v>80</v>
      </c>
      <c r="H1445">
        <v>79.948760985999996</v>
      </c>
      <c r="I1445">
        <v>50</v>
      </c>
      <c r="J1445">
        <v>47.708297729000002</v>
      </c>
      <c r="K1445">
        <v>2400</v>
      </c>
      <c r="L1445">
        <v>0</v>
      </c>
      <c r="M1445">
        <v>0</v>
      </c>
      <c r="N1445">
        <v>2400</v>
      </c>
    </row>
    <row r="1446" spans="1:14" x14ac:dyDescent="0.25">
      <c r="A1446">
        <v>1127.9304520000001</v>
      </c>
      <c r="B1446" s="1">
        <f>DATE(2013,6,1) + TIME(22,19,51)</f>
        <v>41426.930451388886</v>
      </c>
      <c r="C1446">
        <v>1823.7607422000001</v>
      </c>
      <c r="D1446">
        <v>1695.9564209</v>
      </c>
      <c r="E1446">
        <v>896.23944091999999</v>
      </c>
      <c r="F1446">
        <v>703.21569824000005</v>
      </c>
      <c r="G1446">
        <v>80</v>
      </c>
      <c r="H1446">
        <v>79.948860167999996</v>
      </c>
      <c r="I1446">
        <v>50</v>
      </c>
      <c r="J1446">
        <v>47.653133392000001</v>
      </c>
      <c r="K1446">
        <v>2400</v>
      </c>
      <c r="L1446">
        <v>0</v>
      </c>
      <c r="M1446">
        <v>0</v>
      </c>
      <c r="N1446">
        <v>2400</v>
      </c>
    </row>
    <row r="1447" spans="1:14" x14ac:dyDescent="0.25">
      <c r="A1447">
        <v>1128.88697</v>
      </c>
      <c r="B1447" s="1">
        <f>DATE(2013,6,2) + TIME(21,17,14)</f>
        <v>41427.886967592596</v>
      </c>
      <c r="C1447">
        <v>1823.0867920000001</v>
      </c>
      <c r="D1447">
        <v>1695.2905272999999</v>
      </c>
      <c r="E1447">
        <v>896.04315185999997</v>
      </c>
      <c r="F1447">
        <v>702.96752930000002</v>
      </c>
      <c r="G1447">
        <v>80</v>
      </c>
      <c r="H1447">
        <v>79.948905945000007</v>
      </c>
      <c r="I1447">
        <v>50</v>
      </c>
      <c r="J1447">
        <v>47.594917297000002</v>
      </c>
      <c r="K1447">
        <v>2400</v>
      </c>
      <c r="L1447">
        <v>0</v>
      </c>
      <c r="M1447">
        <v>0</v>
      </c>
      <c r="N1447">
        <v>2400</v>
      </c>
    </row>
    <row r="1448" spans="1:14" x14ac:dyDescent="0.25">
      <c r="A1448">
        <v>1129.871543</v>
      </c>
      <c r="B1448" s="1">
        <f>DATE(2013,6,3) + TIME(20,55,1)</f>
        <v>41428.871539351851</v>
      </c>
      <c r="C1448">
        <v>1822.3981934000001</v>
      </c>
      <c r="D1448">
        <v>1694.6103516000001</v>
      </c>
      <c r="E1448">
        <v>895.83843993999994</v>
      </c>
      <c r="F1448">
        <v>702.70690918000003</v>
      </c>
      <c r="G1448">
        <v>80</v>
      </c>
      <c r="H1448">
        <v>79.948951721</v>
      </c>
      <c r="I1448">
        <v>50</v>
      </c>
      <c r="J1448">
        <v>47.534351348999998</v>
      </c>
      <c r="K1448">
        <v>2400</v>
      </c>
      <c r="L1448">
        <v>0</v>
      </c>
      <c r="M1448">
        <v>0</v>
      </c>
      <c r="N1448">
        <v>2400</v>
      </c>
    </row>
    <row r="1449" spans="1:14" x14ac:dyDescent="0.25">
      <c r="A1449">
        <v>1130.890361</v>
      </c>
      <c r="B1449" s="1">
        <f>DATE(2013,6,4) + TIME(21,22,7)</f>
        <v>41429.8903587963</v>
      </c>
      <c r="C1449">
        <v>1821.7030029</v>
      </c>
      <c r="D1449">
        <v>1693.9239502</v>
      </c>
      <c r="E1449">
        <v>895.62597656000003</v>
      </c>
      <c r="F1449">
        <v>702.43457031000003</v>
      </c>
      <c r="G1449">
        <v>80</v>
      </c>
      <c r="H1449">
        <v>79.948997497999997</v>
      </c>
      <c r="I1449">
        <v>50</v>
      </c>
      <c r="J1449">
        <v>47.471588134999998</v>
      </c>
      <c r="K1449">
        <v>2400</v>
      </c>
      <c r="L1449">
        <v>0</v>
      </c>
      <c r="M1449">
        <v>0</v>
      </c>
      <c r="N1449">
        <v>2400</v>
      </c>
    </row>
    <row r="1450" spans="1:14" x14ac:dyDescent="0.25">
      <c r="A1450">
        <v>1131.9503199999999</v>
      </c>
      <c r="B1450" s="1">
        <f>DATE(2013,6,5) + TIME(22,48,27)</f>
        <v>41430.950312499997</v>
      </c>
      <c r="C1450">
        <v>1820.9986572</v>
      </c>
      <c r="D1450">
        <v>1693.2286377</v>
      </c>
      <c r="E1450">
        <v>895.40386963000003</v>
      </c>
      <c r="F1450">
        <v>702.14874268000005</v>
      </c>
      <c r="G1450">
        <v>80</v>
      </c>
      <c r="H1450">
        <v>79.949050903</v>
      </c>
      <c r="I1450">
        <v>50</v>
      </c>
      <c r="J1450">
        <v>47.406486510999997</v>
      </c>
      <c r="K1450">
        <v>2400</v>
      </c>
      <c r="L1450">
        <v>0</v>
      </c>
      <c r="M1450">
        <v>0</v>
      </c>
      <c r="N1450">
        <v>2400</v>
      </c>
    </row>
    <row r="1451" spans="1:14" x14ac:dyDescent="0.25">
      <c r="A1451">
        <v>1133.018388</v>
      </c>
      <c r="B1451" s="1">
        <f>DATE(2013,6,7) + TIME(0,26,28)</f>
        <v>41432.018379629626</v>
      </c>
      <c r="C1451">
        <v>1820.2821045000001</v>
      </c>
      <c r="D1451">
        <v>1692.5216064000001</v>
      </c>
      <c r="E1451">
        <v>895.16937256000006</v>
      </c>
      <c r="F1451">
        <v>701.84838866999996</v>
      </c>
      <c r="G1451">
        <v>80</v>
      </c>
      <c r="H1451">
        <v>79.949096679999997</v>
      </c>
      <c r="I1451">
        <v>50</v>
      </c>
      <c r="J1451">
        <v>47.339832305999998</v>
      </c>
      <c r="K1451">
        <v>2400</v>
      </c>
      <c r="L1451">
        <v>0</v>
      </c>
      <c r="M1451">
        <v>0</v>
      </c>
      <c r="N1451">
        <v>2400</v>
      </c>
    </row>
    <row r="1452" spans="1:14" x14ac:dyDescent="0.25">
      <c r="A1452">
        <v>1134.093419</v>
      </c>
      <c r="B1452" s="1">
        <f>DATE(2013,6,8) + TIME(2,14,31)</f>
        <v>41433.093414351853</v>
      </c>
      <c r="C1452">
        <v>1819.5744629000001</v>
      </c>
      <c r="D1452">
        <v>1691.8234863</v>
      </c>
      <c r="E1452">
        <v>894.93054199000005</v>
      </c>
      <c r="F1452">
        <v>701.54058838000003</v>
      </c>
      <c r="G1452">
        <v>80</v>
      </c>
      <c r="H1452">
        <v>79.949142456000004</v>
      </c>
      <c r="I1452">
        <v>50</v>
      </c>
      <c r="J1452">
        <v>47.272247313999998</v>
      </c>
      <c r="K1452">
        <v>2400</v>
      </c>
      <c r="L1452">
        <v>0</v>
      </c>
      <c r="M1452">
        <v>0</v>
      </c>
      <c r="N1452">
        <v>2400</v>
      </c>
    </row>
    <row r="1453" spans="1:14" x14ac:dyDescent="0.25">
      <c r="A1453">
        <v>1135.181188</v>
      </c>
      <c r="B1453" s="1">
        <f>DATE(2013,6,9) + TIME(4,20,54)</f>
        <v>41434.181180555555</v>
      </c>
      <c r="C1453">
        <v>1818.8765868999999</v>
      </c>
      <c r="D1453">
        <v>1691.1351318</v>
      </c>
      <c r="E1453">
        <v>894.6875</v>
      </c>
      <c r="F1453">
        <v>701.22558593999997</v>
      </c>
      <c r="G1453">
        <v>80</v>
      </c>
      <c r="H1453">
        <v>79.949188231999997</v>
      </c>
      <c r="I1453">
        <v>50</v>
      </c>
      <c r="J1453">
        <v>47.203838347999998</v>
      </c>
      <c r="K1453">
        <v>2400</v>
      </c>
      <c r="L1453">
        <v>0</v>
      </c>
      <c r="M1453">
        <v>0</v>
      </c>
      <c r="N1453">
        <v>2400</v>
      </c>
    </row>
    <row r="1454" spans="1:14" x14ac:dyDescent="0.25">
      <c r="A1454">
        <v>1136.2879720000001</v>
      </c>
      <c r="B1454" s="1">
        <f>DATE(2013,6,10) + TIME(6,54,40)</f>
        <v>41435.287962962961</v>
      </c>
      <c r="C1454">
        <v>1818.1845702999999</v>
      </c>
      <c r="D1454">
        <v>1690.4527588000001</v>
      </c>
      <c r="E1454">
        <v>894.43865966999999</v>
      </c>
      <c r="F1454">
        <v>700.90155029000005</v>
      </c>
      <c r="G1454">
        <v>80</v>
      </c>
      <c r="H1454">
        <v>79.949241638000004</v>
      </c>
      <c r="I1454">
        <v>50</v>
      </c>
      <c r="J1454">
        <v>47.134433745999999</v>
      </c>
      <c r="K1454">
        <v>2400</v>
      </c>
      <c r="L1454">
        <v>0</v>
      </c>
      <c r="M1454">
        <v>0</v>
      </c>
      <c r="N1454">
        <v>2400</v>
      </c>
    </row>
    <row r="1455" spans="1:14" x14ac:dyDescent="0.25">
      <c r="A1455">
        <v>1137.419206</v>
      </c>
      <c r="B1455" s="1">
        <f>DATE(2013,6,11) + TIME(10,3,39)</f>
        <v>41436.41920138889</v>
      </c>
      <c r="C1455">
        <v>1817.4943848</v>
      </c>
      <c r="D1455">
        <v>1689.7723389</v>
      </c>
      <c r="E1455">
        <v>894.18225098000005</v>
      </c>
      <c r="F1455">
        <v>700.56640625</v>
      </c>
      <c r="G1455">
        <v>80</v>
      </c>
      <c r="H1455">
        <v>79.949295043999996</v>
      </c>
      <c r="I1455">
        <v>50</v>
      </c>
      <c r="J1455">
        <v>47.063743590999998</v>
      </c>
      <c r="K1455">
        <v>2400</v>
      </c>
      <c r="L1455">
        <v>0</v>
      </c>
      <c r="M1455">
        <v>0</v>
      </c>
      <c r="N1455">
        <v>2400</v>
      </c>
    </row>
    <row r="1456" spans="1:14" x14ac:dyDescent="0.25">
      <c r="A1456">
        <v>1138.5790890000001</v>
      </c>
      <c r="B1456" s="1">
        <f>DATE(2013,6,12) + TIME(13,53,53)</f>
        <v>41437.579085648147</v>
      </c>
      <c r="C1456">
        <v>1816.8028564000001</v>
      </c>
      <c r="D1456">
        <v>1689.0906981999999</v>
      </c>
      <c r="E1456">
        <v>893.91668701000003</v>
      </c>
      <c r="F1456">
        <v>700.21807861000002</v>
      </c>
      <c r="G1456">
        <v>80</v>
      </c>
      <c r="H1456">
        <v>79.949340820000003</v>
      </c>
      <c r="I1456">
        <v>50</v>
      </c>
      <c r="J1456">
        <v>46.991462708</v>
      </c>
      <c r="K1456">
        <v>2400</v>
      </c>
      <c r="L1456">
        <v>0</v>
      </c>
      <c r="M1456">
        <v>0</v>
      </c>
      <c r="N1456">
        <v>2400</v>
      </c>
    </row>
    <row r="1457" spans="1:14" x14ac:dyDescent="0.25">
      <c r="A1457">
        <v>1139.7660350000001</v>
      </c>
      <c r="B1457" s="1">
        <f>DATE(2013,6,13) + TIME(18,23,5)</f>
        <v>41438.766030092593</v>
      </c>
      <c r="C1457">
        <v>1816.1076660000001</v>
      </c>
      <c r="D1457">
        <v>1688.4056396000001</v>
      </c>
      <c r="E1457">
        <v>893.64038086000005</v>
      </c>
      <c r="F1457">
        <v>699.85485840000001</v>
      </c>
      <c r="G1457">
        <v>80</v>
      </c>
      <c r="H1457">
        <v>79.949394225999995</v>
      </c>
      <c r="I1457">
        <v>50</v>
      </c>
      <c r="J1457">
        <v>46.917453766000001</v>
      </c>
      <c r="K1457">
        <v>2400</v>
      </c>
      <c r="L1457">
        <v>0</v>
      </c>
      <c r="M1457">
        <v>0</v>
      </c>
      <c r="N1457">
        <v>2400</v>
      </c>
    </row>
    <row r="1458" spans="1:14" x14ac:dyDescent="0.25">
      <c r="A1458">
        <v>1140.9862680000001</v>
      </c>
      <c r="B1458" s="1">
        <f>DATE(2013,6,14) + TIME(23,40,13)</f>
        <v>41439.986261574071</v>
      </c>
      <c r="C1458">
        <v>1815.4099120999999</v>
      </c>
      <c r="D1458">
        <v>1687.7181396000001</v>
      </c>
      <c r="E1458">
        <v>893.35369873000002</v>
      </c>
      <c r="F1458">
        <v>699.47601318</v>
      </c>
      <c r="G1458">
        <v>80</v>
      </c>
      <c r="H1458">
        <v>79.949447632000002</v>
      </c>
      <c r="I1458">
        <v>50</v>
      </c>
      <c r="J1458">
        <v>46.841476440000001</v>
      </c>
      <c r="K1458">
        <v>2400</v>
      </c>
      <c r="L1458">
        <v>0</v>
      </c>
      <c r="M1458">
        <v>0</v>
      </c>
      <c r="N1458">
        <v>2400</v>
      </c>
    </row>
    <row r="1459" spans="1:14" x14ac:dyDescent="0.25">
      <c r="A1459">
        <v>1142.236893</v>
      </c>
      <c r="B1459" s="1">
        <f>DATE(2013,6,16) + TIME(5,41,7)</f>
        <v>41441.236886574072</v>
      </c>
      <c r="C1459">
        <v>1814.7064209</v>
      </c>
      <c r="D1459">
        <v>1687.0252685999999</v>
      </c>
      <c r="E1459">
        <v>893.05432128999996</v>
      </c>
      <c r="F1459">
        <v>699.07934569999998</v>
      </c>
      <c r="G1459">
        <v>80</v>
      </c>
      <c r="H1459">
        <v>79.949501037999994</v>
      </c>
      <c r="I1459">
        <v>50</v>
      </c>
      <c r="J1459">
        <v>46.763416290000002</v>
      </c>
      <c r="K1459">
        <v>2400</v>
      </c>
      <c r="L1459">
        <v>0</v>
      </c>
      <c r="M1459">
        <v>0</v>
      </c>
      <c r="N1459">
        <v>2400</v>
      </c>
    </row>
    <row r="1460" spans="1:14" x14ac:dyDescent="0.25">
      <c r="A1460">
        <v>1143.49602</v>
      </c>
      <c r="B1460" s="1">
        <f>DATE(2013,6,17) + TIME(11,54,16)</f>
        <v>41442.496018518519</v>
      </c>
      <c r="C1460">
        <v>1813.9996338000001</v>
      </c>
      <c r="D1460">
        <v>1686.3291016000001</v>
      </c>
      <c r="E1460">
        <v>892.7421875</v>
      </c>
      <c r="F1460">
        <v>698.66534423999997</v>
      </c>
      <c r="G1460">
        <v>80</v>
      </c>
      <c r="H1460">
        <v>79.949554442999997</v>
      </c>
      <c r="I1460">
        <v>50</v>
      </c>
      <c r="J1460">
        <v>46.683795928999999</v>
      </c>
      <c r="K1460">
        <v>2400</v>
      </c>
      <c r="L1460">
        <v>0</v>
      </c>
      <c r="M1460">
        <v>0</v>
      </c>
      <c r="N1460">
        <v>2400</v>
      </c>
    </row>
    <row r="1461" spans="1:14" x14ac:dyDescent="0.25">
      <c r="A1461">
        <v>1144.76918</v>
      </c>
      <c r="B1461" s="1">
        <f>DATE(2013,6,18) + TIME(18,27,37)</f>
        <v>41443.769178240742</v>
      </c>
      <c r="C1461">
        <v>1813.3010254000001</v>
      </c>
      <c r="D1461">
        <v>1685.6409911999999</v>
      </c>
      <c r="E1461">
        <v>892.42309569999998</v>
      </c>
      <c r="F1461">
        <v>698.23901366999996</v>
      </c>
      <c r="G1461">
        <v>80</v>
      </c>
      <c r="H1461">
        <v>79.949615479000002</v>
      </c>
      <c r="I1461">
        <v>50</v>
      </c>
      <c r="J1461">
        <v>46.602916718000003</v>
      </c>
      <c r="K1461">
        <v>2400</v>
      </c>
      <c r="L1461">
        <v>0</v>
      </c>
      <c r="M1461">
        <v>0</v>
      </c>
      <c r="N1461">
        <v>2400</v>
      </c>
    </row>
    <row r="1462" spans="1:14" x14ac:dyDescent="0.25">
      <c r="A1462">
        <v>1146.062486</v>
      </c>
      <c r="B1462" s="1">
        <f>DATE(2013,6,20) + TIME(1,29,58)</f>
        <v>41445.062476851854</v>
      </c>
      <c r="C1462">
        <v>1812.6075439000001</v>
      </c>
      <c r="D1462">
        <v>1684.9582519999999</v>
      </c>
      <c r="E1462">
        <v>892.09539795000001</v>
      </c>
      <c r="F1462">
        <v>697.79852295000001</v>
      </c>
      <c r="G1462">
        <v>80</v>
      </c>
      <c r="H1462">
        <v>79.949668884000005</v>
      </c>
      <c r="I1462">
        <v>50</v>
      </c>
      <c r="J1462">
        <v>46.520660399999997</v>
      </c>
      <c r="K1462">
        <v>2400</v>
      </c>
      <c r="L1462">
        <v>0</v>
      </c>
      <c r="M1462">
        <v>0</v>
      </c>
      <c r="N1462">
        <v>2400</v>
      </c>
    </row>
    <row r="1463" spans="1:14" x14ac:dyDescent="0.25">
      <c r="A1463">
        <v>1147.375978</v>
      </c>
      <c r="B1463" s="1">
        <f>DATE(2013,6,21) + TIME(9,1,24)</f>
        <v>41446.375972222224</v>
      </c>
      <c r="C1463">
        <v>1811.9161377</v>
      </c>
      <c r="D1463">
        <v>1684.2774658000001</v>
      </c>
      <c r="E1463">
        <v>891.75689696999996</v>
      </c>
      <c r="F1463">
        <v>697.34149170000001</v>
      </c>
      <c r="G1463">
        <v>80</v>
      </c>
      <c r="H1463">
        <v>79.949722289999997</v>
      </c>
      <c r="I1463">
        <v>50</v>
      </c>
      <c r="J1463">
        <v>46.43687439</v>
      </c>
      <c r="K1463">
        <v>2400</v>
      </c>
      <c r="L1463">
        <v>0</v>
      </c>
      <c r="M1463">
        <v>0</v>
      </c>
      <c r="N1463">
        <v>2400</v>
      </c>
    </row>
    <row r="1464" spans="1:14" x14ac:dyDescent="0.25">
      <c r="A1464">
        <v>1148.7166099999999</v>
      </c>
      <c r="B1464" s="1">
        <f>DATE(2013,6,22) + TIME(17,11,55)</f>
        <v>41447.716608796298</v>
      </c>
      <c r="C1464">
        <v>1811.2265625</v>
      </c>
      <c r="D1464">
        <v>1683.5985106999999</v>
      </c>
      <c r="E1464">
        <v>891.40728760000002</v>
      </c>
      <c r="F1464">
        <v>696.86682128999996</v>
      </c>
      <c r="G1464">
        <v>80</v>
      </c>
      <c r="H1464">
        <v>79.949783324999999</v>
      </c>
      <c r="I1464">
        <v>50</v>
      </c>
      <c r="J1464">
        <v>46.351291656000001</v>
      </c>
      <c r="K1464">
        <v>2400</v>
      </c>
      <c r="L1464">
        <v>0</v>
      </c>
      <c r="M1464">
        <v>0</v>
      </c>
      <c r="N1464">
        <v>2400</v>
      </c>
    </row>
    <row r="1465" spans="1:14" x14ac:dyDescent="0.25">
      <c r="A1465">
        <v>1150.0911759999999</v>
      </c>
      <c r="B1465" s="1">
        <f>DATE(2013,6,24) + TIME(2,11,17)</f>
        <v>41449.091168981482</v>
      </c>
      <c r="C1465">
        <v>1810.5352783000001</v>
      </c>
      <c r="D1465">
        <v>1682.9180908000001</v>
      </c>
      <c r="E1465">
        <v>891.04431151999995</v>
      </c>
      <c r="F1465">
        <v>696.37139893000005</v>
      </c>
      <c r="G1465">
        <v>80</v>
      </c>
      <c r="H1465">
        <v>79.949836731000005</v>
      </c>
      <c r="I1465">
        <v>50</v>
      </c>
      <c r="J1465">
        <v>46.263507842999999</v>
      </c>
      <c r="K1465">
        <v>2400</v>
      </c>
      <c r="L1465">
        <v>0</v>
      </c>
      <c r="M1465">
        <v>0</v>
      </c>
      <c r="N1465">
        <v>2400</v>
      </c>
    </row>
    <row r="1466" spans="1:14" x14ac:dyDescent="0.25">
      <c r="A1466">
        <v>1151.4927709999999</v>
      </c>
      <c r="B1466" s="1">
        <f>DATE(2013,6,25) + TIME(11,49,35)</f>
        <v>41450.492766203701</v>
      </c>
      <c r="C1466">
        <v>1809.8393555</v>
      </c>
      <c r="D1466">
        <v>1682.2330322</v>
      </c>
      <c r="E1466">
        <v>890.66534423999997</v>
      </c>
      <c r="F1466">
        <v>695.85217284999999</v>
      </c>
      <c r="G1466">
        <v>80</v>
      </c>
      <c r="H1466">
        <v>79.949897766000007</v>
      </c>
      <c r="I1466">
        <v>50</v>
      </c>
      <c r="J1466">
        <v>46.173397064</v>
      </c>
      <c r="K1466">
        <v>2400</v>
      </c>
      <c r="L1466">
        <v>0</v>
      </c>
      <c r="M1466">
        <v>0</v>
      </c>
      <c r="N1466">
        <v>2400</v>
      </c>
    </row>
    <row r="1467" spans="1:14" x14ac:dyDescent="0.25">
      <c r="A1467">
        <v>1152.9012270000001</v>
      </c>
      <c r="B1467" s="1">
        <f>DATE(2013,6,26) + TIME(21,37,46)</f>
        <v>41451.901226851849</v>
      </c>
      <c r="C1467">
        <v>1809.1425781</v>
      </c>
      <c r="D1467">
        <v>1681.5472411999999</v>
      </c>
      <c r="E1467">
        <v>890.27148437999995</v>
      </c>
      <c r="F1467">
        <v>695.31085204999999</v>
      </c>
      <c r="G1467">
        <v>80</v>
      </c>
      <c r="H1467">
        <v>79.949958800999994</v>
      </c>
      <c r="I1467">
        <v>50</v>
      </c>
      <c r="J1467">
        <v>46.081470490000001</v>
      </c>
      <c r="K1467">
        <v>2400</v>
      </c>
      <c r="L1467">
        <v>0</v>
      </c>
      <c r="M1467">
        <v>0</v>
      </c>
      <c r="N1467">
        <v>2400</v>
      </c>
    </row>
    <row r="1468" spans="1:14" x14ac:dyDescent="0.25">
      <c r="A1468">
        <v>1154.3232869999999</v>
      </c>
      <c r="B1468" s="1">
        <f>DATE(2013,6,28) + TIME(7,45,31)</f>
        <v>41453.323275462964</v>
      </c>
      <c r="C1468">
        <v>1808.4538574000001</v>
      </c>
      <c r="D1468">
        <v>1680.8695068</v>
      </c>
      <c r="E1468">
        <v>889.86859131000006</v>
      </c>
      <c r="F1468">
        <v>694.75280762</v>
      </c>
      <c r="G1468">
        <v>80</v>
      </c>
      <c r="H1468">
        <v>79.950019835999996</v>
      </c>
      <c r="I1468">
        <v>50</v>
      </c>
      <c r="J1468">
        <v>45.988037108999997</v>
      </c>
      <c r="K1468">
        <v>2400</v>
      </c>
      <c r="L1468">
        <v>0</v>
      </c>
      <c r="M1468">
        <v>0</v>
      </c>
      <c r="N1468">
        <v>2400</v>
      </c>
    </row>
    <row r="1469" spans="1:14" x14ac:dyDescent="0.25">
      <c r="A1469">
        <v>1155.7652539999999</v>
      </c>
      <c r="B1469" s="1">
        <f>DATE(2013,6,29) + TIME(18,21,57)</f>
        <v>41454.765243055554</v>
      </c>
      <c r="C1469">
        <v>1807.7705077999999</v>
      </c>
      <c r="D1469">
        <v>1680.1968993999999</v>
      </c>
      <c r="E1469">
        <v>889.45446776999995</v>
      </c>
      <c r="F1469">
        <v>694.17547606999995</v>
      </c>
      <c r="G1469">
        <v>80</v>
      </c>
      <c r="H1469">
        <v>79.950080872000001</v>
      </c>
      <c r="I1469">
        <v>50</v>
      </c>
      <c r="J1469">
        <v>45.892932891999997</v>
      </c>
      <c r="K1469">
        <v>2400</v>
      </c>
      <c r="L1469">
        <v>0</v>
      </c>
      <c r="M1469">
        <v>0</v>
      </c>
      <c r="N1469">
        <v>2400</v>
      </c>
    </row>
    <row r="1470" spans="1:14" x14ac:dyDescent="0.25">
      <c r="A1470">
        <v>1157</v>
      </c>
      <c r="B1470" s="1">
        <f>DATE(2013,7,1) + TIME(0,0,0)</f>
        <v>41456</v>
      </c>
      <c r="C1470">
        <v>1807.0939940999999</v>
      </c>
      <c r="D1470">
        <v>1679.53125</v>
      </c>
      <c r="E1470">
        <v>889.02270508000004</v>
      </c>
      <c r="F1470">
        <v>693.58746338000003</v>
      </c>
      <c r="G1470">
        <v>80</v>
      </c>
      <c r="H1470">
        <v>79.950126647999994</v>
      </c>
      <c r="I1470">
        <v>50</v>
      </c>
      <c r="J1470">
        <v>45.802242278999998</v>
      </c>
      <c r="K1470">
        <v>2400</v>
      </c>
      <c r="L1470">
        <v>0</v>
      </c>
      <c r="M1470">
        <v>0</v>
      </c>
      <c r="N1470">
        <v>2400</v>
      </c>
    </row>
    <row r="1471" spans="1:14" x14ac:dyDescent="0.25">
      <c r="A1471">
        <v>1158.468856</v>
      </c>
      <c r="B1471" s="1">
        <f>DATE(2013,7,2) + TIME(11,15,9)</f>
        <v>41457.468854166669</v>
      </c>
      <c r="C1471">
        <v>1806.5107422000001</v>
      </c>
      <c r="D1471">
        <v>1678.9571533000001</v>
      </c>
      <c r="E1471">
        <v>888.65454102000001</v>
      </c>
      <c r="F1471">
        <v>693.04345703000001</v>
      </c>
      <c r="G1471">
        <v>80</v>
      </c>
      <c r="H1471">
        <v>79.950195312000005</v>
      </c>
      <c r="I1471">
        <v>50</v>
      </c>
      <c r="J1471">
        <v>45.709281920999999</v>
      </c>
      <c r="K1471">
        <v>2400</v>
      </c>
      <c r="L1471">
        <v>0</v>
      </c>
      <c r="M1471">
        <v>0</v>
      </c>
      <c r="N1471">
        <v>2400</v>
      </c>
    </row>
    <row r="1472" spans="1:14" x14ac:dyDescent="0.25">
      <c r="A1472">
        <v>1159.9902970000001</v>
      </c>
      <c r="B1472" s="1">
        <f>DATE(2013,7,3) + TIME(23,46,1)</f>
        <v>41458.990289351852</v>
      </c>
      <c r="C1472">
        <v>1805.8409423999999</v>
      </c>
      <c r="D1472">
        <v>1678.2979736</v>
      </c>
      <c r="E1472">
        <v>888.20379638999998</v>
      </c>
      <c r="F1472">
        <v>692.40795897999999</v>
      </c>
      <c r="G1472">
        <v>80</v>
      </c>
      <c r="H1472">
        <v>79.950256347999996</v>
      </c>
      <c r="I1472">
        <v>50</v>
      </c>
      <c r="J1472">
        <v>45.610336304</v>
      </c>
      <c r="K1472">
        <v>2400</v>
      </c>
      <c r="L1472">
        <v>0</v>
      </c>
      <c r="M1472">
        <v>0</v>
      </c>
      <c r="N1472">
        <v>2400</v>
      </c>
    </row>
    <row r="1473" spans="1:14" x14ac:dyDescent="0.25">
      <c r="A1473">
        <v>1161.5436319999999</v>
      </c>
      <c r="B1473" s="1">
        <f>DATE(2013,7,5) + TIME(13,2,49)</f>
        <v>41460.543622685182</v>
      </c>
      <c r="C1473">
        <v>1805.1561279</v>
      </c>
      <c r="D1473">
        <v>1677.6241454999999</v>
      </c>
      <c r="E1473">
        <v>887.72772216999999</v>
      </c>
      <c r="F1473">
        <v>691.73248291000004</v>
      </c>
      <c r="G1473">
        <v>80</v>
      </c>
      <c r="H1473">
        <v>79.950317382999998</v>
      </c>
      <c r="I1473">
        <v>50</v>
      </c>
      <c r="J1473">
        <v>45.506874084000003</v>
      </c>
      <c r="K1473">
        <v>2400</v>
      </c>
      <c r="L1473">
        <v>0</v>
      </c>
      <c r="M1473">
        <v>0</v>
      </c>
      <c r="N1473">
        <v>2400</v>
      </c>
    </row>
    <row r="1474" spans="1:14" x14ac:dyDescent="0.25">
      <c r="A1474">
        <v>1163.1112579999999</v>
      </c>
      <c r="B1474" s="1">
        <f>DATE(2013,7,7) + TIME(2,40,12)</f>
        <v>41462.111250000002</v>
      </c>
      <c r="C1474">
        <v>1804.4678954999999</v>
      </c>
      <c r="D1474">
        <v>1676.9467772999999</v>
      </c>
      <c r="E1474">
        <v>887.23229979999996</v>
      </c>
      <c r="F1474">
        <v>691.02502441000001</v>
      </c>
      <c r="G1474">
        <v>80</v>
      </c>
      <c r="H1474">
        <v>79.950378418</v>
      </c>
      <c r="I1474">
        <v>50</v>
      </c>
      <c r="J1474">
        <v>45.400218963999997</v>
      </c>
      <c r="K1474">
        <v>2400</v>
      </c>
      <c r="L1474">
        <v>0</v>
      </c>
      <c r="M1474">
        <v>0</v>
      </c>
      <c r="N1474">
        <v>2400</v>
      </c>
    </row>
    <row r="1475" spans="1:14" x14ac:dyDescent="0.25">
      <c r="A1475">
        <v>1164.691444</v>
      </c>
      <c r="B1475" s="1">
        <f>DATE(2013,7,8) + TIME(16,35,40)</f>
        <v>41463.691435185188</v>
      </c>
      <c r="C1475">
        <v>1803.7840576000001</v>
      </c>
      <c r="D1475">
        <v>1676.2739257999999</v>
      </c>
      <c r="E1475">
        <v>886.72296143000005</v>
      </c>
      <c r="F1475">
        <v>690.29205321999996</v>
      </c>
      <c r="G1475">
        <v>80</v>
      </c>
      <c r="H1475">
        <v>79.950447083</v>
      </c>
      <c r="I1475">
        <v>50</v>
      </c>
      <c r="J1475">
        <v>45.291217803999999</v>
      </c>
      <c r="K1475">
        <v>2400</v>
      </c>
      <c r="L1475">
        <v>0</v>
      </c>
      <c r="M1475">
        <v>0</v>
      </c>
      <c r="N1475">
        <v>2400</v>
      </c>
    </row>
    <row r="1476" spans="1:14" x14ac:dyDescent="0.25">
      <c r="A1476">
        <v>1166.289299</v>
      </c>
      <c r="B1476" s="1">
        <f>DATE(2013,7,10) + TIME(6,56,35)</f>
        <v>41465.289293981485</v>
      </c>
      <c r="C1476">
        <v>1803.1055908000001</v>
      </c>
      <c r="D1476">
        <v>1675.6062012</v>
      </c>
      <c r="E1476">
        <v>886.20007324000005</v>
      </c>
      <c r="F1476">
        <v>689.53405762</v>
      </c>
      <c r="G1476">
        <v>80</v>
      </c>
      <c r="H1476">
        <v>79.950508118000002</v>
      </c>
      <c r="I1476">
        <v>50</v>
      </c>
      <c r="J1476">
        <v>45.180061340000002</v>
      </c>
      <c r="K1476">
        <v>2400</v>
      </c>
      <c r="L1476">
        <v>0</v>
      </c>
      <c r="M1476">
        <v>0</v>
      </c>
      <c r="N1476">
        <v>2400</v>
      </c>
    </row>
    <row r="1477" spans="1:14" x14ac:dyDescent="0.25">
      <c r="A1477">
        <v>1167.901492</v>
      </c>
      <c r="B1477" s="1">
        <f>DATE(2013,7,11) + TIME(21,38,8)</f>
        <v>41466.90148148148</v>
      </c>
      <c r="C1477">
        <v>1802.4302978999999</v>
      </c>
      <c r="D1477">
        <v>1674.9416504000001</v>
      </c>
      <c r="E1477">
        <v>885.66137694999998</v>
      </c>
      <c r="F1477">
        <v>688.74884033000001</v>
      </c>
      <c r="G1477">
        <v>80</v>
      </c>
      <c r="H1477">
        <v>79.950576781999999</v>
      </c>
      <c r="I1477">
        <v>50</v>
      </c>
      <c r="J1477">
        <v>45.066768646</v>
      </c>
      <c r="K1477">
        <v>2400</v>
      </c>
      <c r="L1477">
        <v>0</v>
      </c>
      <c r="M1477">
        <v>0</v>
      </c>
      <c r="N1477">
        <v>2400</v>
      </c>
    </row>
    <row r="1478" spans="1:14" x14ac:dyDescent="0.25">
      <c r="A1478">
        <v>1169.5354620000001</v>
      </c>
      <c r="B1478" s="1">
        <f>DATE(2013,7,13) + TIME(12,51,3)</f>
        <v>41468.535451388889</v>
      </c>
      <c r="C1478">
        <v>1801.7592772999999</v>
      </c>
      <c r="D1478">
        <v>1674.28125</v>
      </c>
      <c r="E1478">
        <v>885.10797118999994</v>
      </c>
      <c r="F1478">
        <v>687.93670654000005</v>
      </c>
      <c r="G1478">
        <v>80</v>
      </c>
      <c r="H1478">
        <v>79.950637817</v>
      </c>
      <c r="I1478">
        <v>50</v>
      </c>
      <c r="J1478">
        <v>44.951194762999997</v>
      </c>
      <c r="K1478">
        <v>2400</v>
      </c>
      <c r="L1478">
        <v>0</v>
      </c>
      <c r="M1478">
        <v>0</v>
      </c>
      <c r="N1478">
        <v>2400</v>
      </c>
    </row>
    <row r="1479" spans="1:14" x14ac:dyDescent="0.25">
      <c r="A1479">
        <v>1171.197488</v>
      </c>
      <c r="B1479" s="1">
        <f>DATE(2013,7,15) + TIME(4,44,22)</f>
        <v>41470.197476851848</v>
      </c>
      <c r="C1479">
        <v>1801.0894774999999</v>
      </c>
      <c r="D1479">
        <v>1673.6220702999999</v>
      </c>
      <c r="E1479">
        <v>884.53698729999996</v>
      </c>
      <c r="F1479">
        <v>687.09368896000001</v>
      </c>
      <c r="G1479">
        <v>80</v>
      </c>
      <c r="H1479">
        <v>79.950706482000001</v>
      </c>
      <c r="I1479">
        <v>50</v>
      </c>
      <c r="J1479">
        <v>44.832950592000003</v>
      </c>
      <c r="K1479">
        <v>2400</v>
      </c>
      <c r="L1479">
        <v>0</v>
      </c>
      <c r="M1479">
        <v>0</v>
      </c>
      <c r="N1479">
        <v>2400</v>
      </c>
    </row>
    <row r="1480" spans="1:14" x14ac:dyDescent="0.25">
      <c r="A1480">
        <v>1172.8950809999999</v>
      </c>
      <c r="B1480" s="1">
        <f>DATE(2013,7,16) + TIME(21,28,54)</f>
        <v>41471.895069444443</v>
      </c>
      <c r="C1480">
        <v>1800.4183350000001</v>
      </c>
      <c r="D1480">
        <v>1672.9614257999999</v>
      </c>
      <c r="E1480">
        <v>883.94586182</v>
      </c>
      <c r="F1480">
        <v>686.21563720999995</v>
      </c>
      <c r="G1480">
        <v>80</v>
      </c>
      <c r="H1480">
        <v>79.950775145999998</v>
      </c>
      <c r="I1480">
        <v>50</v>
      </c>
      <c r="J1480">
        <v>44.711532593000001</v>
      </c>
      <c r="K1480">
        <v>2400</v>
      </c>
      <c r="L1480">
        <v>0</v>
      </c>
      <c r="M1480">
        <v>0</v>
      </c>
      <c r="N1480">
        <v>2400</v>
      </c>
    </row>
    <row r="1481" spans="1:14" x14ac:dyDescent="0.25">
      <c r="A1481">
        <v>1174.629148</v>
      </c>
      <c r="B1481" s="1">
        <f>DATE(2013,7,18) + TIME(15,5,58)</f>
        <v>41473.629143518519</v>
      </c>
      <c r="C1481">
        <v>1799.7430420000001</v>
      </c>
      <c r="D1481">
        <v>1672.296875</v>
      </c>
      <c r="E1481">
        <v>883.33142090000001</v>
      </c>
      <c r="F1481">
        <v>685.29803466999999</v>
      </c>
      <c r="G1481">
        <v>80</v>
      </c>
      <c r="H1481">
        <v>79.950843810999999</v>
      </c>
      <c r="I1481">
        <v>50</v>
      </c>
      <c r="J1481">
        <v>44.586532593000001</v>
      </c>
      <c r="K1481">
        <v>2400</v>
      </c>
      <c r="L1481">
        <v>0</v>
      </c>
      <c r="M1481">
        <v>0</v>
      </c>
      <c r="N1481">
        <v>2400</v>
      </c>
    </row>
    <row r="1482" spans="1:14" x14ac:dyDescent="0.25">
      <c r="A1482">
        <v>1176.3651339999999</v>
      </c>
      <c r="B1482" s="1">
        <f>DATE(2013,7,20) + TIME(8,45,47)</f>
        <v>41475.365127314813</v>
      </c>
      <c r="C1482">
        <v>1799.0640868999999</v>
      </c>
      <c r="D1482">
        <v>1671.6285399999999</v>
      </c>
      <c r="E1482">
        <v>882.69238281000003</v>
      </c>
      <c r="F1482">
        <v>684.34094238</v>
      </c>
      <c r="G1482">
        <v>80</v>
      </c>
      <c r="H1482">
        <v>79.950912475999999</v>
      </c>
      <c r="I1482">
        <v>50</v>
      </c>
      <c r="J1482">
        <v>44.458583832000002</v>
      </c>
      <c r="K1482">
        <v>2400</v>
      </c>
      <c r="L1482">
        <v>0</v>
      </c>
      <c r="M1482">
        <v>0</v>
      </c>
      <c r="N1482">
        <v>2400</v>
      </c>
    </row>
    <row r="1483" spans="1:14" x14ac:dyDescent="0.25">
      <c r="A1483">
        <v>1178.1099850000001</v>
      </c>
      <c r="B1483" s="1">
        <f>DATE(2013,7,22) + TIME(2,38,22)</f>
        <v>41477.109976851854</v>
      </c>
      <c r="C1483">
        <v>1798.3935547000001</v>
      </c>
      <c r="D1483">
        <v>1670.9683838000001</v>
      </c>
      <c r="E1483">
        <v>882.04193114999998</v>
      </c>
      <c r="F1483">
        <v>683.35876465000001</v>
      </c>
      <c r="G1483">
        <v>80</v>
      </c>
      <c r="H1483">
        <v>79.950981139999996</v>
      </c>
      <c r="I1483">
        <v>50</v>
      </c>
      <c r="J1483">
        <v>44.328552246000001</v>
      </c>
      <c r="K1483">
        <v>2400</v>
      </c>
      <c r="L1483">
        <v>0</v>
      </c>
      <c r="M1483">
        <v>0</v>
      </c>
      <c r="N1483">
        <v>2400</v>
      </c>
    </row>
    <row r="1484" spans="1:14" x14ac:dyDescent="0.25">
      <c r="A1484">
        <v>1179.8709140000001</v>
      </c>
      <c r="B1484" s="1">
        <f>DATE(2013,7,23) + TIME(20,54,6)</f>
        <v>41478.87090277778</v>
      </c>
      <c r="C1484">
        <v>1797.729126</v>
      </c>
      <c r="D1484">
        <v>1670.3143310999999</v>
      </c>
      <c r="E1484">
        <v>881.37744140999996</v>
      </c>
      <c r="F1484">
        <v>682.34887694999998</v>
      </c>
      <c r="G1484">
        <v>80</v>
      </c>
      <c r="H1484">
        <v>79.951049804999997</v>
      </c>
      <c r="I1484">
        <v>50</v>
      </c>
      <c r="J1484">
        <v>44.196384430000002</v>
      </c>
      <c r="K1484">
        <v>2400</v>
      </c>
      <c r="L1484">
        <v>0</v>
      </c>
      <c r="M1484">
        <v>0</v>
      </c>
      <c r="N1484">
        <v>2400</v>
      </c>
    </row>
    <row r="1485" spans="1:14" x14ac:dyDescent="0.25">
      <c r="A1485">
        <v>1181.6560589999999</v>
      </c>
      <c r="B1485" s="1">
        <f>DATE(2013,7,25) + TIME(15,44,43)</f>
        <v>41480.656053240738</v>
      </c>
      <c r="C1485">
        <v>1797.0678711</v>
      </c>
      <c r="D1485">
        <v>1669.6633300999999</v>
      </c>
      <c r="E1485">
        <v>880.69641113</v>
      </c>
      <c r="F1485">
        <v>681.30737305000002</v>
      </c>
      <c r="G1485">
        <v>80</v>
      </c>
      <c r="H1485">
        <v>79.951118468999994</v>
      </c>
      <c r="I1485">
        <v>50</v>
      </c>
      <c r="J1485">
        <v>44.061672211000001</v>
      </c>
      <c r="K1485">
        <v>2400</v>
      </c>
      <c r="L1485">
        <v>0</v>
      </c>
      <c r="M1485">
        <v>0</v>
      </c>
      <c r="N1485">
        <v>2400</v>
      </c>
    </row>
    <row r="1486" spans="1:14" x14ac:dyDescent="0.25">
      <c r="A1486">
        <v>1183.4720219999999</v>
      </c>
      <c r="B1486" s="1">
        <f>DATE(2013,7,27) + TIME(11,19,42)</f>
        <v>41482.472013888888</v>
      </c>
      <c r="C1486">
        <v>1796.4068603999999</v>
      </c>
      <c r="D1486">
        <v>1669.0124512</v>
      </c>
      <c r="E1486">
        <v>879.99554443</v>
      </c>
      <c r="F1486">
        <v>680.22949218999997</v>
      </c>
      <c r="G1486">
        <v>80</v>
      </c>
      <c r="H1486">
        <v>79.951187133999994</v>
      </c>
      <c r="I1486">
        <v>50</v>
      </c>
      <c r="J1486">
        <v>43.923892975000001</v>
      </c>
      <c r="K1486">
        <v>2400</v>
      </c>
      <c r="L1486">
        <v>0</v>
      </c>
      <c r="M1486">
        <v>0</v>
      </c>
      <c r="N1486">
        <v>2400</v>
      </c>
    </row>
    <row r="1487" spans="1:14" x14ac:dyDescent="0.25">
      <c r="A1487">
        <v>1185.326845</v>
      </c>
      <c r="B1487" s="1">
        <f>DATE(2013,7,29) + TIME(7,50,39)</f>
        <v>41484.326840277776</v>
      </c>
      <c r="C1487">
        <v>1795.7435303</v>
      </c>
      <c r="D1487">
        <v>1668.3592529</v>
      </c>
      <c r="E1487">
        <v>879.27221680000002</v>
      </c>
      <c r="F1487">
        <v>679.11059569999998</v>
      </c>
      <c r="G1487">
        <v>80</v>
      </c>
      <c r="H1487">
        <v>79.951255798000005</v>
      </c>
      <c r="I1487">
        <v>50</v>
      </c>
      <c r="J1487">
        <v>43.782482147000003</v>
      </c>
      <c r="K1487">
        <v>2400</v>
      </c>
      <c r="L1487">
        <v>0</v>
      </c>
      <c r="M1487">
        <v>0</v>
      </c>
      <c r="N1487">
        <v>2400</v>
      </c>
    </row>
    <row r="1488" spans="1:14" x14ac:dyDescent="0.25">
      <c r="A1488">
        <v>1187.2162920000001</v>
      </c>
      <c r="B1488" s="1">
        <f>DATE(2013,7,31) + TIME(5,11,27)</f>
        <v>41486.216284722221</v>
      </c>
      <c r="C1488">
        <v>1795.0754394999999</v>
      </c>
      <c r="D1488">
        <v>1667.7012939000001</v>
      </c>
      <c r="E1488">
        <v>878.52294921999999</v>
      </c>
      <c r="F1488">
        <v>677.94604491999996</v>
      </c>
      <c r="G1488">
        <v>80</v>
      </c>
      <c r="H1488">
        <v>79.951332092000001</v>
      </c>
      <c r="I1488">
        <v>50</v>
      </c>
      <c r="J1488">
        <v>43.637119292999998</v>
      </c>
      <c r="K1488">
        <v>2400</v>
      </c>
      <c r="L1488">
        <v>0</v>
      </c>
      <c r="M1488">
        <v>0</v>
      </c>
      <c r="N1488">
        <v>2400</v>
      </c>
    </row>
    <row r="1489" spans="1:14" x14ac:dyDescent="0.25">
      <c r="A1489">
        <v>1188</v>
      </c>
      <c r="B1489" s="1">
        <f>DATE(2013,8,1) + TIME(0,0,0)</f>
        <v>41487</v>
      </c>
      <c r="C1489">
        <v>1794.4412841999999</v>
      </c>
      <c r="D1489">
        <v>1667.0771483999999</v>
      </c>
      <c r="E1489">
        <v>877.73815918000003</v>
      </c>
      <c r="F1489">
        <v>676.87341308999999</v>
      </c>
      <c r="G1489">
        <v>80</v>
      </c>
      <c r="H1489">
        <v>79.951332092000001</v>
      </c>
      <c r="I1489">
        <v>50</v>
      </c>
      <c r="J1489">
        <v>43.534999847000002</v>
      </c>
      <c r="K1489">
        <v>2400</v>
      </c>
      <c r="L1489">
        <v>0</v>
      </c>
      <c r="M1489">
        <v>0</v>
      </c>
      <c r="N1489">
        <v>2400</v>
      </c>
    </row>
    <row r="1490" spans="1:14" x14ac:dyDescent="0.25">
      <c r="A1490">
        <v>1189.892638</v>
      </c>
      <c r="B1490" s="1">
        <f>DATE(2013,8,2) + TIME(21,25,23)</f>
        <v>41488.892627314817</v>
      </c>
      <c r="C1490">
        <v>1794.1129149999999</v>
      </c>
      <c r="D1490">
        <v>1666.7531738</v>
      </c>
      <c r="E1490">
        <v>877.42340088000003</v>
      </c>
      <c r="F1490">
        <v>676.18548583999996</v>
      </c>
      <c r="G1490">
        <v>80</v>
      </c>
      <c r="H1490">
        <v>79.951438904</v>
      </c>
      <c r="I1490">
        <v>50</v>
      </c>
      <c r="J1490">
        <v>43.413131714000002</v>
      </c>
      <c r="K1490">
        <v>2400</v>
      </c>
      <c r="L1490">
        <v>0</v>
      </c>
      <c r="M1490">
        <v>0</v>
      </c>
      <c r="N1490">
        <v>2400</v>
      </c>
    </row>
    <row r="1491" spans="1:14" x14ac:dyDescent="0.25">
      <c r="A1491">
        <v>1191.803265</v>
      </c>
      <c r="B1491" s="1">
        <f>DATE(2013,8,4) + TIME(19,16,42)</f>
        <v>41490.803263888891</v>
      </c>
      <c r="C1491">
        <v>1793.4661865</v>
      </c>
      <c r="D1491">
        <v>1666.1162108999999</v>
      </c>
      <c r="E1491">
        <v>876.63635253999996</v>
      </c>
      <c r="F1491">
        <v>674.97283935999997</v>
      </c>
      <c r="G1491">
        <v>80</v>
      </c>
      <c r="H1491">
        <v>79.951507567999997</v>
      </c>
      <c r="I1491">
        <v>50</v>
      </c>
      <c r="J1491">
        <v>43.27047348</v>
      </c>
      <c r="K1491">
        <v>2400</v>
      </c>
      <c r="L1491">
        <v>0</v>
      </c>
      <c r="M1491">
        <v>0</v>
      </c>
      <c r="N1491">
        <v>2400</v>
      </c>
    </row>
    <row r="1492" spans="1:14" x14ac:dyDescent="0.25">
      <c r="A1492">
        <v>1193.7354459999999</v>
      </c>
      <c r="B1492" s="1">
        <f>DATE(2013,8,6) + TIME(17,39,2)</f>
        <v>41492.735439814816</v>
      </c>
      <c r="C1492">
        <v>1792.8094481999999</v>
      </c>
      <c r="D1492">
        <v>1665.4692382999999</v>
      </c>
      <c r="E1492">
        <v>875.83123779000005</v>
      </c>
      <c r="F1492">
        <v>673.70574951000003</v>
      </c>
      <c r="G1492">
        <v>80</v>
      </c>
      <c r="H1492">
        <v>79.951576232999997</v>
      </c>
      <c r="I1492">
        <v>50</v>
      </c>
      <c r="J1492">
        <v>43.119304657000001</v>
      </c>
      <c r="K1492">
        <v>2400</v>
      </c>
      <c r="L1492">
        <v>0</v>
      </c>
      <c r="M1492">
        <v>0</v>
      </c>
      <c r="N1492">
        <v>2400</v>
      </c>
    </row>
    <row r="1493" spans="1:14" x14ac:dyDescent="0.25">
      <c r="A1493">
        <v>1195.697512</v>
      </c>
      <c r="B1493" s="1">
        <f>DATE(2013,8,8) + TIME(16,44,25)</f>
        <v>41494.697511574072</v>
      </c>
      <c r="C1493">
        <v>1792.1522216999999</v>
      </c>
      <c r="D1493">
        <v>1664.8217772999999</v>
      </c>
      <c r="E1493">
        <v>875.00860595999995</v>
      </c>
      <c r="F1493">
        <v>672.39709473000005</v>
      </c>
      <c r="G1493">
        <v>80</v>
      </c>
      <c r="H1493">
        <v>79.951652526999993</v>
      </c>
      <c r="I1493">
        <v>50</v>
      </c>
      <c r="J1493">
        <v>42.963294982999997</v>
      </c>
      <c r="K1493">
        <v>2400</v>
      </c>
      <c r="L1493">
        <v>0</v>
      </c>
      <c r="M1493">
        <v>0</v>
      </c>
      <c r="N1493">
        <v>2400</v>
      </c>
    </row>
    <row r="1494" spans="1:14" x14ac:dyDescent="0.25">
      <c r="A1494">
        <v>1197.690464</v>
      </c>
      <c r="B1494" s="1">
        <f>DATE(2013,8,10) + TIME(16,34,16)</f>
        <v>41496.690462962964</v>
      </c>
      <c r="C1494">
        <v>1791.4930420000001</v>
      </c>
      <c r="D1494">
        <v>1664.1722411999999</v>
      </c>
      <c r="E1494">
        <v>874.16540526999995</v>
      </c>
      <c r="F1494">
        <v>671.04675293000003</v>
      </c>
      <c r="G1494">
        <v>80</v>
      </c>
      <c r="H1494">
        <v>79.951721191000004</v>
      </c>
      <c r="I1494">
        <v>50</v>
      </c>
      <c r="J1494">
        <v>42.803390503000003</v>
      </c>
      <c r="K1494">
        <v>2400</v>
      </c>
      <c r="L1494">
        <v>0</v>
      </c>
      <c r="M1494">
        <v>0</v>
      </c>
      <c r="N1494">
        <v>2400</v>
      </c>
    </row>
    <row r="1495" spans="1:14" x14ac:dyDescent="0.25">
      <c r="A1495">
        <v>1199.7100029999999</v>
      </c>
      <c r="B1495" s="1">
        <f>DATE(2013,8,12) + TIME(17,2,24)</f>
        <v>41498.71</v>
      </c>
      <c r="C1495">
        <v>1790.8316649999999</v>
      </c>
      <c r="D1495">
        <v>1663.5205077999999</v>
      </c>
      <c r="E1495">
        <v>873.30181885000002</v>
      </c>
      <c r="F1495">
        <v>669.65600586000005</v>
      </c>
      <c r="G1495">
        <v>80</v>
      </c>
      <c r="H1495">
        <v>79.951797485</v>
      </c>
      <c r="I1495">
        <v>50</v>
      </c>
      <c r="J1495">
        <v>42.640007019000002</v>
      </c>
      <c r="K1495">
        <v>2400</v>
      </c>
      <c r="L1495">
        <v>0</v>
      </c>
      <c r="M1495">
        <v>0</v>
      </c>
      <c r="N1495">
        <v>2400</v>
      </c>
    </row>
    <row r="1496" spans="1:14" x14ac:dyDescent="0.25">
      <c r="A1496">
        <v>1201.7653110000001</v>
      </c>
      <c r="B1496" s="1">
        <f>DATE(2013,8,14) + TIME(18,22,2)</f>
        <v>41500.765300925923</v>
      </c>
      <c r="C1496">
        <v>1790.1694336</v>
      </c>
      <c r="D1496">
        <v>1662.8677978999999</v>
      </c>
      <c r="E1496">
        <v>872.42041015999996</v>
      </c>
      <c r="F1496">
        <v>668.22741699000005</v>
      </c>
      <c r="G1496">
        <v>80</v>
      </c>
      <c r="H1496">
        <v>79.951873778999996</v>
      </c>
      <c r="I1496">
        <v>50</v>
      </c>
      <c r="J1496">
        <v>42.473239898999999</v>
      </c>
      <c r="K1496">
        <v>2400</v>
      </c>
      <c r="L1496">
        <v>0</v>
      </c>
      <c r="M1496">
        <v>0</v>
      </c>
      <c r="N1496">
        <v>2400</v>
      </c>
    </row>
    <row r="1497" spans="1:14" x14ac:dyDescent="0.25">
      <c r="A1497">
        <v>1203.8302759999999</v>
      </c>
      <c r="B1497" s="1">
        <f>DATE(2013,8,16) + TIME(19,55,35)</f>
        <v>41502.830266203702</v>
      </c>
      <c r="C1497">
        <v>1789.5037841999999</v>
      </c>
      <c r="D1497">
        <v>1662.2116699000001</v>
      </c>
      <c r="E1497">
        <v>871.51776123000002</v>
      </c>
      <c r="F1497">
        <v>666.75903319999998</v>
      </c>
      <c r="G1497">
        <v>80</v>
      </c>
      <c r="H1497">
        <v>79.951950073000006</v>
      </c>
      <c r="I1497">
        <v>50</v>
      </c>
      <c r="J1497">
        <v>42.303535461000003</v>
      </c>
      <c r="K1497">
        <v>2400</v>
      </c>
      <c r="L1497">
        <v>0</v>
      </c>
      <c r="M1497">
        <v>0</v>
      </c>
      <c r="N1497">
        <v>2400</v>
      </c>
    </row>
    <row r="1498" spans="1:14" x14ac:dyDescent="0.25">
      <c r="A1498">
        <v>1205.9112500000001</v>
      </c>
      <c r="B1498" s="1">
        <f>DATE(2013,8,18) + TIME(21,52,11)</f>
        <v>41504.911238425928</v>
      </c>
      <c r="C1498">
        <v>1788.8424072</v>
      </c>
      <c r="D1498">
        <v>1661.5595702999999</v>
      </c>
      <c r="E1498">
        <v>870.60644531000003</v>
      </c>
      <c r="F1498">
        <v>665.26629638999998</v>
      </c>
      <c r="G1498">
        <v>80</v>
      </c>
      <c r="H1498">
        <v>79.952026367000002</v>
      </c>
      <c r="I1498">
        <v>50</v>
      </c>
      <c r="J1498">
        <v>42.131805419999999</v>
      </c>
      <c r="K1498">
        <v>2400</v>
      </c>
      <c r="L1498">
        <v>0</v>
      </c>
      <c r="M1498">
        <v>0</v>
      </c>
      <c r="N1498">
        <v>2400</v>
      </c>
    </row>
    <row r="1499" spans="1:14" x14ac:dyDescent="0.25">
      <c r="A1499">
        <v>1208.0165669999999</v>
      </c>
      <c r="B1499" s="1">
        <f>DATE(2013,8,21) + TIME(0,23,51)</f>
        <v>41507.016562500001</v>
      </c>
      <c r="C1499">
        <v>1788.1833495999999</v>
      </c>
      <c r="D1499">
        <v>1660.9097899999999</v>
      </c>
      <c r="E1499">
        <v>869.68505859000004</v>
      </c>
      <c r="F1499">
        <v>663.74768066000001</v>
      </c>
      <c r="G1499">
        <v>80</v>
      </c>
      <c r="H1499">
        <v>79.952102660999998</v>
      </c>
      <c r="I1499">
        <v>50</v>
      </c>
      <c r="J1499">
        <v>41.958015441999997</v>
      </c>
      <c r="K1499">
        <v>2400</v>
      </c>
      <c r="L1499">
        <v>0</v>
      </c>
      <c r="M1499">
        <v>0</v>
      </c>
      <c r="N1499">
        <v>2400</v>
      </c>
    </row>
    <row r="1500" spans="1:14" x14ac:dyDescent="0.25">
      <c r="A1500">
        <v>1210.1429869999999</v>
      </c>
      <c r="B1500" s="1">
        <f>DATE(2013,8,23) + TIME(3,25,54)</f>
        <v>41509.14298611111</v>
      </c>
      <c r="C1500">
        <v>1787.5241699000001</v>
      </c>
      <c r="D1500">
        <v>1660.2597656</v>
      </c>
      <c r="E1500">
        <v>868.75103760000002</v>
      </c>
      <c r="F1500">
        <v>662.20050048999997</v>
      </c>
      <c r="G1500">
        <v>80</v>
      </c>
      <c r="H1500">
        <v>79.952178954999994</v>
      </c>
      <c r="I1500">
        <v>50</v>
      </c>
      <c r="J1500">
        <v>41.782070160000004</v>
      </c>
      <c r="K1500">
        <v>2400</v>
      </c>
      <c r="L1500">
        <v>0</v>
      </c>
      <c r="M1500">
        <v>0</v>
      </c>
      <c r="N1500">
        <v>2400</v>
      </c>
    </row>
    <row r="1501" spans="1:14" x14ac:dyDescent="0.25">
      <c r="A1501">
        <v>1212.2920180000001</v>
      </c>
      <c r="B1501" s="1">
        <f>DATE(2013,8,25) + TIME(7,0,30)</f>
        <v>41511.292013888888</v>
      </c>
      <c r="C1501">
        <v>1786.8654785000001</v>
      </c>
      <c r="D1501">
        <v>1659.6102295000001</v>
      </c>
      <c r="E1501">
        <v>867.80737305000002</v>
      </c>
      <c r="F1501">
        <v>660.62829590000001</v>
      </c>
      <c r="G1501">
        <v>80</v>
      </c>
      <c r="H1501">
        <v>79.952255249000004</v>
      </c>
      <c r="I1501">
        <v>50</v>
      </c>
      <c r="J1501">
        <v>41.604129790999998</v>
      </c>
      <c r="K1501">
        <v>2400</v>
      </c>
      <c r="L1501">
        <v>0</v>
      </c>
      <c r="M1501">
        <v>0</v>
      </c>
      <c r="N1501">
        <v>2400</v>
      </c>
    </row>
    <row r="1502" spans="1:14" x14ac:dyDescent="0.25">
      <c r="A1502">
        <v>1214.4715120000001</v>
      </c>
      <c r="B1502" s="1">
        <f>DATE(2013,8,27) + TIME(11,18,58)</f>
        <v>41513.471504629626</v>
      </c>
      <c r="C1502">
        <v>1786.2069091999999</v>
      </c>
      <c r="D1502">
        <v>1658.9604492000001</v>
      </c>
      <c r="E1502">
        <v>866.85498046999999</v>
      </c>
      <c r="F1502">
        <v>659.03186034999999</v>
      </c>
      <c r="G1502">
        <v>80</v>
      </c>
      <c r="H1502">
        <v>79.952331543</v>
      </c>
      <c r="I1502">
        <v>50</v>
      </c>
      <c r="J1502">
        <v>41.424125670999999</v>
      </c>
      <c r="K1502">
        <v>2400</v>
      </c>
      <c r="L1502">
        <v>0</v>
      </c>
      <c r="M1502">
        <v>0</v>
      </c>
      <c r="N1502">
        <v>2400</v>
      </c>
    </row>
    <row r="1503" spans="1:14" x14ac:dyDescent="0.25">
      <c r="A1503">
        <v>1216.6912</v>
      </c>
      <c r="B1503" s="1">
        <f>DATE(2013,8,29) + TIME(16,35,19)</f>
        <v>41515.691192129627</v>
      </c>
      <c r="C1503">
        <v>1785.5458983999999</v>
      </c>
      <c r="D1503">
        <v>1658.3083495999999</v>
      </c>
      <c r="E1503">
        <v>865.89227295000001</v>
      </c>
      <c r="F1503">
        <v>657.40850829999999</v>
      </c>
      <c r="G1503">
        <v>80</v>
      </c>
      <c r="H1503">
        <v>79.952407836999996</v>
      </c>
      <c r="I1503">
        <v>50</v>
      </c>
      <c r="J1503">
        <v>41.241706848</v>
      </c>
      <c r="K1503">
        <v>2400</v>
      </c>
      <c r="L1503">
        <v>0</v>
      </c>
      <c r="M1503">
        <v>0</v>
      </c>
      <c r="N1503">
        <v>2400</v>
      </c>
    </row>
    <row r="1504" spans="1:14" x14ac:dyDescent="0.25">
      <c r="A1504">
        <v>1217.8456000000001</v>
      </c>
      <c r="B1504" s="1">
        <f>DATE(2013,8,30) + TIME(20,17,39)</f>
        <v>41516.845590277779</v>
      </c>
      <c r="C1504">
        <v>1784.9051514</v>
      </c>
      <c r="D1504">
        <v>1657.6765137</v>
      </c>
      <c r="E1504">
        <v>864.91235352000001</v>
      </c>
      <c r="F1504">
        <v>655.89416503999996</v>
      </c>
      <c r="G1504">
        <v>80</v>
      </c>
      <c r="H1504">
        <v>79.952430724999999</v>
      </c>
      <c r="I1504">
        <v>50</v>
      </c>
      <c r="J1504">
        <v>41.096359253000003</v>
      </c>
      <c r="K1504">
        <v>2400</v>
      </c>
      <c r="L1504">
        <v>0</v>
      </c>
      <c r="M1504">
        <v>0</v>
      </c>
      <c r="N1504">
        <v>2400</v>
      </c>
    </row>
    <row r="1505" spans="1:14" x14ac:dyDescent="0.25">
      <c r="A1505">
        <v>1219</v>
      </c>
      <c r="B1505" s="1">
        <f>DATE(2013,9,1) + TIME(0,0,0)</f>
        <v>41518</v>
      </c>
      <c r="C1505">
        <v>1784.5372314000001</v>
      </c>
      <c r="D1505">
        <v>1657.3131103999999</v>
      </c>
      <c r="E1505">
        <v>864.40496826000003</v>
      </c>
      <c r="F1505">
        <v>654.95129395000004</v>
      </c>
      <c r="G1505">
        <v>80</v>
      </c>
      <c r="H1505">
        <v>79.952484131000006</v>
      </c>
      <c r="I1505">
        <v>50</v>
      </c>
      <c r="J1505">
        <v>40.978801726999997</v>
      </c>
      <c r="K1505">
        <v>2400</v>
      </c>
      <c r="L1505">
        <v>0</v>
      </c>
      <c r="M1505">
        <v>0</v>
      </c>
      <c r="N1505">
        <v>2400</v>
      </c>
    </row>
    <row r="1506" spans="1:14" x14ac:dyDescent="0.25">
      <c r="A1506">
        <v>1221.2658469999999</v>
      </c>
      <c r="B1506" s="1">
        <f>DATE(2013,9,3) + TIME(6,22,49)</f>
        <v>41520.265844907408</v>
      </c>
      <c r="C1506">
        <v>1784.1778564000001</v>
      </c>
      <c r="D1506">
        <v>1656.958374</v>
      </c>
      <c r="E1506">
        <v>863.90893555000002</v>
      </c>
      <c r="F1506">
        <v>653.95989989999998</v>
      </c>
      <c r="G1506">
        <v>80</v>
      </c>
      <c r="H1506">
        <v>79.952575683999996</v>
      </c>
      <c r="I1506">
        <v>50</v>
      </c>
      <c r="J1506">
        <v>40.844642639</v>
      </c>
      <c r="K1506">
        <v>2400</v>
      </c>
      <c r="L1506">
        <v>0</v>
      </c>
      <c r="M1506">
        <v>0</v>
      </c>
      <c r="N1506">
        <v>2400</v>
      </c>
    </row>
    <row r="1507" spans="1:14" x14ac:dyDescent="0.25">
      <c r="A1507">
        <v>1223.5446240000001</v>
      </c>
      <c r="B1507" s="1">
        <f>DATE(2013,9,5) + TIME(13,4,15)</f>
        <v>41522.544618055559</v>
      </c>
      <c r="C1507">
        <v>1783.526001</v>
      </c>
      <c r="D1507">
        <v>1656.3150635</v>
      </c>
      <c r="E1507">
        <v>862.93450928000004</v>
      </c>
      <c r="F1507">
        <v>652.34301758000004</v>
      </c>
      <c r="G1507">
        <v>80</v>
      </c>
      <c r="H1507">
        <v>79.952651978000006</v>
      </c>
      <c r="I1507">
        <v>50</v>
      </c>
      <c r="J1507">
        <v>40.672725677000003</v>
      </c>
      <c r="K1507">
        <v>2400</v>
      </c>
      <c r="L1507">
        <v>0</v>
      </c>
      <c r="M1507">
        <v>0</v>
      </c>
      <c r="N1507">
        <v>2400</v>
      </c>
    </row>
    <row r="1508" spans="1:14" x14ac:dyDescent="0.25">
      <c r="A1508">
        <v>1225.8417300000001</v>
      </c>
      <c r="B1508" s="1">
        <f>DATE(2013,9,7) + TIME(20,12,5)</f>
        <v>41524.841724537036</v>
      </c>
      <c r="C1508">
        <v>1782.8635254000001</v>
      </c>
      <c r="D1508">
        <v>1655.6610106999999</v>
      </c>
      <c r="E1508">
        <v>861.96319579999999</v>
      </c>
      <c r="F1508">
        <v>650.68188477000001</v>
      </c>
      <c r="G1508">
        <v>80</v>
      </c>
      <c r="H1508">
        <v>79.952728270999998</v>
      </c>
      <c r="I1508">
        <v>50</v>
      </c>
      <c r="J1508">
        <v>40.490222930999998</v>
      </c>
      <c r="K1508">
        <v>2400</v>
      </c>
      <c r="L1508">
        <v>0</v>
      </c>
      <c r="M1508">
        <v>0</v>
      </c>
      <c r="N1508">
        <v>2400</v>
      </c>
    </row>
    <row r="1509" spans="1:14" x14ac:dyDescent="0.25">
      <c r="A1509">
        <v>1228.1651260000001</v>
      </c>
      <c r="B1509" s="1">
        <f>DATE(2013,9,10) + TIME(3,57,46)</f>
        <v>41527.16511574074</v>
      </c>
      <c r="C1509">
        <v>1782.2006836</v>
      </c>
      <c r="D1509">
        <v>1655.0065918</v>
      </c>
      <c r="E1509">
        <v>860.99835204999999</v>
      </c>
      <c r="F1509">
        <v>649.01000977000001</v>
      </c>
      <c r="G1509">
        <v>80</v>
      </c>
      <c r="H1509">
        <v>79.952812195000007</v>
      </c>
      <c r="I1509">
        <v>50</v>
      </c>
      <c r="J1509">
        <v>40.304786682</v>
      </c>
      <c r="K1509">
        <v>2400</v>
      </c>
      <c r="L1509">
        <v>0</v>
      </c>
      <c r="M1509">
        <v>0</v>
      </c>
      <c r="N1509">
        <v>2400</v>
      </c>
    </row>
    <row r="1510" spans="1:14" x14ac:dyDescent="0.25">
      <c r="A1510">
        <v>1230.5231409999999</v>
      </c>
      <c r="B1510" s="1">
        <f>DATE(2013,9,12) + TIME(12,33,19)</f>
        <v>41529.523136574076</v>
      </c>
      <c r="C1510">
        <v>1781.5362548999999</v>
      </c>
      <c r="D1510">
        <v>1654.3504639</v>
      </c>
      <c r="E1510">
        <v>860.04010010000002</v>
      </c>
      <c r="F1510">
        <v>647.33581543000003</v>
      </c>
      <c r="G1510">
        <v>80</v>
      </c>
      <c r="H1510">
        <v>79.952888489000003</v>
      </c>
      <c r="I1510">
        <v>50</v>
      </c>
      <c r="J1510">
        <v>40.118412018000001</v>
      </c>
      <c r="K1510">
        <v>2400</v>
      </c>
      <c r="L1510">
        <v>0</v>
      </c>
      <c r="M1510">
        <v>0</v>
      </c>
      <c r="N1510">
        <v>2400</v>
      </c>
    </row>
    <row r="1511" spans="1:14" x14ac:dyDescent="0.25">
      <c r="A1511">
        <v>1232.9260240000001</v>
      </c>
      <c r="B1511" s="1">
        <f>DATE(2013,9,14) + TIME(22,13,28)</f>
        <v>41531.926018518519</v>
      </c>
      <c r="C1511">
        <v>1780.8677978999999</v>
      </c>
      <c r="D1511">
        <v>1653.6903076000001</v>
      </c>
      <c r="E1511">
        <v>859.08831786999997</v>
      </c>
      <c r="F1511">
        <v>645.66125488</v>
      </c>
      <c r="G1511">
        <v>80</v>
      </c>
      <c r="H1511">
        <v>79.952972411999994</v>
      </c>
      <c r="I1511">
        <v>50</v>
      </c>
      <c r="J1511">
        <v>39.931503296000002</v>
      </c>
      <c r="K1511">
        <v>2400</v>
      </c>
      <c r="L1511">
        <v>0</v>
      </c>
      <c r="M1511">
        <v>0</v>
      </c>
      <c r="N1511">
        <v>2400</v>
      </c>
    </row>
    <row r="1512" spans="1:14" x14ac:dyDescent="0.25">
      <c r="A1512">
        <v>1235.364266</v>
      </c>
      <c r="B1512" s="1">
        <f>DATE(2013,9,17) + TIME(8,44,32)</f>
        <v>41534.364259259259</v>
      </c>
      <c r="C1512">
        <v>1780.1928711</v>
      </c>
      <c r="D1512">
        <v>1653.0236815999999</v>
      </c>
      <c r="E1512">
        <v>858.14257812000005</v>
      </c>
      <c r="F1512">
        <v>643.98809814000003</v>
      </c>
      <c r="G1512">
        <v>80</v>
      </c>
      <c r="H1512">
        <v>79.953056334999999</v>
      </c>
      <c r="I1512">
        <v>50</v>
      </c>
      <c r="J1512">
        <v>39.744422913000001</v>
      </c>
      <c r="K1512">
        <v>2400</v>
      </c>
      <c r="L1512">
        <v>0</v>
      </c>
      <c r="M1512">
        <v>0</v>
      </c>
      <c r="N1512">
        <v>2400</v>
      </c>
    </row>
    <row r="1513" spans="1:14" x14ac:dyDescent="0.25">
      <c r="A1513">
        <v>1237.8129469999999</v>
      </c>
      <c r="B1513" s="1">
        <f>DATE(2013,9,19) + TIME(19,30,38)</f>
        <v>41536.812939814816</v>
      </c>
      <c r="C1513">
        <v>1779.5141602000001</v>
      </c>
      <c r="D1513">
        <v>1652.3530272999999</v>
      </c>
      <c r="E1513">
        <v>857.21099853999999</v>
      </c>
      <c r="F1513">
        <v>642.33038329999999</v>
      </c>
      <c r="G1513">
        <v>80</v>
      </c>
      <c r="H1513">
        <v>79.953132628999995</v>
      </c>
      <c r="I1513">
        <v>50</v>
      </c>
      <c r="J1513">
        <v>39.558498383</v>
      </c>
      <c r="K1513">
        <v>2400</v>
      </c>
      <c r="L1513">
        <v>0</v>
      </c>
      <c r="M1513">
        <v>0</v>
      </c>
      <c r="N1513">
        <v>2400</v>
      </c>
    </row>
    <row r="1514" spans="1:14" x14ac:dyDescent="0.25">
      <c r="A1514">
        <v>1240.274899</v>
      </c>
      <c r="B1514" s="1">
        <f>DATE(2013,9,22) + TIME(6,35,51)</f>
        <v>41539.274895833332</v>
      </c>
      <c r="C1514">
        <v>1778.8377685999999</v>
      </c>
      <c r="D1514">
        <v>1651.6848144999999</v>
      </c>
      <c r="E1514">
        <v>856.30731201000003</v>
      </c>
      <c r="F1514">
        <v>640.70916748000002</v>
      </c>
      <c r="G1514">
        <v>80</v>
      </c>
      <c r="H1514">
        <v>79.953216553000004</v>
      </c>
      <c r="I1514">
        <v>50</v>
      </c>
      <c r="J1514">
        <v>39.375301360999998</v>
      </c>
      <c r="K1514">
        <v>2400</v>
      </c>
      <c r="L1514">
        <v>0</v>
      </c>
      <c r="M1514">
        <v>0</v>
      </c>
      <c r="N1514">
        <v>2400</v>
      </c>
    </row>
    <row r="1515" spans="1:14" x14ac:dyDescent="0.25">
      <c r="A1515">
        <v>1242.758319</v>
      </c>
      <c r="B1515" s="1">
        <f>DATE(2013,9,24) + TIME(18,11,58)</f>
        <v>41541.758310185185</v>
      </c>
      <c r="C1515">
        <v>1778.1634521000001</v>
      </c>
      <c r="D1515">
        <v>1651.0181885</v>
      </c>
      <c r="E1515">
        <v>855.43420409999999</v>
      </c>
      <c r="F1515">
        <v>639.13073729999996</v>
      </c>
      <c r="G1515">
        <v>80</v>
      </c>
      <c r="H1515">
        <v>79.953300475999995</v>
      </c>
      <c r="I1515">
        <v>50</v>
      </c>
      <c r="J1515">
        <v>39.195411682</v>
      </c>
      <c r="K1515">
        <v>2400</v>
      </c>
      <c r="L1515">
        <v>0</v>
      </c>
      <c r="M1515">
        <v>0</v>
      </c>
      <c r="N1515">
        <v>2400</v>
      </c>
    </row>
    <row r="1516" spans="1:14" x14ac:dyDescent="0.25">
      <c r="A1516">
        <v>1245.271659</v>
      </c>
      <c r="B1516" s="1">
        <f>DATE(2013,9,27) + TIME(6,31,11)</f>
        <v>41544.271655092591</v>
      </c>
      <c r="C1516">
        <v>1777.4885254000001</v>
      </c>
      <c r="D1516">
        <v>1650.3511963000001</v>
      </c>
      <c r="E1516">
        <v>854.59265137</v>
      </c>
      <c r="F1516">
        <v>637.59796143000005</v>
      </c>
      <c r="G1516">
        <v>80</v>
      </c>
      <c r="H1516">
        <v>79.953384399000001</v>
      </c>
      <c r="I1516">
        <v>50</v>
      </c>
      <c r="J1516">
        <v>39.018993377999998</v>
      </c>
      <c r="K1516">
        <v>2400</v>
      </c>
      <c r="L1516">
        <v>0</v>
      </c>
      <c r="M1516">
        <v>0</v>
      </c>
      <c r="N1516">
        <v>2400</v>
      </c>
    </row>
    <row r="1517" spans="1:14" x14ac:dyDescent="0.25">
      <c r="A1517">
        <v>1247.823864</v>
      </c>
      <c r="B1517" s="1">
        <f>DATE(2013,9,29) + TIME(19,46,21)</f>
        <v>41546.823854166665</v>
      </c>
      <c r="C1517">
        <v>1776.8111572</v>
      </c>
      <c r="D1517">
        <v>1649.6813964999999</v>
      </c>
      <c r="E1517">
        <v>853.78411864999998</v>
      </c>
      <c r="F1517">
        <v>636.11425781000003</v>
      </c>
      <c r="G1517">
        <v>80</v>
      </c>
      <c r="H1517">
        <v>79.953468322999996</v>
      </c>
      <c r="I1517">
        <v>50</v>
      </c>
      <c r="J1517">
        <v>38.846168517999999</v>
      </c>
      <c r="K1517">
        <v>2400</v>
      </c>
      <c r="L1517">
        <v>0</v>
      </c>
      <c r="M1517">
        <v>0</v>
      </c>
      <c r="N1517">
        <v>2400</v>
      </c>
    </row>
    <row r="1518" spans="1:14" x14ac:dyDescent="0.25">
      <c r="A1518">
        <v>1249</v>
      </c>
      <c r="B1518" s="1">
        <f>DATE(2013,10,1) + TIME(0,0,0)</f>
        <v>41548</v>
      </c>
      <c r="C1518">
        <v>1776.1632079999999</v>
      </c>
      <c r="D1518">
        <v>1649.0410156</v>
      </c>
      <c r="E1518">
        <v>853.00384521000001</v>
      </c>
      <c r="F1518">
        <v>634.83129883000004</v>
      </c>
      <c r="G1518">
        <v>80</v>
      </c>
      <c r="H1518">
        <v>79.953483582000004</v>
      </c>
      <c r="I1518">
        <v>50</v>
      </c>
      <c r="J1518">
        <v>38.717414855999998</v>
      </c>
      <c r="K1518">
        <v>2400</v>
      </c>
      <c r="L1518">
        <v>0</v>
      </c>
      <c r="M1518">
        <v>0</v>
      </c>
      <c r="N1518">
        <v>2400</v>
      </c>
    </row>
    <row r="1519" spans="1:14" x14ac:dyDescent="0.25">
      <c r="A1519">
        <v>1251.5565759999999</v>
      </c>
      <c r="B1519" s="1">
        <f>DATE(2013,10,3) + TIME(13,21,28)</f>
        <v>41550.556574074071</v>
      </c>
      <c r="C1519">
        <v>1775.8004149999999</v>
      </c>
      <c r="D1519">
        <v>1648.6818848</v>
      </c>
      <c r="E1519">
        <v>852.67541503999996</v>
      </c>
      <c r="F1519">
        <v>634.01055908000001</v>
      </c>
      <c r="G1519">
        <v>80</v>
      </c>
      <c r="H1519">
        <v>79.953590392999999</v>
      </c>
      <c r="I1519">
        <v>50</v>
      </c>
      <c r="J1519">
        <v>38.589775084999999</v>
      </c>
      <c r="K1519">
        <v>2400</v>
      </c>
      <c r="L1519">
        <v>0</v>
      </c>
      <c r="M1519">
        <v>0</v>
      </c>
      <c r="N1519">
        <v>2400</v>
      </c>
    </row>
    <row r="1520" spans="1:14" x14ac:dyDescent="0.25">
      <c r="A1520">
        <v>1254.15598</v>
      </c>
      <c r="B1520" s="1">
        <f>DATE(2013,10,6) + TIME(3,44,36)</f>
        <v>41553.155972222223</v>
      </c>
      <c r="C1520">
        <v>1775.1389160000001</v>
      </c>
      <c r="D1520">
        <v>1648.0277100000001</v>
      </c>
      <c r="E1520">
        <v>851.97808838000003</v>
      </c>
      <c r="F1520">
        <v>632.74249268000005</v>
      </c>
      <c r="G1520">
        <v>80</v>
      </c>
      <c r="H1520">
        <v>79.953674316000004</v>
      </c>
      <c r="I1520">
        <v>50</v>
      </c>
      <c r="J1520">
        <v>38.440509796000001</v>
      </c>
      <c r="K1520">
        <v>2400</v>
      </c>
      <c r="L1520">
        <v>0</v>
      </c>
      <c r="M1520">
        <v>0</v>
      </c>
      <c r="N1520">
        <v>2400</v>
      </c>
    </row>
    <row r="1521" spans="1:14" x14ac:dyDescent="0.25">
      <c r="A1521">
        <v>1256.7980889999999</v>
      </c>
      <c r="B1521" s="1">
        <f>DATE(2013,10,8) + TIME(19,9,14)</f>
        <v>41555.798078703701</v>
      </c>
      <c r="C1521">
        <v>1774.4587402</v>
      </c>
      <c r="D1521">
        <v>1647.3549805</v>
      </c>
      <c r="E1521">
        <v>851.32366943</v>
      </c>
      <c r="F1521">
        <v>631.51776123000002</v>
      </c>
      <c r="G1521">
        <v>80</v>
      </c>
      <c r="H1521">
        <v>79.953758239999999</v>
      </c>
      <c r="I1521">
        <v>50</v>
      </c>
      <c r="J1521">
        <v>38.289794921999999</v>
      </c>
      <c r="K1521">
        <v>2400</v>
      </c>
      <c r="L1521">
        <v>0</v>
      </c>
      <c r="M1521">
        <v>0</v>
      </c>
      <c r="N1521">
        <v>2400</v>
      </c>
    </row>
    <row r="1522" spans="1:14" x14ac:dyDescent="0.25">
      <c r="A1522">
        <v>1259.4761490000001</v>
      </c>
      <c r="B1522" s="1">
        <f>DATE(2013,10,11) + TIME(11,25,39)</f>
        <v>41558.476145833331</v>
      </c>
      <c r="C1522">
        <v>1773.7722168</v>
      </c>
      <c r="D1522">
        <v>1646.6756591999999</v>
      </c>
      <c r="E1522">
        <v>850.71807861000002</v>
      </c>
      <c r="F1522">
        <v>630.36883545000001</v>
      </c>
      <c r="G1522">
        <v>80</v>
      </c>
      <c r="H1522">
        <v>79.953842163000004</v>
      </c>
      <c r="I1522">
        <v>50</v>
      </c>
      <c r="J1522">
        <v>38.143772124999998</v>
      </c>
      <c r="K1522">
        <v>2400</v>
      </c>
      <c r="L1522">
        <v>0</v>
      </c>
      <c r="M1522">
        <v>0</v>
      </c>
      <c r="N1522">
        <v>2400</v>
      </c>
    </row>
    <row r="1523" spans="1:14" x14ac:dyDescent="0.25">
      <c r="A1523">
        <v>1260.823975</v>
      </c>
      <c r="B1523" s="1">
        <f>DATE(2013,10,12) + TIME(19,46,31)</f>
        <v>41559.823969907404</v>
      </c>
      <c r="C1523">
        <v>1773.1116943</v>
      </c>
      <c r="D1523">
        <v>1646.0223389</v>
      </c>
      <c r="E1523">
        <v>850.15881348000005</v>
      </c>
      <c r="F1523">
        <v>629.40826416000004</v>
      </c>
      <c r="G1523">
        <v>80</v>
      </c>
      <c r="H1523">
        <v>79.953865050999994</v>
      </c>
      <c r="I1523">
        <v>50</v>
      </c>
      <c r="J1523">
        <v>38.033115387000002</v>
      </c>
      <c r="K1523">
        <v>2400</v>
      </c>
      <c r="L1523">
        <v>0</v>
      </c>
      <c r="M1523">
        <v>0</v>
      </c>
      <c r="N1523">
        <v>2400</v>
      </c>
    </row>
    <row r="1524" spans="1:14" x14ac:dyDescent="0.25">
      <c r="A1524">
        <v>1262.1718020000001</v>
      </c>
      <c r="B1524" s="1">
        <f>DATE(2013,10,14) + TIME(4,7,23)</f>
        <v>41561.171793981484</v>
      </c>
      <c r="C1524">
        <v>1772.7385254000001</v>
      </c>
      <c r="D1524">
        <v>1645.6527100000001</v>
      </c>
      <c r="E1524">
        <v>849.91546631000006</v>
      </c>
      <c r="F1524">
        <v>628.86901854999996</v>
      </c>
      <c r="G1524">
        <v>80</v>
      </c>
      <c r="H1524">
        <v>79.953918457</v>
      </c>
      <c r="I1524">
        <v>50</v>
      </c>
      <c r="J1524">
        <v>37.950820923000002</v>
      </c>
      <c r="K1524">
        <v>2400</v>
      </c>
      <c r="L1524">
        <v>0</v>
      </c>
      <c r="M1524">
        <v>0</v>
      </c>
      <c r="N1524">
        <v>2400</v>
      </c>
    </row>
    <row r="1525" spans="1:14" x14ac:dyDescent="0.25">
      <c r="A1525">
        <v>1263.5196289999999</v>
      </c>
      <c r="B1525" s="1">
        <f>DATE(2013,10,15) + TIME(12,28,15)</f>
        <v>41562.519618055558</v>
      </c>
      <c r="C1525">
        <v>1772.3907471</v>
      </c>
      <c r="D1525">
        <v>1645.3084716999999</v>
      </c>
      <c r="E1525">
        <v>849.68811034999999</v>
      </c>
      <c r="F1525">
        <v>628.39929199000005</v>
      </c>
      <c r="G1525">
        <v>80</v>
      </c>
      <c r="H1525">
        <v>79.953964232999994</v>
      </c>
      <c r="I1525">
        <v>50</v>
      </c>
      <c r="J1525">
        <v>37.881576537999997</v>
      </c>
      <c r="K1525">
        <v>2400</v>
      </c>
      <c r="L1525">
        <v>0</v>
      </c>
      <c r="M1525">
        <v>0</v>
      </c>
      <c r="N1525">
        <v>2400</v>
      </c>
    </row>
    <row r="1526" spans="1:14" x14ac:dyDescent="0.25">
      <c r="A1526">
        <v>1264.8674559999999</v>
      </c>
      <c r="B1526" s="1">
        <f>DATE(2013,10,16) + TIME(20,49,8)</f>
        <v>41563.8674537037</v>
      </c>
      <c r="C1526">
        <v>1772.0479736</v>
      </c>
      <c r="D1526">
        <v>1644.9692382999999</v>
      </c>
      <c r="E1526">
        <v>849.47760010000002</v>
      </c>
      <c r="F1526">
        <v>627.97595215000001</v>
      </c>
      <c r="G1526">
        <v>80</v>
      </c>
      <c r="H1526">
        <v>79.954010010000005</v>
      </c>
      <c r="I1526">
        <v>50</v>
      </c>
      <c r="J1526">
        <v>37.819271088000001</v>
      </c>
      <c r="K1526">
        <v>2400</v>
      </c>
      <c r="L1526">
        <v>0</v>
      </c>
      <c r="M1526">
        <v>0</v>
      </c>
      <c r="N1526">
        <v>2400</v>
      </c>
    </row>
    <row r="1527" spans="1:14" x14ac:dyDescent="0.25">
      <c r="A1527">
        <v>1266.2152819999999</v>
      </c>
      <c r="B1527" s="1">
        <f>DATE(2013,10,18) + TIME(5,10,0)</f>
        <v>41565.215277777781</v>
      </c>
      <c r="C1527">
        <v>1771.7075195</v>
      </c>
      <c r="D1527">
        <v>1644.6322021000001</v>
      </c>
      <c r="E1527">
        <v>849.28338623000002</v>
      </c>
      <c r="F1527">
        <v>627.58898925999995</v>
      </c>
      <c r="G1527">
        <v>80</v>
      </c>
      <c r="H1527">
        <v>79.954048157000003</v>
      </c>
      <c r="I1527">
        <v>50</v>
      </c>
      <c r="J1527">
        <v>37.761493682999998</v>
      </c>
      <c r="K1527">
        <v>2400</v>
      </c>
      <c r="L1527">
        <v>0</v>
      </c>
      <c r="M1527">
        <v>0</v>
      </c>
      <c r="N1527">
        <v>2400</v>
      </c>
    </row>
    <row r="1528" spans="1:14" x14ac:dyDescent="0.25">
      <c r="A1528">
        <v>1267.5631089999999</v>
      </c>
      <c r="B1528" s="1">
        <f>DATE(2013,10,19) + TIME(13,30,52)</f>
        <v>41566.563101851854</v>
      </c>
      <c r="C1528">
        <v>1771.3687743999999</v>
      </c>
      <c r="D1528">
        <v>1644.296875</v>
      </c>
      <c r="E1528">
        <v>849.10528564000003</v>
      </c>
      <c r="F1528">
        <v>627.23474121000004</v>
      </c>
      <c r="G1528">
        <v>80</v>
      </c>
      <c r="H1528">
        <v>79.954093932999996</v>
      </c>
      <c r="I1528">
        <v>50</v>
      </c>
      <c r="J1528">
        <v>37.707298279</v>
      </c>
      <c r="K1528">
        <v>2400</v>
      </c>
      <c r="L1528">
        <v>0</v>
      </c>
      <c r="M1528">
        <v>0</v>
      </c>
      <c r="N1528">
        <v>2400</v>
      </c>
    </row>
    <row r="1529" spans="1:14" x14ac:dyDescent="0.25">
      <c r="A1529">
        <v>1268.910936</v>
      </c>
      <c r="B1529" s="1">
        <f>DATE(2013,10,20) + TIME(21,51,44)</f>
        <v>41567.910925925928</v>
      </c>
      <c r="C1529">
        <v>1771.0318603999999</v>
      </c>
      <c r="D1529">
        <v>1643.9632568</v>
      </c>
      <c r="E1529">
        <v>848.94317626999998</v>
      </c>
      <c r="F1529">
        <v>626.91168213000003</v>
      </c>
      <c r="G1529">
        <v>80</v>
      </c>
      <c r="H1529">
        <v>79.954132079999994</v>
      </c>
      <c r="I1529">
        <v>50</v>
      </c>
      <c r="J1529">
        <v>37.656322479000004</v>
      </c>
      <c r="K1529">
        <v>2400</v>
      </c>
      <c r="L1529">
        <v>0</v>
      </c>
      <c r="M1529">
        <v>0</v>
      </c>
      <c r="N1529">
        <v>2400</v>
      </c>
    </row>
    <row r="1530" spans="1:14" x14ac:dyDescent="0.25">
      <c r="A1530">
        <v>1270.2587619999999</v>
      </c>
      <c r="B1530" s="1">
        <f>DATE(2013,10,22) + TIME(6,12,37)</f>
        <v>41569.258761574078</v>
      </c>
      <c r="C1530">
        <v>1770.6965332</v>
      </c>
      <c r="D1530">
        <v>1643.6313477000001</v>
      </c>
      <c r="E1530">
        <v>848.796875</v>
      </c>
      <c r="F1530">
        <v>626.61907958999996</v>
      </c>
      <c r="G1530">
        <v>80</v>
      </c>
      <c r="H1530">
        <v>79.954177856000001</v>
      </c>
      <c r="I1530">
        <v>50</v>
      </c>
      <c r="J1530">
        <v>37.608448029000002</v>
      </c>
      <c r="K1530">
        <v>2400</v>
      </c>
      <c r="L1530">
        <v>0</v>
      </c>
      <c r="M1530">
        <v>0</v>
      </c>
      <c r="N1530">
        <v>2400</v>
      </c>
    </row>
    <row r="1531" spans="1:14" x14ac:dyDescent="0.25">
      <c r="A1531">
        <v>1271.606589</v>
      </c>
      <c r="B1531" s="1">
        <f>DATE(2013,10,23) + TIME(14,33,29)</f>
        <v>41570.606585648151</v>
      </c>
      <c r="C1531">
        <v>1770.3631591999999</v>
      </c>
      <c r="D1531">
        <v>1643.3012695</v>
      </c>
      <c r="E1531">
        <v>848.66613770000004</v>
      </c>
      <c r="F1531">
        <v>626.35644531000003</v>
      </c>
      <c r="G1531">
        <v>80</v>
      </c>
      <c r="H1531">
        <v>79.954216002999999</v>
      </c>
      <c r="I1531">
        <v>50</v>
      </c>
      <c r="J1531">
        <v>37.563636780000003</v>
      </c>
      <c r="K1531">
        <v>2400</v>
      </c>
      <c r="L1531">
        <v>0</v>
      </c>
      <c r="M1531">
        <v>0</v>
      </c>
      <c r="N1531">
        <v>2400</v>
      </c>
    </row>
    <row r="1532" spans="1:14" x14ac:dyDescent="0.25">
      <c r="A1532">
        <v>1272.954416</v>
      </c>
      <c r="B1532" s="1">
        <f>DATE(2013,10,24) + TIME(22,54,21)</f>
        <v>41571.954409722224</v>
      </c>
      <c r="C1532">
        <v>1770.0314940999999</v>
      </c>
      <c r="D1532">
        <v>1642.9729004000001</v>
      </c>
      <c r="E1532">
        <v>848.55078125</v>
      </c>
      <c r="F1532">
        <v>626.12347411999997</v>
      </c>
      <c r="G1532">
        <v>80</v>
      </c>
      <c r="H1532">
        <v>79.954261779999996</v>
      </c>
      <c r="I1532">
        <v>50</v>
      </c>
      <c r="J1532">
        <v>37.521892547999997</v>
      </c>
      <c r="K1532">
        <v>2400</v>
      </c>
      <c r="L1532">
        <v>0</v>
      </c>
      <c r="M1532">
        <v>0</v>
      </c>
      <c r="N1532">
        <v>2400</v>
      </c>
    </row>
    <row r="1533" spans="1:14" x14ac:dyDescent="0.25">
      <c r="A1533">
        <v>1275.650069</v>
      </c>
      <c r="B1533" s="1">
        <f>DATE(2013,10,27) + TIME(15,36,5)</f>
        <v>41574.650057870371</v>
      </c>
      <c r="C1533">
        <v>1769.6870117000001</v>
      </c>
      <c r="D1533">
        <v>1642.6315918</v>
      </c>
      <c r="E1533">
        <v>848.45855713000003</v>
      </c>
      <c r="F1533">
        <v>625.89837646000001</v>
      </c>
      <c r="G1533">
        <v>80</v>
      </c>
      <c r="H1533">
        <v>79.954353333</v>
      </c>
      <c r="I1533">
        <v>50</v>
      </c>
      <c r="J1533">
        <v>37.473411560000002</v>
      </c>
      <c r="K1533">
        <v>2400</v>
      </c>
      <c r="L1533">
        <v>0</v>
      </c>
      <c r="M1533">
        <v>0</v>
      </c>
      <c r="N1533">
        <v>2400</v>
      </c>
    </row>
    <row r="1534" spans="1:14" x14ac:dyDescent="0.25">
      <c r="A1534">
        <v>1278.3462939999999</v>
      </c>
      <c r="B1534" s="1">
        <f>DATE(2013,10,30) + TIME(8,18,39)</f>
        <v>41577.346284722225</v>
      </c>
      <c r="C1534">
        <v>1769.0494385</v>
      </c>
      <c r="D1534">
        <v>1642.0003661999999</v>
      </c>
      <c r="E1534">
        <v>848.28356933999999</v>
      </c>
      <c r="F1534">
        <v>625.57531738</v>
      </c>
      <c r="G1534">
        <v>80</v>
      </c>
      <c r="H1534">
        <v>79.954429626000007</v>
      </c>
      <c r="I1534">
        <v>50</v>
      </c>
      <c r="J1534">
        <v>37.411499022999998</v>
      </c>
      <c r="K1534">
        <v>2400</v>
      </c>
      <c r="L1534">
        <v>0</v>
      </c>
      <c r="M1534">
        <v>0</v>
      </c>
      <c r="N1534">
        <v>2400</v>
      </c>
    </row>
    <row r="1535" spans="1:14" x14ac:dyDescent="0.25">
      <c r="A1535">
        <v>1280</v>
      </c>
      <c r="B1535" s="1">
        <f>DATE(2013,11,1) + TIME(0,0,0)</f>
        <v>41579</v>
      </c>
      <c r="C1535">
        <v>1768.4233397999999</v>
      </c>
      <c r="D1535">
        <v>1641.3804932</v>
      </c>
      <c r="E1535">
        <v>848.15997314000003</v>
      </c>
      <c r="F1535">
        <v>625.35839843999997</v>
      </c>
      <c r="G1535">
        <v>80</v>
      </c>
      <c r="H1535">
        <v>79.954460143999995</v>
      </c>
      <c r="I1535">
        <v>50</v>
      </c>
      <c r="J1535">
        <v>37.363204955999997</v>
      </c>
      <c r="K1535">
        <v>2400</v>
      </c>
      <c r="L1535">
        <v>0</v>
      </c>
      <c r="M1535">
        <v>0</v>
      </c>
      <c r="N1535">
        <v>2400</v>
      </c>
    </row>
    <row r="1536" spans="1:14" x14ac:dyDescent="0.25">
      <c r="A1536">
        <v>1280.0000010000001</v>
      </c>
      <c r="B1536" s="1">
        <f>DATE(2013,11,1) + TIME(0,0,0)</f>
        <v>41579</v>
      </c>
      <c r="C1536">
        <v>1640.4571533000001</v>
      </c>
      <c r="D1536">
        <v>1514.3576660000001</v>
      </c>
      <c r="E1536">
        <v>1070.9183350000001</v>
      </c>
      <c r="F1536">
        <v>848.99914550999995</v>
      </c>
      <c r="G1536">
        <v>80</v>
      </c>
      <c r="H1536">
        <v>79.954330443999993</v>
      </c>
      <c r="I1536">
        <v>50</v>
      </c>
      <c r="J1536">
        <v>37.363315581999998</v>
      </c>
      <c r="K1536">
        <v>0</v>
      </c>
      <c r="L1536">
        <v>2400</v>
      </c>
      <c r="M1536">
        <v>2400</v>
      </c>
      <c r="N1536">
        <v>0</v>
      </c>
    </row>
    <row r="1537" spans="1:14" x14ac:dyDescent="0.25">
      <c r="A1537">
        <v>1280.000004</v>
      </c>
      <c r="B1537" s="1">
        <f>DATE(2013,11,1) + TIME(0,0,0)</f>
        <v>41579</v>
      </c>
      <c r="C1537">
        <v>1637.7419434000001</v>
      </c>
      <c r="D1537">
        <v>1511.6408690999999</v>
      </c>
      <c r="E1537">
        <v>1073.6074219</v>
      </c>
      <c r="F1537">
        <v>851.49230956999997</v>
      </c>
      <c r="G1537">
        <v>80</v>
      </c>
      <c r="H1537">
        <v>79.953941345000004</v>
      </c>
      <c r="I1537">
        <v>50</v>
      </c>
      <c r="J1537">
        <v>37.363651275999999</v>
      </c>
      <c r="K1537">
        <v>0</v>
      </c>
      <c r="L1537">
        <v>2400</v>
      </c>
      <c r="M1537">
        <v>2400</v>
      </c>
      <c r="N1537">
        <v>0</v>
      </c>
    </row>
    <row r="1538" spans="1:14" x14ac:dyDescent="0.25">
      <c r="A1538">
        <v>1280.0000130000001</v>
      </c>
      <c r="B1538" s="1">
        <f>DATE(2013,11,1) + TIME(0,0,1)</f>
        <v>41579.000011574077</v>
      </c>
      <c r="C1538">
        <v>1630.0516356999999</v>
      </c>
      <c r="D1538">
        <v>1503.9464111</v>
      </c>
      <c r="E1538">
        <v>1081.4163818</v>
      </c>
      <c r="F1538">
        <v>858.75970458999996</v>
      </c>
      <c r="G1538">
        <v>80</v>
      </c>
      <c r="H1538">
        <v>79.952850342000005</v>
      </c>
      <c r="I1538">
        <v>50</v>
      </c>
      <c r="J1538">
        <v>37.364631653000004</v>
      </c>
      <c r="K1538">
        <v>0</v>
      </c>
      <c r="L1538">
        <v>2400</v>
      </c>
      <c r="M1538">
        <v>2400</v>
      </c>
      <c r="N1538">
        <v>0</v>
      </c>
    </row>
    <row r="1539" spans="1:14" x14ac:dyDescent="0.25">
      <c r="A1539">
        <v>1280.0000399999999</v>
      </c>
      <c r="B1539" s="1">
        <f>DATE(2013,11,1) + TIME(0,0,3)</f>
        <v>41579.000034722223</v>
      </c>
      <c r="C1539">
        <v>1610.3056641000001</v>
      </c>
      <c r="D1539">
        <v>1484.1915283000001</v>
      </c>
      <c r="E1539">
        <v>1102.7882079999999</v>
      </c>
      <c r="F1539">
        <v>878.84545897999999</v>
      </c>
      <c r="G1539">
        <v>80</v>
      </c>
      <c r="H1539">
        <v>79.950035095000004</v>
      </c>
      <c r="I1539">
        <v>50</v>
      </c>
      <c r="J1539">
        <v>37.367370604999998</v>
      </c>
      <c r="K1539">
        <v>0</v>
      </c>
      <c r="L1539">
        <v>2400</v>
      </c>
      <c r="M1539">
        <v>2400</v>
      </c>
      <c r="N1539">
        <v>0</v>
      </c>
    </row>
    <row r="1540" spans="1:14" x14ac:dyDescent="0.25">
      <c r="A1540">
        <v>1280.000121</v>
      </c>
      <c r="B1540" s="1">
        <f>DATE(2013,11,1) + TIME(0,0,10)</f>
        <v>41579.000115740739</v>
      </c>
      <c r="C1540">
        <v>1569.2037353999999</v>
      </c>
      <c r="D1540">
        <v>1443.0761719</v>
      </c>
      <c r="E1540">
        <v>1153.4730225000001</v>
      </c>
      <c r="F1540">
        <v>927.44244385000002</v>
      </c>
      <c r="G1540">
        <v>80</v>
      </c>
      <c r="H1540">
        <v>79.944175720000004</v>
      </c>
      <c r="I1540">
        <v>50</v>
      </c>
      <c r="J1540">
        <v>37.374237061000002</v>
      </c>
      <c r="K1540">
        <v>0</v>
      </c>
      <c r="L1540">
        <v>2400</v>
      </c>
      <c r="M1540">
        <v>2400</v>
      </c>
      <c r="N1540">
        <v>0</v>
      </c>
    </row>
    <row r="1541" spans="1:14" x14ac:dyDescent="0.25">
      <c r="A1541">
        <v>1280.000364</v>
      </c>
      <c r="B1541" s="1">
        <f>DATE(2013,11,1) + TIME(0,0,31)</f>
        <v>41579.000358796293</v>
      </c>
      <c r="C1541">
        <v>1506.8078613</v>
      </c>
      <c r="D1541">
        <v>1380.6907959</v>
      </c>
      <c r="E1541">
        <v>1245.2827147999999</v>
      </c>
      <c r="F1541">
        <v>1017.9487915</v>
      </c>
      <c r="G1541">
        <v>80</v>
      </c>
      <c r="H1541">
        <v>79.935272217000005</v>
      </c>
      <c r="I1541">
        <v>50</v>
      </c>
      <c r="J1541">
        <v>37.388343810999999</v>
      </c>
      <c r="K1541">
        <v>0</v>
      </c>
      <c r="L1541">
        <v>2400</v>
      </c>
      <c r="M1541">
        <v>2400</v>
      </c>
      <c r="N1541">
        <v>0</v>
      </c>
    </row>
    <row r="1542" spans="1:14" x14ac:dyDescent="0.25">
      <c r="A1542">
        <v>1280.0010930000001</v>
      </c>
      <c r="B1542" s="1">
        <f>DATE(2013,11,1) + TIME(0,1,34)</f>
        <v>41579.001087962963</v>
      </c>
      <c r="C1542">
        <v>1435.4613036999999</v>
      </c>
      <c r="D1542">
        <v>1309.3886719</v>
      </c>
      <c r="E1542">
        <v>1365.7326660000001</v>
      </c>
      <c r="F1542">
        <v>1139.0538329999999</v>
      </c>
      <c r="G1542">
        <v>80</v>
      </c>
      <c r="H1542">
        <v>79.925003051999994</v>
      </c>
      <c r="I1542">
        <v>50</v>
      </c>
      <c r="J1542">
        <v>37.412895202999998</v>
      </c>
      <c r="K1542">
        <v>0</v>
      </c>
      <c r="L1542">
        <v>2400</v>
      </c>
      <c r="M1542">
        <v>2400</v>
      </c>
      <c r="N1542">
        <v>0</v>
      </c>
    </row>
    <row r="1543" spans="1:14" x14ac:dyDescent="0.25">
      <c r="A1543">
        <v>1280.0032799999999</v>
      </c>
      <c r="B1543" s="1">
        <f>DATE(2013,11,1) + TIME(0,4,43)</f>
        <v>41579.003275462965</v>
      </c>
      <c r="C1543">
        <v>1363.0507812000001</v>
      </c>
      <c r="D1543">
        <v>1237.0667725000001</v>
      </c>
      <c r="E1543">
        <v>1494.255249</v>
      </c>
      <c r="F1543">
        <v>1268.9545897999999</v>
      </c>
      <c r="G1543">
        <v>80</v>
      </c>
      <c r="H1543">
        <v>79.914314270000006</v>
      </c>
      <c r="I1543">
        <v>50</v>
      </c>
      <c r="J1543">
        <v>37.458728790000002</v>
      </c>
      <c r="K1543">
        <v>0</v>
      </c>
      <c r="L1543">
        <v>2400</v>
      </c>
      <c r="M1543">
        <v>2400</v>
      </c>
      <c r="N1543">
        <v>0</v>
      </c>
    </row>
    <row r="1544" spans="1:14" x14ac:dyDescent="0.25">
      <c r="A1544">
        <v>1280.0098410000001</v>
      </c>
      <c r="B1544" s="1">
        <f>DATE(2013,11,1) + TIME(0,14,10)</f>
        <v>41579.009837962964</v>
      </c>
      <c r="C1544">
        <v>1290.1740723</v>
      </c>
      <c r="D1544">
        <v>1164.3032227000001</v>
      </c>
      <c r="E1544">
        <v>1625.0895995999999</v>
      </c>
      <c r="F1544">
        <v>1401.2823486</v>
      </c>
      <c r="G1544">
        <v>80</v>
      </c>
      <c r="H1544">
        <v>79.902763367000006</v>
      </c>
      <c r="I1544">
        <v>50</v>
      </c>
      <c r="J1544">
        <v>37.564598083</v>
      </c>
      <c r="K1544">
        <v>0</v>
      </c>
      <c r="L1544">
        <v>2400</v>
      </c>
      <c r="M1544">
        <v>2400</v>
      </c>
      <c r="N1544">
        <v>0</v>
      </c>
    </row>
    <row r="1545" spans="1:14" x14ac:dyDescent="0.25">
      <c r="A1545">
        <v>1280.029524</v>
      </c>
      <c r="B1545" s="1">
        <f>DATE(2013,11,1) + TIME(0,42,30)</f>
        <v>41579.029513888891</v>
      </c>
      <c r="C1545">
        <v>1214.5325928</v>
      </c>
      <c r="D1545">
        <v>1088.6774902</v>
      </c>
      <c r="E1545">
        <v>1757.9682617000001</v>
      </c>
      <c r="F1545">
        <v>1535.9730225000001</v>
      </c>
      <c r="G1545">
        <v>80</v>
      </c>
      <c r="H1545">
        <v>79.888465881000002</v>
      </c>
      <c r="I1545">
        <v>50</v>
      </c>
      <c r="J1545">
        <v>37.844261168999999</v>
      </c>
      <c r="K1545">
        <v>0</v>
      </c>
      <c r="L1545">
        <v>2400</v>
      </c>
      <c r="M1545">
        <v>2400</v>
      </c>
      <c r="N1545">
        <v>0</v>
      </c>
    </row>
    <row r="1546" spans="1:14" x14ac:dyDescent="0.25">
      <c r="A1546">
        <v>1280.088573</v>
      </c>
      <c r="B1546" s="1">
        <f>DATE(2013,11,1) + TIME(2,7,32)</f>
        <v>41579.088564814818</v>
      </c>
      <c r="C1546">
        <v>1136.3695068</v>
      </c>
      <c r="D1546">
        <v>1010.4208374</v>
      </c>
      <c r="E1546">
        <v>1882.2224120999999</v>
      </c>
      <c r="F1546">
        <v>1663.1285399999999</v>
      </c>
      <c r="G1546">
        <v>80</v>
      </c>
      <c r="H1546">
        <v>79.867240906000006</v>
      </c>
      <c r="I1546">
        <v>50</v>
      </c>
      <c r="J1546">
        <v>38.601882934999999</v>
      </c>
      <c r="K1546">
        <v>0</v>
      </c>
      <c r="L1546">
        <v>2400</v>
      </c>
      <c r="M1546">
        <v>2400</v>
      </c>
      <c r="N1546">
        <v>0</v>
      </c>
    </row>
    <row r="1547" spans="1:14" x14ac:dyDescent="0.25">
      <c r="A1547">
        <v>1280.1606569999999</v>
      </c>
      <c r="B1547" s="1">
        <f>DATE(2013,11,1) + TIME(3,51,20)</f>
        <v>41579.16064814815</v>
      </c>
      <c r="C1547">
        <v>1092.3460693</v>
      </c>
      <c r="D1547">
        <v>966.34429932</v>
      </c>
      <c r="E1547">
        <v>1943.7490233999999</v>
      </c>
      <c r="F1547">
        <v>1727.3942870999999</v>
      </c>
      <c r="G1547">
        <v>80</v>
      </c>
      <c r="H1547">
        <v>79.848548889</v>
      </c>
      <c r="I1547">
        <v>50</v>
      </c>
      <c r="J1547">
        <v>39.451351166000002</v>
      </c>
      <c r="K1547">
        <v>0</v>
      </c>
      <c r="L1547">
        <v>2400</v>
      </c>
      <c r="M1547">
        <v>2400</v>
      </c>
      <c r="N1547">
        <v>0</v>
      </c>
    </row>
    <row r="1548" spans="1:14" x14ac:dyDescent="0.25">
      <c r="A1548">
        <v>1280.2389619999999</v>
      </c>
      <c r="B1548" s="1">
        <f>DATE(2013,11,1) + TIME(5,44,6)</f>
        <v>41579.238958333335</v>
      </c>
      <c r="C1548">
        <v>1066.5334473</v>
      </c>
      <c r="D1548">
        <v>940.50579833999996</v>
      </c>
      <c r="E1548">
        <v>1975.1793213000001</v>
      </c>
      <c r="F1548">
        <v>1761.3857422000001</v>
      </c>
      <c r="G1548">
        <v>80</v>
      </c>
      <c r="H1548">
        <v>79.831413268999995</v>
      </c>
      <c r="I1548">
        <v>50</v>
      </c>
      <c r="J1548">
        <v>40.299934387</v>
      </c>
      <c r="K1548">
        <v>0</v>
      </c>
      <c r="L1548">
        <v>2400</v>
      </c>
      <c r="M1548">
        <v>2400</v>
      </c>
      <c r="N1548">
        <v>0</v>
      </c>
    </row>
    <row r="1549" spans="1:14" x14ac:dyDescent="0.25">
      <c r="A1549">
        <v>1280.3239160000001</v>
      </c>
      <c r="B1549" s="1">
        <f>DATE(2013,11,1) + TIME(7,46,26)</f>
        <v>41579.323912037034</v>
      </c>
      <c r="C1549">
        <v>1050.2696533000001</v>
      </c>
      <c r="D1549">
        <v>924.22625731999995</v>
      </c>
      <c r="E1549">
        <v>1991.9824219</v>
      </c>
      <c r="F1549">
        <v>1780.6337891000001</v>
      </c>
      <c r="G1549">
        <v>80</v>
      </c>
      <c r="H1549">
        <v>79.814689635999997</v>
      </c>
      <c r="I1549">
        <v>50</v>
      </c>
      <c r="J1549">
        <v>41.142623901</v>
      </c>
      <c r="K1549">
        <v>0</v>
      </c>
      <c r="L1549">
        <v>2400</v>
      </c>
      <c r="M1549">
        <v>2400</v>
      </c>
      <c r="N1549">
        <v>0</v>
      </c>
    </row>
    <row r="1550" spans="1:14" x14ac:dyDescent="0.25">
      <c r="A1550">
        <v>1280.416489</v>
      </c>
      <c r="B1550" s="1">
        <f>DATE(2013,11,1) + TIME(9,59,44)</f>
        <v>41579.416481481479</v>
      </c>
      <c r="C1550">
        <v>1039.6542969</v>
      </c>
      <c r="D1550">
        <v>913.59948729999996</v>
      </c>
      <c r="E1550">
        <v>2000.7052002</v>
      </c>
      <c r="F1550">
        <v>1791.7028809000001</v>
      </c>
      <c r="G1550">
        <v>80</v>
      </c>
      <c r="H1550">
        <v>79.797752380000006</v>
      </c>
      <c r="I1550">
        <v>50</v>
      </c>
      <c r="J1550">
        <v>41.976989746000001</v>
      </c>
      <c r="K1550">
        <v>0</v>
      </c>
      <c r="L1550">
        <v>2400</v>
      </c>
      <c r="M1550">
        <v>2400</v>
      </c>
      <c r="N1550">
        <v>0</v>
      </c>
    </row>
    <row r="1551" spans="1:14" x14ac:dyDescent="0.25">
      <c r="A1551">
        <v>1280.5180479999999</v>
      </c>
      <c r="B1551" s="1">
        <f>DATE(2013,11,1) + TIME(12,25,59)</f>
        <v>41579.518043981479</v>
      </c>
      <c r="C1551">
        <v>1032.6335449000001</v>
      </c>
      <c r="D1551">
        <v>906.56915283000001</v>
      </c>
      <c r="E1551">
        <v>2004.6159668</v>
      </c>
      <c r="F1551">
        <v>1797.8659668</v>
      </c>
      <c r="G1551">
        <v>80</v>
      </c>
      <c r="H1551">
        <v>79.780189514</v>
      </c>
      <c r="I1551">
        <v>50</v>
      </c>
      <c r="J1551">
        <v>42.801151275999999</v>
      </c>
      <c r="K1551">
        <v>0</v>
      </c>
      <c r="L1551">
        <v>2400</v>
      </c>
      <c r="M1551">
        <v>2400</v>
      </c>
      <c r="N1551">
        <v>0</v>
      </c>
    </row>
    <row r="1552" spans="1:14" x14ac:dyDescent="0.25">
      <c r="A1552">
        <v>1280.6304889999999</v>
      </c>
      <c r="B1552" s="1">
        <f>DATE(2013,11,1) + TIME(15,7,54)</f>
        <v>41579.630486111113</v>
      </c>
      <c r="C1552">
        <v>1027.9842529</v>
      </c>
      <c r="D1552">
        <v>901.91101074000005</v>
      </c>
      <c r="E1552">
        <v>2005.5682373</v>
      </c>
      <c r="F1552">
        <v>1800.9782714999999</v>
      </c>
      <c r="G1552">
        <v>80</v>
      </c>
      <c r="H1552">
        <v>79.761619568</v>
      </c>
      <c r="I1552">
        <v>50</v>
      </c>
      <c r="J1552">
        <v>43.613479613999999</v>
      </c>
      <c r="K1552">
        <v>0</v>
      </c>
      <c r="L1552">
        <v>2400</v>
      </c>
      <c r="M1552">
        <v>2400</v>
      </c>
      <c r="N1552">
        <v>0</v>
      </c>
    </row>
    <row r="1553" spans="1:14" x14ac:dyDescent="0.25">
      <c r="A1553">
        <v>1280.7563620000001</v>
      </c>
      <c r="B1553" s="1">
        <f>DATE(2013,11,1) + TIME(18,9,9)</f>
        <v>41579.756354166668</v>
      </c>
      <c r="C1553">
        <v>1024.9193115</v>
      </c>
      <c r="D1553">
        <v>898.83734131000006</v>
      </c>
      <c r="E1553">
        <v>2004.7075195</v>
      </c>
      <c r="F1553">
        <v>1802.184082</v>
      </c>
      <c r="G1553">
        <v>80</v>
      </c>
      <c r="H1553">
        <v>79.741661071999999</v>
      </c>
      <c r="I1553">
        <v>50</v>
      </c>
      <c r="J1553">
        <v>44.411861420000001</v>
      </c>
      <c r="K1553">
        <v>0</v>
      </c>
      <c r="L1553">
        <v>2400</v>
      </c>
      <c r="M1553">
        <v>2400</v>
      </c>
      <c r="N1553">
        <v>0</v>
      </c>
    </row>
    <row r="1554" spans="1:14" x14ac:dyDescent="0.25">
      <c r="A1554">
        <v>1280.899218</v>
      </c>
      <c r="B1554" s="1">
        <f>DATE(2013,11,1) + TIME(21,34,52)</f>
        <v>41579.899212962962</v>
      </c>
      <c r="C1554">
        <v>1022.9092407000001</v>
      </c>
      <c r="D1554">
        <v>896.81835937999995</v>
      </c>
      <c r="E1554">
        <v>2002.7761230000001</v>
      </c>
      <c r="F1554">
        <v>1802.2227783000001</v>
      </c>
      <c r="G1554">
        <v>80</v>
      </c>
      <c r="H1554">
        <v>79.719856261999993</v>
      </c>
      <c r="I1554">
        <v>50</v>
      </c>
      <c r="J1554">
        <v>45.193614959999998</v>
      </c>
      <c r="K1554">
        <v>0</v>
      </c>
      <c r="L1554">
        <v>2400</v>
      </c>
      <c r="M1554">
        <v>2400</v>
      </c>
      <c r="N1554">
        <v>0</v>
      </c>
    </row>
    <row r="1555" spans="1:14" x14ac:dyDescent="0.25">
      <c r="A1555">
        <v>1281.0641559999999</v>
      </c>
      <c r="B1555" s="1">
        <f>DATE(2013,11,2) + TIME(1,32,23)</f>
        <v>41580.064155092594</v>
      </c>
      <c r="C1555">
        <v>1021.593689</v>
      </c>
      <c r="D1555">
        <v>895.49328613</v>
      </c>
      <c r="E1555">
        <v>2000.2612305</v>
      </c>
      <c r="F1555">
        <v>1801.5753173999999</v>
      </c>
      <c r="G1555">
        <v>80</v>
      </c>
      <c r="H1555">
        <v>79.695617675999998</v>
      </c>
      <c r="I1555">
        <v>50</v>
      </c>
      <c r="J1555">
        <v>45.955196381</v>
      </c>
      <c r="K1555">
        <v>0</v>
      </c>
      <c r="L1555">
        <v>2400</v>
      </c>
      <c r="M1555">
        <v>2400</v>
      </c>
      <c r="N1555">
        <v>0</v>
      </c>
    </row>
    <row r="1556" spans="1:14" x14ac:dyDescent="0.25">
      <c r="A1556">
        <v>1281.258818</v>
      </c>
      <c r="B1556" s="1">
        <f>DATE(2013,11,2) + TIME(6,12,41)</f>
        <v>41580.25880787037</v>
      </c>
      <c r="C1556">
        <v>1020.7286377</v>
      </c>
      <c r="D1556">
        <v>894.61767578000001</v>
      </c>
      <c r="E1556">
        <v>1997.4771728999999</v>
      </c>
      <c r="F1556">
        <v>1800.5467529</v>
      </c>
      <c r="G1556">
        <v>80</v>
      </c>
      <c r="H1556">
        <v>79.668121338000006</v>
      </c>
      <c r="I1556">
        <v>50</v>
      </c>
      <c r="J1556">
        <v>46.691749573000003</v>
      </c>
      <c r="K1556">
        <v>0</v>
      </c>
      <c r="L1556">
        <v>2400</v>
      </c>
      <c r="M1556">
        <v>2400</v>
      </c>
      <c r="N1556">
        <v>0</v>
      </c>
    </row>
    <row r="1557" spans="1:14" x14ac:dyDescent="0.25">
      <c r="A1557">
        <v>1281.4952900000001</v>
      </c>
      <c r="B1557" s="1">
        <f>DATE(2013,11,2) + TIME(11,53,13)</f>
        <v>41580.495289351849</v>
      </c>
      <c r="C1557">
        <v>1020.1511841</v>
      </c>
      <c r="D1557">
        <v>894.02807616999996</v>
      </c>
      <c r="E1557">
        <v>1994.6185303</v>
      </c>
      <c r="F1557">
        <v>1799.3167725000001</v>
      </c>
      <c r="G1557">
        <v>80</v>
      </c>
      <c r="H1557">
        <v>79.636177063000005</v>
      </c>
      <c r="I1557">
        <v>50</v>
      </c>
      <c r="J1557">
        <v>47.396411895999996</v>
      </c>
      <c r="K1557">
        <v>0</v>
      </c>
      <c r="L1557">
        <v>2400</v>
      </c>
      <c r="M1557">
        <v>2400</v>
      </c>
      <c r="N1557">
        <v>0</v>
      </c>
    </row>
    <row r="1558" spans="1:14" x14ac:dyDescent="0.25">
      <c r="A1558">
        <v>1281.757132</v>
      </c>
      <c r="B1558" s="1">
        <f>DATE(2013,11,2) + TIME(18,10,16)</f>
        <v>41580.75712962963</v>
      </c>
      <c r="C1558">
        <v>1019.7745972</v>
      </c>
      <c r="D1558">
        <v>893.64001465000001</v>
      </c>
      <c r="E1558">
        <v>1992.0153809000001</v>
      </c>
      <c r="F1558">
        <v>1798.0435791</v>
      </c>
      <c r="G1558">
        <v>80</v>
      </c>
      <c r="H1558">
        <v>79.601486206000004</v>
      </c>
      <c r="I1558">
        <v>50</v>
      </c>
      <c r="J1558">
        <v>47.996265411000003</v>
      </c>
      <c r="K1558">
        <v>0</v>
      </c>
      <c r="L1558">
        <v>2400</v>
      </c>
      <c r="M1558">
        <v>2400</v>
      </c>
      <c r="N1558">
        <v>0</v>
      </c>
    </row>
    <row r="1559" spans="1:14" x14ac:dyDescent="0.25">
      <c r="A1559">
        <v>1282.024187</v>
      </c>
      <c r="B1559" s="1">
        <f>DATE(2013,11,3) + TIME(0,34,49)</f>
        <v>41581.024178240739</v>
      </c>
      <c r="C1559">
        <v>1019.5200806</v>
      </c>
      <c r="D1559">
        <v>893.37506103999999</v>
      </c>
      <c r="E1559">
        <v>1989.8326416</v>
      </c>
      <c r="F1559">
        <v>1796.8503418</v>
      </c>
      <c r="G1559">
        <v>80</v>
      </c>
      <c r="H1559">
        <v>79.565986632999994</v>
      </c>
      <c r="I1559">
        <v>50</v>
      </c>
      <c r="J1559">
        <v>48.463821410999998</v>
      </c>
      <c r="K1559">
        <v>0</v>
      </c>
      <c r="L1559">
        <v>2400</v>
      </c>
      <c r="M1559">
        <v>2400</v>
      </c>
      <c r="N1559">
        <v>0</v>
      </c>
    </row>
    <row r="1560" spans="1:14" x14ac:dyDescent="0.25">
      <c r="A1560">
        <v>1282.3039160000001</v>
      </c>
      <c r="B1560" s="1">
        <f>DATE(2013,11,3) + TIME(7,17,38)</f>
        <v>41581.303912037038</v>
      </c>
      <c r="C1560">
        <v>1019.3311157000001</v>
      </c>
      <c r="D1560">
        <v>893.17449951000003</v>
      </c>
      <c r="E1560">
        <v>1988.0001221</v>
      </c>
      <c r="F1560">
        <v>1795.7691649999999</v>
      </c>
      <c r="G1560">
        <v>80</v>
      </c>
      <c r="H1560">
        <v>79.529029846</v>
      </c>
      <c r="I1560">
        <v>50</v>
      </c>
      <c r="J1560">
        <v>48.833549499999997</v>
      </c>
      <c r="K1560">
        <v>0</v>
      </c>
      <c r="L1560">
        <v>2400</v>
      </c>
      <c r="M1560">
        <v>2400</v>
      </c>
      <c r="N1560">
        <v>0</v>
      </c>
    </row>
    <row r="1561" spans="1:14" x14ac:dyDescent="0.25">
      <c r="A1561">
        <v>1282.600909</v>
      </c>
      <c r="B1561" s="1">
        <f>DATE(2013,11,3) + TIME(14,25,18)</f>
        <v>41581.600902777776</v>
      </c>
      <c r="C1561">
        <v>1019.1759644</v>
      </c>
      <c r="D1561">
        <v>893.00689696999996</v>
      </c>
      <c r="E1561">
        <v>1986.4310303</v>
      </c>
      <c r="F1561">
        <v>1794.7637939000001</v>
      </c>
      <c r="G1561">
        <v>80</v>
      </c>
      <c r="H1561">
        <v>79.490196228000002</v>
      </c>
      <c r="I1561">
        <v>50</v>
      </c>
      <c r="J1561">
        <v>49.125232697000001</v>
      </c>
      <c r="K1561">
        <v>0</v>
      </c>
      <c r="L1561">
        <v>2400</v>
      </c>
      <c r="M1561">
        <v>2400</v>
      </c>
      <c r="N1561">
        <v>0</v>
      </c>
    </row>
    <row r="1562" spans="1:14" x14ac:dyDescent="0.25">
      <c r="A1562">
        <v>1282.917827</v>
      </c>
      <c r="B1562" s="1">
        <f>DATE(2013,11,3) + TIME(22,1,40)</f>
        <v>41581.917824074073</v>
      </c>
      <c r="C1562">
        <v>1019.0371094</v>
      </c>
      <c r="D1562">
        <v>892.85485840000001</v>
      </c>
      <c r="E1562">
        <v>1985.0670166</v>
      </c>
      <c r="F1562">
        <v>1793.8107910000001</v>
      </c>
      <c r="G1562">
        <v>80</v>
      </c>
      <c r="H1562">
        <v>79.449226378999995</v>
      </c>
      <c r="I1562">
        <v>50</v>
      </c>
      <c r="J1562">
        <v>49.352458953999999</v>
      </c>
      <c r="K1562">
        <v>0</v>
      </c>
      <c r="L1562">
        <v>2400</v>
      </c>
      <c r="M1562">
        <v>2400</v>
      </c>
      <c r="N1562">
        <v>0</v>
      </c>
    </row>
    <row r="1563" spans="1:14" x14ac:dyDescent="0.25">
      <c r="A1563">
        <v>1283.25749</v>
      </c>
      <c r="B1563" s="1">
        <f>DATE(2013,11,4) + TIME(6,10,47)</f>
        <v>41582.257488425923</v>
      </c>
      <c r="C1563">
        <v>1018.9042969</v>
      </c>
      <c r="D1563">
        <v>892.70794678000004</v>
      </c>
      <c r="E1563">
        <v>1983.8642577999999</v>
      </c>
      <c r="F1563">
        <v>1792.8957519999999</v>
      </c>
      <c r="G1563">
        <v>80</v>
      </c>
      <c r="H1563">
        <v>79.405830382999994</v>
      </c>
      <c r="I1563">
        <v>50</v>
      </c>
      <c r="J1563">
        <v>49.526809692</v>
      </c>
      <c r="K1563">
        <v>0</v>
      </c>
      <c r="L1563">
        <v>2400</v>
      </c>
      <c r="M1563">
        <v>2400</v>
      </c>
      <c r="N1563">
        <v>0</v>
      </c>
    </row>
    <row r="1564" spans="1:14" x14ac:dyDescent="0.25">
      <c r="A1564">
        <v>1283.626287</v>
      </c>
      <c r="B1564" s="1">
        <f>DATE(2013,11,4) + TIME(15,1,51)</f>
        <v>41582.626284722224</v>
      </c>
      <c r="C1564">
        <v>1018.7709961</v>
      </c>
      <c r="D1564">
        <v>892.55926513999998</v>
      </c>
      <c r="E1564">
        <v>1982.7839355000001</v>
      </c>
      <c r="F1564">
        <v>1792.0067139</v>
      </c>
      <c r="G1564">
        <v>80</v>
      </c>
      <c r="H1564">
        <v>79.359436035000002</v>
      </c>
      <c r="I1564">
        <v>50</v>
      </c>
      <c r="J1564">
        <v>49.659122467000003</v>
      </c>
      <c r="K1564">
        <v>0</v>
      </c>
      <c r="L1564">
        <v>2400</v>
      </c>
      <c r="M1564">
        <v>2400</v>
      </c>
      <c r="N1564">
        <v>0</v>
      </c>
    </row>
    <row r="1565" spans="1:14" x14ac:dyDescent="0.25">
      <c r="A1565">
        <v>1284.0320200000001</v>
      </c>
      <c r="B1565" s="1">
        <f>DATE(2013,11,5) + TIME(0,46,6)</f>
        <v>41583.032013888886</v>
      </c>
      <c r="C1565">
        <v>1018.6317749</v>
      </c>
      <c r="D1565">
        <v>892.40338135000002</v>
      </c>
      <c r="E1565">
        <v>1981.7910156</v>
      </c>
      <c r="F1565">
        <v>1791.1281738</v>
      </c>
      <c r="G1565">
        <v>80</v>
      </c>
      <c r="H1565">
        <v>79.309303283999995</v>
      </c>
      <c r="I1565">
        <v>50</v>
      </c>
      <c r="J1565">
        <v>49.757923126000001</v>
      </c>
      <c r="K1565">
        <v>0</v>
      </c>
      <c r="L1565">
        <v>2400</v>
      </c>
      <c r="M1565">
        <v>2400</v>
      </c>
      <c r="N1565">
        <v>0</v>
      </c>
    </row>
    <row r="1566" spans="1:14" x14ac:dyDescent="0.25">
      <c r="A1566">
        <v>1284.4851570000001</v>
      </c>
      <c r="B1566" s="1">
        <f>DATE(2013,11,5) + TIME(11,38,37)</f>
        <v>41583.485150462962</v>
      </c>
      <c r="C1566">
        <v>1018.4821167</v>
      </c>
      <c r="D1566">
        <v>892.23535156000003</v>
      </c>
      <c r="E1566">
        <v>1980.8560791</v>
      </c>
      <c r="F1566">
        <v>1790.2467041</v>
      </c>
      <c r="G1566">
        <v>80</v>
      </c>
      <c r="H1566">
        <v>79.254478454999997</v>
      </c>
      <c r="I1566">
        <v>50</v>
      </c>
      <c r="J1566">
        <v>49.830184936999999</v>
      </c>
      <c r="K1566">
        <v>0</v>
      </c>
      <c r="L1566">
        <v>2400</v>
      </c>
      <c r="M1566">
        <v>2400</v>
      </c>
      <c r="N1566">
        <v>0</v>
      </c>
    </row>
    <row r="1567" spans="1:14" x14ac:dyDescent="0.25">
      <c r="A1567">
        <v>1285.0002959999999</v>
      </c>
      <c r="B1567" s="1">
        <f>DATE(2013,11,6) + TIME(0,0,25)</f>
        <v>41584.000289351854</v>
      </c>
      <c r="C1567">
        <v>1018.3172607</v>
      </c>
      <c r="D1567">
        <v>892.05004883000004</v>
      </c>
      <c r="E1567">
        <v>1979.9527588000001</v>
      </c>
      <c r="F1567">
        <v>1789.3482666</v>
      </c>
      <c r="G1567">
        <v>80</v>
      </c>
      <c r="H1567">
        <v>79.193656920999999</v>
      </c>
      <c r="I1567">
        <v>50</v>
      </c>
      <c r="J1567">
        <v>49.881656647</v>
      </c>
      <c r="K1567">
        <v>0</v>
      </c>
      <c r="L1567">
        <v>2400</v>
      </c>
      <c r="M1567">
        <v>2400</v>
      </c>
      <c r="N1567">
        <v>0</v>
      </c>
    </row>
    <row r="1568" spans="1:14" x14ac:dyDescent="0.25">
      <c r="A1568">
        <v>1285.544169</v>
      </c>
      <c r="B1568" s="1">
        <f>DATE(2013,11,6) + TIME(13,3,36)</f>
        <v>41584.544166666667</v>
      </c>
      <c r="C1568">
        <v>1018.1319580000001</v>
      </c>
      <c r="D1568">
        <v>891.84472656000003</v>
      </c>
      <c r="E1568">
        <v>1979.0623779</v>
      </c>
      <c r="F1568">
        <v>1788.4200439000001</v>
      </c>
      <c r="G1568">
        <v>80</v>
      </c>
      <c r="H1568">
        <v>79.128784179999997</v>
      </c>
      <c r="I1568">
        <v>50</v>
      </c>
      <c r="J1568">
        <v>49.915107726999999</v>
      </c>
      <c r="K1568">
        <v>0</v>
      </c>
      <c r="L1568">
        <v>2400</v>
      </c>
      <c r="M1568">
        <v>2400</v>
      </c>
      <c r="N1568">
        <v>0</v>
      </c>
    </row>
    <row r="1569" spans="1:14" x14ac:dyDescent="0.25">
      <c r="A1569">
        <v>1286.09647</v>
      </c>
      <c r="B1569" s="1">
        <f>DATE(2013,11,7) + TIME(2,18,55)</f>
        <v>41585.09646990741</v>
      </c>
      <c r="C1569">
        <v>1017.9365845</v>
      </c>
      <c r="D1569">
        <v>891.62902831999997</v>
      </c>
      <c r="E1569">
        <v>1978.2298584</v>
      </c>
      <c r="F1569">
        <v>1787.5284423999999</v>
      </c>
      <c r="G1569">
        <v>80</v>
      </c>
      <c r="H1569">
        <v>79.061683654999996</v>
      </c>
      <c r="I1569">
        <v>50</v>
      </c>
      <c r="J1569">
        <v>49.935974121000001</v>
      </c>
      <c r="K1569">
        <v>0</v>
      </c>
      <c r="L1569">
        <v>2400</v>
      </c>
      <c r="M1569">
        <v>2400</v>
      </c>
      <c r="N1569">
        <v>0</v>
      </c>
    </row>
    <row r="1570" spans="1:14" x14ac:dyDescent="0.25">
      <c r="A1570">
        <v>1286.667614</v>
      </c>
      <c r="B1570" s="1">
        <f>DATE(2013,11,7) + TIME(16,1,21)</f>
        <v>41585.667604166665</v>
      </c>
      <c r="C1570">
        <v>1017.7384644</v>
      </c>
      <c r="D1570">
        <v>891.40869140999996</v>
      </c>
      <c r="E1570">
        <v>1977.4681396000001</v>
      </c>
      <c r="F1570">
        <v>1786.7009277</v>
      </c>
      <c r="G1570">
        <v>80</v>
      </c>
      <c r="H1570">
        <v>78.992286682</v>
      </c>
      <c r="I1570">
        <v>50</v>
      </c>
      <c r="J1570">
        <v>49.949131012000002</v>
      </c>
      <c r="K1570">
        <v>0</v>
      </c>
      <c r="L1570">
        <v>2400</v>
      </c>
      <c r="M1570">
        <v>2400</v>
      </c>
      <c r="N1570">
        <v>0</v>
      </c>
    </row>
    <row r="1571" spans="1:14" x14ac:dyDescent="0.25">
      <c r="A1571">
        <v>1287.2674159999999</v>
      </c>
      <c r="B1571" s="1">
        <f>DATE(2013,11,8) + TIME(6,25,4)</f>
        <v>41586.267407407409</v>
      </c>
      <c r="C1571">
        <v>1017.5346069</v>
      </c>
      <c r="D1571">
        <v>891.18115234000004</v>
      </c>
      <c r="E1571">
        <v>1976.7514647999999</v>
      </c>
      <c r="F1571">
        <v>1785.9152832</v>
      </c>
      <c r="G1571">
        <v>80</v>
      </c>
      <c r="H1571">
        <v>78.920112610000004</v>
      </c>
      <c r="I1571">
        <v>50</v>
      </c>
      <c r="J1571">
        <v>49.957458496000001</v>
      </c>
      <c r="K1571">
        <v>0</v>
      </c>
      <c r="L1571">
        <v>2400</v>
      </c>
      <c r="M1571">
        <v>2400</v>
      </c>
      <c r="N1571">
        <v>0</v>
      </c>
    </row>
    <row r="1572" spans="1:14" x14ac:dyDescent="0.25">
      <c r="A1572">
        <v>1287.906665</v>
      </c>
      <c r="B1572" s="1">
        <f>DATE(2013,11,8) + TIME(21,45,35)</f>
        <v>41586.906655092593</v>
      </c>
      <c r="C1572">
        <v>1017.3215942</v>
      </c>
      <c r="D1572">
        <v>890.94281006000006</v>
      </c>
      <c r="E1572">
        <v>1976.0616454999999</v>
      </c>
      <c r="F1572">
        <v>1785.1555175999999</v>
      </c>
      <c r="G1572">
        <v>80</v>
      </c>
      <c r="H1572">
        <v>78.844383239999999</v>
      </c>
      <c r="I1572">
        <v>50</v>
      </c>
      <c r="J1572">
        <v>49.962726592999999</v>
      </c>
      <c r="K1572">
        <v>0</v>
      </c>
      <c r="L1572">
        <v>2400</v>
      </c>
      <c r="M1572">
        <v>2400</v>
      </c>
      <c r="N1572">
        <v>0</v>
      </c>
    </row>
    <row r="1573" spans="1:14" x14ac:dyDescent="0.25">
      <c r="A1573">
        <v>1288.598166</v>
      </c>
      <c r="B1573" s="1">
        <f>DATE(2013,11,9) + TIME(14,21,21)</f>
        <v>41587.59815972222</v>
      </c>
      <c r="C1573">
        <v>1017.0955811</v>
      </c>
      <c r="D1573">
        <v>890.68963623000002</v>
      </c>
      <c r="E1573">
        <v>1975.3846435999999</v>
      </c>
      <c r="F1573">
        <v>1784.4084473</v>
      </c>
      <c r="G1573">
        <v>80</v>
      </c>
      <c r="H1573">
        <v>78.764030457000004</v>
      </c>
      <c r="I1573">
        <v>50</v>
      </c>
      <c r="J1573">
        <v>49.966053008999999</v>
      </c>
      <c r="K1573">
        <v>0</v>
      </c>
      <c r="L1573">
        <v>2400</v>
      </c>
      <c r="M1573">
        <v>2400</v>
      </c>
      <c r="N1573">
        <v>0</v>
      </c>
    </row>
    <row r="1574" spans="1:14" x14ac:dyDescent="0.25">
      <c r="A1574">
        <v>1289.3540089999999</v>
      </c>
      <c r="B1574" s="1">
        <f>DATE(2013,11,10) + TIME(8,29,46)</f>
        <v>41588.354004629633</v>
      </c>
      <c r="C1574">
        <v>1016.8519897</v>
      </c>
      <c r="D1574">
        <v>890.41687012</v>
      </c>
      <c r="E1574">
        <v>1974.7084961</v>
      </c>
      <c r="F1574">
        <v>1783.6624756000001</v>
      </c>
      <c r="G1574">
        <v>80</v>
      </c>
      <c r="H1574">
        <v>78.677917480000005</v>
      </c>
      <c r="I1574">
        <v>50</v>
      </c>
      <c r="J1574">
        <v>49.968139647999998</v>
      </c>
      <c r="K1574">
        <v>0</v>
      </c>
      <c r="L1574">
        <v>2400</v>
      </c>
      <c r="M1574">
        <v>2400</v>
      </c>
      <c r="N1574">
        <v>0</v>
      </c>
    </row>
    <row r="1575" spans="1:14" x14ac:dyDescent="0.25">
      <c r="A1575">
        <v>1290.1766259999999</v>
      </c>
      <c r="B1575" s="1">
        <f>DATE(2013,11,11) + TIME(4,14,20)</f>
        <v>41589.176620370374</v>
      </c>
      <c r="C1575">
        <v>1016.5865479</v>
      </c>
      <c r="D1575">
        <v>890.12030029000005</v>
      </c>
      <c r="E1575">
        <v>1974.0253906</v>
      </c>
      <c r="F1575">
        <v>1782.9105225000001</v>
      </c>
      <c r="G1575">
        <v>80</v>
      </c>
      <c r="H1575">
        <v>78.585380553999997</v>
      </c>
      <c r="I1575">
        <v>50</v>
      </c>
      <c r="J1575">
        <v>49.969432830999999</v>
      </c>
      <c r="K1575">
        <v>0</v>
      </c>
      <c r="L1575">
        <v>2400</v>
      </c>
      <c r="M1575">
        <v>2400</v>
      </c>
      <c r="N1575">
        <v>0</v>
      </c>
    </row>
    <row r="1576" spans="1:14" x14ac:dyDescent="0.25">
      <c r="A1576">
        <v>1291.0497720000001</v>
      </c>
      <c r="B1576" s="1">
        <f>DATE(2013,11,12) + TIME(1,11,40)</f>
        <v>41590.049768518518</v>
      </c>
      <c r="C1576">
        <v>1016.2980347</v>
      </c>
      <c r="D1576">
        <v>889.79937743999994</v>
      </c>
      <c r="E1576">
        <v>1973.3381348</v>
      </c>
      <c r="F1576">
        <v>1782.15625</v>
      </c>
      <c r="G1576">
        <v>80</v>
      </c>
      <c r="H1576">
        <v>78.486953735</v>
      </c>
      <c r="I1576">
        <v>50</v>
      </c>
      <c r="J1576">
        <v>49.970218658</v>
      </c>
      <c r="K1576">
        <v>0</v>
      </c>
      <c r="L1576">
        <v>2400</v>
      </c>
      <c r="M1576">
        <v>2400</v>
      </c>
      <c r="N1576">
        <v>0</v>
      </c>
    </row>
    <row r="1577" spans="1:14" x14ac:dyDescent="0.25">
      <c r="A1577">
        <v>1291.9311520000001</v>
      </c>
      <c r="B1577" s="1">
        <f>DATE(2013,11,12) + TIME(22,20,51)</f>
        <v>41590.931145833332</v>
      </c>
      <c r="C1577">
        <v>1015.9918823</v>
      </c>
      <c r="D1577">
        <v>889.46057128999996</v>
      </c>
      <c r="E1577">
        <v>1972.6633300999999</v>
      </c>
      <c r="F1577">
        <v>1781.4185791</v>
      </c>
      <c r="G1577">
        <v>80</v>
      </c>
      <c r="H1577">
        <v>78.385307311999995</v>
      </c>
      <c r="I1577">
        <v>50</v>
      </c>
      <c r="J1577">
        <v>49.970691680999998</v>
      </c>
      <c r="K1577">
        <v>0</v>
      </c>
      <c r="L1577">
        <v>2400</v>
      </c>
      <c r="M1577">
        <v>2400</v>
      </c>
      <c r="N1577">
        <v>0</v>
      </c>
    </row>
    <row r="1578" spans="1:14" x14ac:dyDescent="0.25">
      <c r="A1578">
        <v>1292.836223</v>
      </c>
      <c r="B1578" s="1">
        <f>DATE(2013,11,13) + TIME(20,4,9)</f>
        <v>41591.836215277777</v>
      </c>
      <c r="C1578">
        <v>1015.6828613</v>
      </c>
      <c r="D1578">
        <v>889.11633300999995</v>
      </c>
      <c r="E1578">
        <v>1972.0308838000001</v>
      </c>
      <c r="F1578">
        <v>1780.7303466999999</v>
      </c>
      <c r="G1578">
        <v>80</v>
      </c>
      <c r="H1578">
        <v>78.281166076999995</v>
      </c>
      <c r="I1578">
        <v>50</v>
      </c>
      <c r="J1578">
        <v>49.970993042000003</v>
      </c>
      <c r="K1578">
        <v>0</v>
      </c>
      <c r="L1578">
        <v>2400</v>
      </c>
      <c r="M1578">
        <v>2400</v>
      </c>
      <c r="N1578">
        <v>0</v>
      </c>
    </row>
    <row r="1579" spans="1:14" x14ac:dyDescent="0.25">
      <c r="A1579">
        <v>1293.7800709999999</v>
      </c>
      <c r="B1579" s="1">
        <f>DATE(2013,11,14) + TIME(18,43,18)</f>
        <v>41592.780069444445</v>
      </c>
      <c r="C1579">
        <v>1015.3661499</v>
      </c>
      <c r="D1579">
        <v>888.76257324000005</v>
      </c>
      <c r="E1579">
        <v>1971.4251709</v>
      </c>
      <c r="F1579">
        <v>1780.0739745999999</v>
      </c>
      <c r="G1579">
        <v>80</v>
      </c>
      <c r="H1579">
        <v>78.174011230000005</v>
      </c>
      <c r="I1579">
        <v>50</v>
      </c>
      <c r="J1579">
        <v>49.971195221000002</v>
      </c>
      <c r="K1579">
        <v>0</v>
      </c>
      <c r="L1579">
        <v>2400</v>
      </c>
      <c r="M1579">
        <v>2400</v>
      </c>
      <c r="N1579">
        <v>0</v>
      </c>
    </row>
    <row r="1580" spans="1:14" x14ac:dyDescent="0.25">
      <c r="A1580">
        <v>1294.7791050000001</v>
      </c>
      <c r="B1580" s="1">
        <f>DATE(2013,11,15) + TIME(18,41,54)</f>
        <v>41593.779097222221</v>
      </c>
      <c r="C1580">
        <v>1015.036438</v>
      </c>
      <c r="D1580">
        <v>888.39379883000004</v>
      </c>
      <c r="E1580">
        <v>1970.8339844</v>
      </c>
      <c r="F1580">
        <v>1779.4360352000001</v>
      </c>
      <c r="G1580">
        <v>80</v>
      </c>
      <c r="H1580">
        <v>78.062683105000005</v>
      </c>
      <c r="I1580">
        <v>50</v>
      </c>
      <c r="J1580">
        <v>49.971336364999999</v>
      </c>
      <c r="K1580">
        <v>0</v>
      </c>
      <c r="L1580">
        <v>2400</v>
      </c>
      <c r="M1580">
        <v>2400</v>
      </c>
      <c r="N1580">
        <v>0</v>
      </c>
    </row>
    <row r="1581" spans="1:14" x14ac:dyDescent="0.25">
      <c r="A1581">
        <v>1295.8526870000001</v>
      </c>
      <c r="B1581" s="1">
        <f>DATE(2013,11,16) + TIME(20,27,52)</f>
        <v>41594.852685185186</v>
      </c>
      <c r="C1581">
        <v>1014.6876831</v>
      </c>
      <c r="D1581">
        <v>888.00354003999996</v>
      </c>
      <c r="E1581">
        <v>1970.2474365</v>
      </c>
      <c r="F1581">
        <v>1778.8054199000001</v>
      </c>
      <c r="G1581">
        <v>80</v>
      </c>
      <c r="H1581">
        <v>77.945594787999994</v>
      </c>
      <c r="I1581">
        <v>50</v>
      </c>
      <c r="J1581">
        <v>49.971443176000001</v>
      </c>
      <c r="K1581">
        <v>0</v>
      </c>
      <c r="L1581">
        <v>2400</v>
      </c>
      <c r="M1581">
        <v>2400</v>
      </c>
      <c r="N1581">
        <v>0</v>
      </c>
    </row>
    <row r="1582" spans="1:14" x14ac:dyDescent="0.25">
      <c r="A1582">
        <v>1297.025486</v>
      </c>
      <c r="B1582" s="1">
        <f>DATE(2013,11,18) + TIME(0,36,41)</f>
        <v>41596.02547453704</v>
      </c>
      <c r="C1582">
        <v>1014.3130493</v>
      </c>
      <c r="D1582">
        <v>887.58404541000004</v>
      </c>
      <c r="E1582">
        <v>1969.6557617000001</v>
      </c>
      <c r="F1582">
        <v>1778.1722411999999</v>
      </c>
      <c r="G1582">
        <v>80</v>
      </c>
      <c r="H1582">
        <v>77.820709229000002</v>
      </c>
      <c r="I1582">
        <v>50</v>
      </c>
      <c r="J1582">
        <v>49.971527100000003</v>
      </c>
      <c r="K1582">
        <v>0</v>
      </c>
      <c r="L1582">
        <v>2400</v>
      </c>
      <c r="M1582">
        <v>2400</v>
      </c>
      <c r="N1582">
        <v>0</v>
      </c>
    </row>
    <row r="1583" spans="1:14" x14ac:dyDescent="0.25">
      <c r="A1583">
        <v>1298.2576180000001</v>
      </c>
      <c r="B1583" s="1">
        <f>DATE(2013,11,19) + TIME(6,10,58)</f>
        <v>41597.257615740738</v>
      </c>
      <c r="C1583">
        <v>1013.9031371999999</v>
      </c>
      <c r="D1583">
        <v>887.12774658000001</v>
      </c>
      <c r="E1583">
        <v>1969.0496826000001</v>
      </c>
      <c r="F1583">
        <v>1777.526001</v>
      </c>
      <c r="G1583">
        <v>80</v>
      </c>
      <c r="H1583">
        <v>77.688423157000003</v>
      </c>
      <c r="I1583">
        <v>50</v>
      </c>
      <c r="J1583">
        <v>49.971595764</v>
      </c>
      <c r="K1583">
        <v>0</v>
      </c>
      <c r="L1583">
        <v>2400</v>
      </c>
      <c r="M1583">
        <v>2400</v>
      </c>
      <c r="N1583">
        <v>0</v>
      </c>
    </row>
    <row r="1584" spans="1:14" x14ac:dyDescent="0.25">
      <c r="A1584">
        <v>1299.5025330000001</v>
      </c>
      <c r="B1584" s="1">
        <f>DATE(2013,11,20) + TIME(12,3,38)</f>
        <v>41598.502523148149</v>
      </c>
      <c r="C1584">
        <v>1013.4710693</v>
      </c>
      <c r="D1584">
        <v>886.64782715000001</v>
      </c>
      <c r="E1584">
        <v>1968.4523925999999</v>
      </c>
      <c r="F1584">
        <v>1776.8919678</v>
      </c>
      <c r="G1584">
        <v>80</v>
      </c>
      <c r="H1584">
        <v>77.551811217999997</v>
      </c>
      <c r="I1584">
        <v>50</v>
      </c>
      <c r="J1584">
        <v>49.971652984999999</v>
      </c>
      <c r="K1584">
        <v>0</v>
      </c>
      <c r="L1584">
        <v>2400</v>
      </c>
      <c r="M1584">
        <v>2400</v>
      </c>
      <c r="N1584">
        <v>0</v>
      </c>
    </row>
    <row r="1585" spans="1:14" x14ac:dyDescent="0.25">
      <c r="A1585">
        <v>1300.781872</v>
      </c>
      <c r="B1585" s="1">
        <f>DATE(2013,11,21) + TIME(18,45,53)</f>
        <v>41599.781863425924</v>
      </c>
      <c r="C1585">
        <v>1013.0333862</v>
      </c>
      <c r="D1585">
        <v>886.15899658000001</v>
      </c>
      <c r="E1585">
        <v>1967.8848877</v>
      </c>
      <c r="F1585">
        <v>1776.2921143000001</v>
      </c>
      <c r="G1585">
        <v>80</v>
      </c>
      <c r="H1585">
        <v>77.412284850999995</v>
      </c>
      <c r="I1585">
        <v>50</v>
      </c>
      <c r="J1585">
        <v>49.971702575999998</v>
      </c>
      <c r="K1585">
        <v>0</v>
      </c>
      <c r="L1585">
        <v>2400</v>
      </c>
      <c r="M1585">
        <v>2400</v>
      </c>
      <c r="N1585">
        <v>0</v>
      </c>
    </row>
    <row r="1586" spans="1:14" x14ac:dyDescent="0.25">
      <c r="A1586">
        <v>1302.117281</v>
      </c>
      <c r="B1586" s="1">
        <f>DATE(2013,11,23) + TIME(2,48,53)</f>
        <v>41601.117280092592</v>
      </c>
      <c r="C1586">
        <v>1012.5828857</v>
      </c>
      <c r="D1586">
        <v>885.65460204999999</v>
      </c>
      <c r="E1586">
        <v>1967.3349608999999</v>
      </c>
      <c r="F1586">
        <v>1775.7128906</v>
      </c>
      <c r="G1586">
        <v>80</v>
      </c>
      <c r="H1586">
        <v>77.269050598000007</v>
      </c>
      <c r="I1586">
        <v>50</v>
      </c>
      <c r="J1586">
        <v>49.971752166999998</v>
      </c>
      <c r="K1586">
        <v>0</v>
      </c>
      <c r="L1586">
        <v>2400</v>
      </c>
      <c r="M1586">
        <v>2400</v>
      </c>
      <c r="N1586">
        <v>0</v>
      </c>
    </row>
    <row r="1587" spans="1:14" x14ac:dyDescent="0.25">
      <c r="A1587">
        <v>1303.533144</v>
      </c>
      <c r="B1587" s="1">
        <f>DATE(2013,11,24) + TIME(12,47,43)</f>
        <v>41602.533136574071</v>
      </c>
      <c r="C1587">
        <v>1012.1113892</v>
      </c>
      <c r="D1587">
        <v>885.12597656000003</v>
      </c>
      <c r="E1587">
        <v>1966.7924805</v>
      </c>
      <c r="F1587">
        <v>1775.1436768000001</v>
      </c>
      <c r="G1587">
        <v>80</v>
      </c>
      <c r="H1587">
        <v>77.120323181000003</v>
      </c>
      <c r="I1587">
        <v>50</v>
      </c>
      <c r="J1587">
        <v>49.971801757999998</v>
      </c>
      <c r="K1587">
        <v>0</v>
      </c>
      <c r="L1587">
        <v>2400</v>
      </c>
      <c r="M1587">
        <v>2400</v>
      </c>
      <c r="N1587">
        <v>0</v>
      </c>
    </row>
    <row r="1588" spans="1:14" x14ac:dyDescent="0.25">
      <c r="A1588">
        <v>1305.0489600000001</v>
      </c>
      <c r="B1588" s="1">
        <f>DATE(2013,11,26) + TIME(1,10,30)</f>
        <v>41604.048958333333</v>
      </c>
      <c r="C1588">
        <v>1011.6095581</v>
      </c>
      <c r="D1588">
        <v>884.56317138999998</v>
      </c>
      <c r="E1588">
        <v>1966.2484131000001</v>
      </c>
      <c r="F1588">
        <v>1774.574707</v>
      </c>
      <c r="G1588">
        <v>80</v>
      </c>
      <c r="H1588">
        <v>76.964065551999994</v>
      </c>
      <c r="I1588">
        <v>50</v>
      </c>
      <c r="J1588">
        <v>49.971851348999998</v>
      </c>
      <c r="K1588">
        <v>0</v>
      </c>
      <c r="L1588">
        <v>2400</v>
      </c>
      <c r="M1588">
        <v>2400</v>
      </c>
      <c r="N1588">
        <v>0</v>
      </c>
    </row>
    <row r="1589" spans="1:14" x14ac:dyDescent="0.25">
      <c r="A1589">
        <v>1306.681413</v>
      </c>
      <c r="B1589" s="1">
        <f>DATE(2013,11,27) + TIME(16,21,14)</f>
        <v>41605.68141203704</v>
      </c>
      <c r="C1589">
        <v>1011.0696411</v>
      </c>
      <c r="D1589">
        <v>883.95727538999995</v>
      </c>
      <c r="E1589">
        <v>1965.6971435999999</v>
      </c>
      <c r="F1589">
        <v>1774.0003661999999</v>
      </c>
      <c r="G1589">
        <v>80</v>
      </c>
      <c r="H1589">
        <v>76.798377990999995</v>
      </c>
      <c r="I1589">
        <v>50</v>
      </c>
      <c r="J1589">
        <v>49.971900939999998</v>
      </c>
      <c r="K1589">
        <v>0</v>
      </c>
      <c r="L1589">
        <v>2400</v>
      </c>
      <c r="M1589">
        <v>2400</v>
      </c>
      <c r="N1589">
        <v>0</v>
      </c>
    </row>
    <row r="1590" spans="1:14" x14ac:dyDescent="0.25">
      <c r="A1590">
        <v>1308.318094</v>
      </c>
      <c r="B1590" s="1">
        <f>DATE(2013,11,29) + TIME(7,38,3)</f>
        <v>41607.318090277775</v>
      </c>
      <c r="C1590">
        <v>1010.4837646</v>
      </c>
      <c r="D1590">
        <v>883.30346680000002</v>
      </c>
      <c r="E1590">
        <v>1965.1357422000001</v>
      </c>
      <c r="F1590">
        <v>1773.4172363</v>
      </c>
      <c r="G1590">
        <v>80</v>
      </c>
      <c r="H1590">
        <v>76.625907897999994</v>
      </c>
      <c r="I1590">
        <v>50</v>
      </c>
      <c r="J1590">
        <v>49.971946715999998</v>
      </c>
      <c r="K1590">
        <v>0</v>
      </c>
      <c r="L1590">
        <v>2400</v>
      </c>
      <c r="M1590">
        <v>2400</v>
      </c>
      <c r="N1590">
        <v>0</v>
      </c>
    </row>
    <row r="1591" spans="1:14" x14ac:dyDescent="0.25">
      <c r="A1591">
        <v>1310</v>
      </c>
      <c r="B1591" s="1">
        <f>DATE(2013,12,1) + TIME(0,0,0)</f>
        <v>41609</v>
      </c>
      <c r="C1591">
        <v>1009.8917847</v>
      </c>
      <c r="D1591">
        <v>882.63793944999998</v>
      </c>
      <c r="E1591">
        <v>1964.6021728999999</v>
      </c>
      <c r="F1591">
        <v>1772.8651123</v>
      </c>
      <c r="G1591">
        <v>80</v>
      </c>
      <c r="H1591">
        <v>76.450119018999999</v>
      </c>
      <c r="I1591">
        <v>50</v>
      </c>
      <c r="J1591">
        <v>49.971996306999998</v>
      </c>
      <c r="K1591">
        <v>0</v>
      </c>
      <c r="L1591">
        <v>2400</v>
      </c>
      <c r="M1591">
        <v>2400</v>
      </c>
      <c r="N1591">
        <v>0</v>
      </c>
    </row>
    <row r="1592" spans="1:14" x14ac:dyDescent="0.25">
      <c r="A1592">
        <v>1311.6673229999999</v>
      </c>
      <c r="B1592" s="1">
        <f>DATE(2013,12,2) + TIME(16,0,56)</f>
        <v>41610.667314814818</v>
      </c>
      <c r="C1592">
        <v>1009.2785034</v>
      </c>
      <c r="D1592">
        <v>881.94934081999997</v>
      </c>
      <c r="E1592">
        <v>1964.0817870999999</v>
      </c>
      <c r="F1592">
        <v>1772.328125</v>
      </c>
      <c r="G1592">
        <v>80</v>
      </c>
      <c r="H1592">
        <v>76.27281189</v>
      </c>
      <c r="I1592">
        <v>50</v>
      </c>
      <c r="J1592">
        <v>49.972042084000002</v>
      </c>
      <c r="K1592">
        <v>0</v>
      </c>
      <c r="L1592">
        <v>2400</v>
      </c>
      <c r="M1592">
        <v>2400</v>
      </c>
      <c r="N1592">
        <v>0</v>
      </c>
    </row>
    <row r="1593" spans="1:14" x14ac:dyDescent="0.25">
      <c r="A1593">
        <v>1313.4802709999999</v>
      </c>
      <c r="B1593" s="1">
        <f>DATE(2013,12,4) + TIME(11,31,35)</f>
        <v>41612.480266203704</v>
      </c>
      <c r="C1593">
        <v>1008.6659546</v>
      </c>
      <c r="D1593">
        <v>881.25323486000002</v>
      </c>
      <c r="E1593">
        <v>1963.5899658000001</v>
      </c>
      <c r="F1593">
        <v>1771.8221435999999</v>
      </c>
      <c r="G1593">
        <v>80</v>
      </c>
      <c r="H1593">
        <v>76.091156006000006</v>
      </c>
      <c r="I1593">
        <v>50</v>
      </c>
      <c r="J1593">
        <v>49.972095490000001</v>
      </c>
      <c r="K1593">
        <v>0</v>
      </c>
      <c r="L1593">
        <v>2400</v>
      </c>
      <c r="M1593">
        <v>2400</v>
      </c>
      <c r="N1593">
        <v>0</v>
      </c>
    </row>
    <row r="1594" spans="1:14" x14ac:dyDescent="0.25">
      <c r="A1594">
        <v>1315.4105870000001</v>
      </c>
      <c r="B1594" s="1">
        <f>DATE(2013,12,6) + TIME(9,51,14)</f>
        <v>41614.410578703704</v>
      </c>
      <c r="C1594">
        <v>1007.9938354</v>
      </c>
      <c r="D1594">
        <v>880.49237060999997</v>
      </c>
      <c r="E1594">
        <v>1963.0805664</v>
      </c>
      <c r="F1594">
        <v>1771.2995605000001</v>
      </c>
      <c r="G1594">
        <v>80</v>
      </c>
      <c r="H1594">
        <v>75.899459839000002</v>
      </c>
      <c r="I1594">
        <v>50</v>
      </c>
      <c r="J1594">
        <v>49.972148894999997</v>
      </c>
      <c r="K1594">
        <v>0</v>
      </c>
      <c r="L1594">
        <v>2400</v>
      </c>
      <c r="M1594">
        <v>2400</v>
      </c>
      <c r="N1594">
        <v>0</v>
      </c>
    </row>
    <row r="1595" spans="1:14" x14ac:dyDescent="0.25">
      <c r="A1595">
        <v>1317.47749</v>
      </c>
      <c r="B1595" s="1">
        <f>DATE(2013,12,8) + TIME(11,27,35)</f>
        <v>41616.477488425924</v>
      </c>
      <c r="C1595">
        <v>1007.2695923</v>
      </c>
      <c r="D1595">
        <v>879.67010498000002</v>
      </c>
      <c r="E1595">
        <v>1962.5634766000001</v>
      </c>
      <c r="F1595">
        <v>1770.7703856999999</v>
      </c>
      <c r="G1595">
        <v>80</v>
      </c>
      <c r="H1595">
        <v>75.696197510000005</v>
      </c>
      <c r="I1595">
        <v>50</v>
      </c>
      <c r="J1595">
        <v>49.972202301000003</v>
      </c>
      <c r="K1595">
        <v>0</v>
      </c>
      <c r="L1595">
        <v>2400</v>
      </c>
      <c r="M1595">
        <v>2400</v>
      </c>
      <c r="N1595">
        <v>0</v>
      </c>
    </row>
    <row r="1596" spans="1:14" x14ac:dyDescent="0.25">
      <c r="A1596">
        <v>1319.5546730000001</v>
      </c>
      <c r="B1596" s="1">
        <f>DATE(2013,12,10) + TIME(13,18,43)</f>
        <v>41618.554664351854</v>
      </c>
      <c r="C1596">
        <v>1006.4830322</v>
      </c>
      <c r="D1596">
        <v>878.77838135000002</v>
      </c>
      <c r="E1596">
        <v>1962.0358887</v>
      </c>
      <c r="F1596">
        <v>1770.2319336</v>
      </c>
      <c r="G1596">
        <v>80</v>
      </c>
      <c r="H1596">
        <v>75.483612061000002</v>
      </c>
      <c r="I1596">
        <v>50</v>
      </c>
      <c r="J1596">
        <v>49.972255707000002</v>
      </c>
      <c r="K1596">
        <v>0</v>
      </c>
      <c r="L1596">
        <v>2400</v>
      </c>
      <c r="M1596">
        <v>2400</v>
      </c>
      <c r="N1596">
        <v>0</v>
      </c>
    </row>
    <row r="1597" spans="1:14" x14ac:dyDescent="0.25">
      <c r="A1597">
        <v>1321.675152</v>
      </c>
      <c r="B1597" s="1">
        <f>DATE(2013,12,12) + TIME(16,12,13)</f>
        <v>41620.675150462965</v>
      </c>
      <c r="C1597">
        <v>1005.6805419999999</v>
      </c>
      <c r="D1597">
        <v>877.86126708999996</v>
      </c>
      <c r="E1597">
        <v>1961.5294189000001</v>
      </c>
      <c r="F1597">
        <v>1769.7164307</v>
      </c>
      <c r="G1597">
        <v>80</v>
      </c>
      <c r="H1597">
        <v>75.266906738000003</v>
      </c>
      <c r="I1597">
        <v>50</v>
      </c>
      <c r="J1597">
        <v>49.972312926999997</v>
      </c>
      <c r="K1597">
        <v>0</v>
      </c>
      <c r="L1597">
        <v>2400</v>
      </c>
      <c r="M1597">
        <v>2400</v>
      </c>
      <c r="N1597">
        <v>0</v>
      </c>
    </row>
    <row r="1598" spans="1:14" x14ac:dyDescent="0.25">
      <c r="A1598">
        <v>1323.873824</v>
      </c>
      <c r="B1598" s="1">
        <f>DATE(2013,12,14) + TIME(20,58,18)</f>
        <v>41622.873819444445</v>
      </c>
      <c r="C1598">
        <v>1004.8488159</v>
      </c>
      <c r="D1598">
        <v>876.90539550999995</v>
      </c>
      <c r="E1598">
        <v>1961.0351562000001</v>
      </c>
      <c r="F1598">
        <v>1769.2144774999999</v>
      </c>
      <c r="G1598">
        <v>80</v>
      </c>
      <c r="H1598">
        <v>75.045051575000002</v>
      </c>
      <c r="I1598">
        <v>50</v>
      </c>
      <c r="J1598">
        <v>49.972366332999997</v>
      </c>
      <c r="K1598">
        <v>0</v>
      </c>
      <c r="L1598">
        <v>2400</v>
      </c>
      <c r="M1598">
        <v>2400</v>
      </c>
      <c r="N1598">
        <v>0</v>
      </c>
    </row>
    <row r="1599" spans="1:14" x14ac:dyDescent="0.25">
      <c r="A1599">
        <v>1326.188052</v>
      </c>
      <c r="B1599" s="1">
        <f>DATE(2013,12,17) + TIME(4,30,47)</f>
        <v>41625.188043981485</v>
      </c>
      <c r="C1599">
        <v>1003.9719238</v>
      </c>
      <c r="D1599">
        <v>875.89245604999996</v>
      </c>
      <c r="E1599">
        <v>1960.5445557</v>
      </c>
      <c r="F1599">
        <v>1768.7172852000001</v>
      </c>
      <c r="G1599">
        <v>80</v>
      </c>
      <c r="H1599">
        <v>74.814765929999993</v>
      </c>
      <c r="I1599">
        <v>50</v>
      </c>
      <c r="J1599">
        <v>49.972427367999998</v>
      </c>
      <c r="K1599">
        <v>0</v>
      </c>
      <c r="L1599">
        <v>2400</v>
      </c>
      <c r="M1599">
        <v>2400</v>
      </c>
      <c r="N1599">
        <v>0</v>
      </c>
    </row>
    <row r="1600" spans="1:14" x14ac:dyDescent="0.25">
      <c r="A1600">
        <v>1328.6452979999999</v>
      </c>
      <c r="B1600" s="1">
        <f>DATE(2013,12,19) + TIME(15,29,13)</f>
        <v>41627.645289351851</v>
      </c>
      <c r="C1600">
        <v>1003.0317383</v>
      </c>
      <c r="D1600">
        <v>874.80096435999997</v>
      </c>
      <c r="E1600">
        <v>1960.0496826000001</v>
      </c>
      <c r="F1600">
        <v>1768.2169189000001</v>
      </c>
      <c r="G1600">
        <v>80</v>
      </c>
      <c r="H1600">
        <v>74.572517395000006</v>
      </c>
      <c r="I1600">
        <v>50</v>
      </c>
      <c r="J1600">
        <v>49.972488403</v>
      </c>
      <c r="K1600">
        <v>0</v>
      </c>
      <c r="L1600">
        <v>2400</v>
      </c>
      <c r="M1600">
        <v>2400</v>
      </c>
      <c r="N1600">
        <v>0</v>
      </c>
    </row>
    <row r="1601" spans="1:14" x14ac:dyDescent="0.25">
      <c r="A1601">
        <v>1331.1560910000001</v>
      </c>
      <c r="B1601" s="1">
        <f>DATE(2013,12,22) + TIME(3,44,46)</f>
        <v>41630.156087962961</v>
      </c>
      <c r="C1601">
        <v>1002.012146</v>
      </c>
      <c r="D1601">
        <v>873.61370850000003</v>
      </c>
      <c r="E1601">
        <v>1959.5461425999999</v>
      </c>
      <c r="F1601">
        <v>1767.7087402</v>
      </c>
      <c r="G1601">
        <v>80</v>
      </c>
      <c r="H1601">
        <v>74.317871093999997</v>
      </c>
      <c r="I1601">
        <v>50</v>
      </c>
      <c r="J1601">
        <v>49.972549438000001</v>
      </c>
      <c r="K1601">
        <v>0</v>
      </c>
      <c r="L1601">
        <v>2400</v>
      </c>
      <c r="M1601">
        <v>2400</v>
      </c>
      <c r="N1601">
        <v>0</v>
      </c>
    </row>
    <row r="1602" spans="1:14" x14ac:dyDescent="0.25">
      <c r="A1602">
        <v>1333.703743</v>
      </c>
      <c r="B1602" s="1">
        <f>DATE(2013,12,24) + TIME(16,53,23)</f>
        <v>41632.703738425924</v>
      </c>
      <c r="C1602">
        <v>1000.9459839</v>
      </c>
      <c r="D1602">
        <v>872.36254883000004</v>
      </c>
      <c r="E1602">
        <v>1959.0523682</v>
      </c>
      <c r="F1602">
        <v>1767.2113036999999</v>
      </c>
      <c r="G1602">
        <v>80</v>
      </c>
      <c r="H1602">
        <v>74.055274963000002</v>
      </c>
      <c r="I1602">
        <v>50</v>
      </c>
      <c r="J1602">
        <v>49.972610474</v>
      </c>
      <c r="K1602">
        <v>0</v>
      </c>
      <c r="L1602">
        <v>2400</v>
      </c>
      <c r="M1602">
        <v>2400</v>
      </c>
      <c r="N1602">
        <v>0</v>
      </c>
    </row>
    <row r="1603" spans="1:14" x14ac:dyDescent="0.25">
      <c r="A1603">
        <v>1336.3270030000001</v>
      </c>
      <c r="B1603" s="1">
        <f>DATE(2013,12,27) + TIME(7,50,53)</f>
        <v>41635.327002314814</v>
      </c>
      <c r="C1603">
        <v>999.83825683999999</v>
      </c>
      <c r="D1603">
        <v>871.05102538999995</v>
      </c>
      <c r="E1603">
        <v>1958.5709228999999</v>
      </c>
      <c r="F1603">
        <v>1766.7271728999999</v>
      </c>
      <c r="G1603">
        <v>80</v>
      </c>
      <c r="H1603">
        <v>73.785369872999993</v>
      </c>
      <c r="I1603">
        <v>50</v>
      </c>
      <c r="J1603">
        <v>49.972675322999997</v>
      </c>
      <c r="K1603">
        <v>0</v>
      </c>
      <c r="L1603">
        <v>2400</v>
      </c>
      <c r="M1603">
        <v>2400</v>
      </c>
      <c r="N1603">
        <v>0</v>
      </c>
    </row>
    <row r="1604" spans="1:14" x14ac:dyDescent="0.25">
      <c r="A1604">
        <v>1339.067755</v>
      </c>
      <c r="B1604" s="1">
        <f>DATE(2013,12,30) + TIME(1,37,34)</f>
        <v>41638.067754629628</v>
      </c>
      <c r="C1604">
        <v>998.66894531000003</v>
      </c>
      <c r="D1604">
        <v>869.65551758000004</v>
      </c>
      <c r="E1604">
        <v>1958.0941161999999</v>
      </c>
      <c r="F1604">
        <v>1766.2485352000001</v>
      </c>
      <c r="G1604">
        <v>80</v>
      </c>
      <c r="H1604">
        <v>73.504814147999994</v>
      </c>
      <c r="I1604">
        <v>50</v>
      </c>
      <c r="J1604">
        <v>49.972740172999998</v>
      </c>
      <c r="K1604">
        <v>0</v>
      </c>
      <c r="L1604">
        <v>2400</v>
      </c>
      <c r="M1604">
        <v>2400</v>
      </c>
      <c r="N1604">
        <v>0</v>
      </c>
    </row>
    <row r="1605" spans="1:14" x14ac:dyDescent="0.25">
      <c r="A1605">
        <v>1341</v>
      </c>
      <c r="B1605" s="1">
        <f>DATE(2014,1,1) + TIME(0,0,0)</f>
        <v>41640</v>
      </c>
      <c r="C1605">
        <v>997.41064453000001</v>
      </c>
      <c r="D1605">
        <v>868.17895508000004</v>
      </c>
      <c r="E1605">
        <v>1957.6168213000001</v>
      </c>
      <c r="F1605">
        <v>1765.7700195</v>
      </c>
      <c r="G1605">
        <v>80</v>
      </c>
      <c r="H1605">
        <v>73.239601135000001</v>
      </c>
      <c r="I1605">
        <v>50</v>
      </c>
      <c r="J1605">
        <v>49.972782135000003</v>
      </c>
      <c r="K1605">
        <v>0</v>
      </c>
      <c r="L1605">
        <v>2400</v>
      </c>
      <c r="M1605">
        <v>2400</v>
      </c>
      <c r="N1605">
        <v>0</v>
      </c>
    </row>
    <row r="1606" spans="1:14" x14ac:dyDescent="0.25">
      <c r="A1606">
        <v>1343.884243</v>
      </c>
      <c r="B1606" s="1">
        <f>DATE(2014,1,3) + TIME(21,13,18)</f>
        <v>41642.884236111109</v>
      </c>
      <c r="C1606">
        <v>996.50048828000001</v>
      </c>
      <c r="D1606">
        <v>867.02172852000001</v>
      </c>
      <c r="E1606">
        <v>1957.2845459</v>
      </c>
      <c r="F1606">
        <v>1765.4372559000001</v>
      </c>
      <c r="G1606">
        <v>80</v>
      </c>
      <c r="H1606">
        <v>72.985160828000005</v>
      </c>
      <c r="I1606">
        <v>50</v>
      </c>
      <c r="J1606">
        <v>49.972858428999999</v>
      </c>
      <c r="K1606">
        <v>0</v>
      </c>
      <c r="L1606">
        <v>2400</v>
      </c>
      <c r="M1606">
        <v>2400</v>
      </c>
      <c r="N1606">
        <v>0</v>
      </c>
    </row>
    <row r="1607" spans="1:14" x14ac:dyDescent="0.25">
      <c r="A1607">
        <v>1346.815619</v>
      </c>
      <c r="B1607" s="1">
        <f>DATE(2014,1,6) + TIME(19,34,29)</f>
        <v>41645.815613425926</v>
      </c>
      <c r="C1607">
        <v>995.11840819999998</v>
      </c>
      <c r="D1607">
        <v>865.35070800999995</v>
      </c>
      <c r="E1607">
        <v>1956.8132324000001</v>
      </c>
      <c r="F1607">
        <v>1764.9659423999999</v>
      </c>
      <c r="G1607">
        <v>80</v>
      </c>
      <c r="H1607">
        <v>72.680625915999997</v>
      </c>
      <c r="I1607">
        <v>50</v>
      </c>
      <c r="J1607">
        <v>49.972923279</v>
      </c>
      <c r="K1607">
        <v>0</v>
      </c>
      <c r="L1607">
        <v>2400</v>
      </c>
      <c r="M1607">
        <v>2400</v>
      </c>
      <c r="N1607">
        <v>0</v>
      </c>
    </row>
    <row r="1608" spans="1:14" x14ac:dyDescent="0.25">
      <c r="A1608">
        <v>1349.765022</v>
      </c>
      <c r="B1608" s="1">
        <f>DATE(2014,1,9) + TIME(18,21,37)</f>
        <v>41648.765011574076</v>
      </c>
      <c r="C1608">
        <v>993.66424560999997</v>
      </c>
      <c r="D1608">
        <v>863.56457520000004</v>
      </c>
      <c r="E1608">
        <v>1956.3485106999999</v>
      </c>
      <c r="F1608">
        <v>1764.5015868999999</v>
      </c>
      <c r="G1608">
        <v>80</v>
      </c>
      <c r="H1608">
        <v>72.357078552000004</v>
      </c>
      <c r="I1608">
        <v>50</v>
      </c>
      <c r="J1608">
        <v>49.972988129000001</v>
      </c>
      <c r="K1608">
        <v>0</v>
      </c>
      <c r="L1608">
        <v>2400</v>
      </c>
      <c r="M1608">
        <v>2400</v>
      </c>
      <c r="N1608">
        <v>0</v>
      </c>
    </row>
    <row r="1609" spans="1:14" x14ac:dyDescent="0.25">
      <c r="A1609">
        <v>1352.73981</v>
      </c>
      <c r="B1609" s="1">
        <f>DATE(2014,1,12) + TIME(17,45,19)</f>
        <v>41651.739803240744</v>
      </c>
      <c r="C1609">
        <v>992.15423583999996</v>
      </c>
      <c r="D1609">
        <v>861.68798828000001</v>
      </c>
      <c r="E1609">
        <v>1955.8962402</v>
      </c>
      <c r="F1609">
        <v>1764.050293</v>
      </c>
      <c r="G1609">
        <v>80</v>
      </c>
      <c r="H1609">
        <v>72.022766113000003</v>
      </c>
      <c r="I1609">
        <v>50</v>
      </c>
      <c r="J1609">
        <v>49.973056792999998</v>
      </c>
      <c r="K1609">
        <v>0</v>
      </c>
      <c r="L1609">
        <v>2400</v>
      </c>
      <c r="M1609">
        <v>2400</v>
      </c>
      <c r="N1609">
        <v>0</v>
      </c>
    </row>
    <row r="1610" spans="1:14" x14ac:dyDescent="0.25">
      <c r="A1610">
        <v>1355.7456890000001</v>
      </c>
      <c r="B1610" s="1">
        <f>DATE(2014,1,15) + TIME(17,53,47)</f>
        <v>41654.745682870373</v>
      </c>
      <c r="C1610">
        <v>990.58209228999999</v>
      </c>
      <c r="D1610">
        <v>859.71417236000002</v>
      </c>
      <c r="E1610">
        <v>1955.4548339999999</v>
      </c>
      <c r="F1610">
        <v>1763.6103516000001</v>
      </c>
      <c r="G1610">
        <v>80</v>
      </c>
      <c r="H1610">
        <v>71.678421021000005</v>
      </c>
      <c r="I1610">
        <v>50</v>
      </c>
      <c r="J1610">
        <v>49.973125457999998</v>
      </c>
      <c r="K1610">
        <v>0</v>
      </c>
      <c r="L1610">
        <v>2400</v>
      </c>
      <c r="M1610">
        <v>2400</v>
      </c>
      <c r="N1610">
        <v>0</v>
      </c>
    </row>
    <row r="1611" spans="1:14" x14ac:dyDescent="0.25">
      <c r="A1611">
        <v>1358.7882340000001</v>
      </c>
      <c r="B1611" s="1">
        <f>DATE(2014,1,18) + TIME(18,55,3)</f>
        <v>41657.788229166668</v>
      </c>
      <c r="C1611">
        <v>988.94152831999997</v>
      </c>
      <c r="D1611">
        <v>857.63421631000006</v>
      </c>
      <c r="E1611">
        <v>1955.0228271000001</v>
      </c>
      <c r="F1611">
        <v>1763.1800536999999</v>
      </c>
      <c r="G1611">
        <v>80</v>
      </c>
      <c r="H1611">
        <v>71.323104857999994</v>
      </c>
      <c r="I1611">
        <v>50</v>
      </c>
      <c r="J1611">
        <v>49.973190308</v>
      </c>
      <c r="K1611">
        <v>0</v>
      </c>
      <c r="L1611">
        <v>2400</v>
      </c>
      <c r="M1611">
        <v>2400</v>
      </c>
      <c r="N1611">
        <v>0</v>
      </c>
    </row>
    <row r="1612" spans="1:14" x14ac:dyDescent="0.25">
      <c r="A1612">
        <v>1361.857559</v>
      </c>
      <c r="B1612" s="1">
        <f>DATE(2014,1,21) + TIME(20,34,53)</f>
        <v>41660.857557870368</v>
      </c>
      <c r="C1612">
        <v>987.22607421999999</v>
      </c>
      <c r="D1612">
        <v>855.43865966999999</v>
      </c>
      <c r="E1612">
        <v>1954.5987548999999</v>
      </c>
      <c r="F1612">
        <v>1762.7579346</v>
      </c>
      <c r="G1612">
        <v>80</v>
      </c>
      <c r="H1612">
        <v>70.955917357999994</v>
      </c>
      <c r="I1612">
        <v>50</v>
      </c>
      <c r="J1612">
        <v>49.973258971999996</v>
      </c>
      <c r="K1612">
        <v>0</v>
      </c>
      <c r="L1612">
        <v>2400</v>
      </c>
      <c r="M1612">
        <v>2400</v>
      </c>
      <c r="N1612">
        <v>0</v>
      </c>
    </row>
    <row r="1613" spans="1:14" x14ac:dyDescent="0.25">
      <c r="A1613">
        <v>1364.953053</v>
      </c>
      <c r="B1613" s="1">
        <f>DATE(2014,1,24) + TIME(22,52,23)</f>
        <v>41663.953043981484</v>
      </c>
      <c r="C1613">
        <v>985.43798828000001</v>
      </c>
      <c r="D1613">
        <v>853.12762451000003</v>
      </c>
      <c r="E1613">
        <v>1954.1833495999999</v>
      </c>
      <c r="F1613">
        <v>1762.3448486</v>
      </c>
      <c r="G1613">
        <v>80</v>
      </c>
      <c r="H1613">
        <v>70.576774596999996</v>
      </c>
      <c r="I1613">
        <v>50</v>
      </c>
      <c r="J1613">
        <v>49.973323821999998</v>
      </c>
      <c r="K1613">
        <v>0</v>
      </c>
      <c r="L1613">
        <v>2400</v>
      </c>
      <c r="M1613">
        <v>2400</v>
      </c>
      <c r="N1613">
        <v>0</v>
      </c>
    </row>
    <row r="1614" spans="1:14" x14ac:dyDescent="0.25">
      <c r="A1614">
        <v>1368.0805809999999</v>
      </c>
      <c r="B1614" s="1">
        <f>DATE(2014,1,28) + TIME(1,56,2)</f>
        <v>41667.080578703702</v>
      </c>
      <c r="C1614">
        <v>983.57482909999999</v>
      </c>
      <c r="D1614">
        <v>850.69628906000003</v>
      </c>
      <c r="E1614">
        <v>1953.7761230000001</v>
      </c>
      <c r="F1614">
        <v>1761.9400635</v>
      </c>
      <c r="G1614">
        <v>80</v>
      </c>
      <c r="H1614">
        <v>70.185142517000003</v>
      </c>
      <c r="I1614">
        <v>50</v>
      </c>
      <c r="J1614">
        <v>49.973392486999998</v>
      </c>
      <c r="K1614">
        <v>0</v>
      </c>
      <c r="L1614">
        <v>2400</v>
      </c>
      <c r="M1614">
        <v>2400</v>
      </c>
      <c r="N1614">
        <v>0</v>
      </c>
    </row>
    <row r="1615" spans="1:14" x14ac:dyDescent="0.25">
      <c r="A1615">
        <v>1371.23018</v>
      </c>
      <c r="B1615" s="1">
        <f>DATE(2014,1,31) + TIME(5,31,27)</f>
        <v>41670.230173611111</v>
      </c>
      <c r="C1615">
        <v>981.63061522999999</v>
      </c>
      <c r="D1615">
        <v>848.13549805000002</v>
      </c>
      <c r="E1615">
        <v>1953.3758545000001</v>
      </c>
      <c r="F1615">
        <v>1761.5424805</v>
      </c>
      <c r="G1615">
        <v>80</v>
      </c>
      <c r="H1615">
        <v>69.779708862000007</v>
      </c>
      <c r="I1615">
        <v>50</v>
      </c>
      <c r="J1615">
        <v>49.973461151000002</v>
      </c>
      <c r="K1615">
        <v>0</v>
      </c>
      <c r="L1615">
        <v>2400</v>
      </c>
      <c r="M1615">
        <v>2400</v>
      </c>
      <c r="N1615">
        <v>0</v>
      </c>
    </row>
    <row r="1616" spans="1:14" x14ac:dyDescent="0.25">
      <c r="A1616">
        <v>1372</v>
      </c>
      <c r="B1616" s="1">
        <f>DATE(2014,2,1) + TIME(0,0,0)</f>
        <v>41671</v>
      </c>
      <c r="C1616">
        <v>979.64117432</v>
      </c>
      <c r="D1616">
        <v>845.75244140999996</v>
      </c>
      <c r="E1616">
        <v>1953.0036620999999</v>
      </c>
      <c r="F1616">
        <v>1761.1730957</v>
      </c>
      <c r="G1616">
        <v>80</v>
      </c>
      <c r="H1616">
        <v>69.530021667</v>
      </c>
      <c r="I1616">
        <v>50</v>
      </c>
      <c r="J1616">
        <v>49.973457336000003</v>
      </c>
      <c r="K1616">
        <v>0</v>
      </c>
      <c r="L1616">
        <v>2400</v>
      </c>
      <c r="M1616">
        <v>2400</v>
      </c>
      <c r="N1616">
        <v>0</v>
      </c>
    </row>
    <row r="1617" spans="1:14" x14ac:dyDescent="0.25">
      <c r="A1617">
        <v>1375.1783789999999</v>
      </c>
      <c r="B1617" s="1">
        <f>DATE(2014,2,4) + TIME(4,16,51)</f>
        <v>41674.178368055553</v>
      </c>
      <c r="C1617">
        <v>979.07843018000005</v>
      </c>
      <c r="D1617">
        <v>844.68304443</v>
      </c>
      <c r="E1617">
        <v>1952.8825684000001</v>
      </c>
      <c r="F1617">
        <v>1761.0527344</v>
      </c>
      <c r="G1617">
        <v>80</v>
      </c>
      <c r="H1617">
        <v>69.222541809000006</v>
      </c>
      <c r="I1617">
        <v>50</v>
      </c>
      <c r="J1617">
        <v>49.973545074</v>
      </c>
      <c r="K1617">
        <v>0</v>
      </c>
      <c r="L1617">
        <v>2400</v>
      </c>
      <c r="M1617">
        <v>2400</v>
      </c>
      <c r="N1617">
        <v>0</v>
      </c>
    </row>
    <row r="1618" spans="1:14" x14ac:dyDescent="0.25">
      <c r="A1618">
        <v>1378.386555</v>
      </c>
      <c r="B1618" s="1">
        <f>DATE(2014,2,7) + TIME(9,16,38)</f>
        <v>41677.386550925927</v>
      </c>
      <c r="C1618">
        <v>976.97778319999998</v>
      </c>
      <c r="D1618">
        <v>841.89746093999997</v>
      </c>
      <c r="E1618">
        <v>1952.5041504000001</v>
      </c>
      <c r="F1618">
        <v>1760.6772461</v>
      </c>
      <c r="G1618">
        <v>80</v>
      </c>
      <c r="H1618">
        <v>68.810470581000004</v>
      </c>
      <c r="I1618">
        <v>50</v>
      </c>
      <c r="J1618">
        <v>49.973609924000002</v>
      </c>
      <c r="K1618">
        <v>0</v>
      </c>
      <c r="L1618">
        <v>2400</v>
      </c>
      <c r="M1618">
        <v>2400</v>
      </c>
      <c r="N1618">
        <v>0</v>
      </c>
    </row>
    <row r="1619" spans="1:14" x14ac:dyDescent="0.25">
      <c r="A1619">
        <v>1381.6188500000001</v>
      </c>
      <c r="B1619" s="1">
        <f>DATE(2014,2,10) + TIME(14,51,8)</f>
        <v>41680.618842592594</v>
      </c>
      <c r="C1619">
        <v>974.77105713000003</v>
      </c>
      <c r="D1619">
        <v>838.91290283000001</v>
      </c>
      <c r="E1619">
        <v>1952.1260986</v>
      </c>
      <c r="F1619">
        <v>1760.3023682</v>
      </c>
      <c r="G1619">
        <v>80</v>
      </c>
      <c r="H1619">
        <v>68.363304138000004</v>
      </c>
      <c r="I1619">
        <v>50</v>
      </c>
      <c r="J1619">
        <v>49.973678589000002</v>
      </c>
      <c r="K1619">
        <v>0</v>
      </c>
      <c r="L1619">
        <v>2400</v>
      </c>
      <c r="M1619">
        <v>2400</v>
      </c>
      <c r="N1619">
        <v>0</v>
      </c>
    </row>
    <row r="1620" spans="1:14" x14ac:dyDescent="0.25">
      <c r="A1620">
        <v>1384.8724380000001</v>
      </c>
      <c r="B1620" s="1">
        <f>DATE(2014,2,13) + TIME(20,56,18)</f>
        <v>41683.872430555559</v>
      </c>
      <c r="C1620">
        <v>972.47808838000003</v>
      </c>
      <c r="D1620">
        <v>835.77673340000001</v>
      </c>
      <c r="E1620">
        <v>1951.7532959</v>
      </c>
      <c r="F1620">
        <v>1759.9327393000001</v>
      </c>
      <c r="G1620">
        <v>80</v>
      </c>
      <c r="H1620">
        <v>67.896492003999995</v>
      </c>
      <c r="I1620">
        <v>50</v>
      </c>
      <c r="J1620">
        <v>49.973743439000003</v>
      </c>
      <c r="K1620">
        <v>0</v>
      </c>
      <c r="L1620">
        <v>2400</v>
      </c>
      <c r="M1620">
        <v>2400</v>
      </c>
      <c r="N1620">
        <v>0</v>
      </c>
    </row>
    <row r="1621" spans="1:14" x14ac:dyDescent="0.25">
      <c r="A1621">
        <v>1388.1479609999999</v>
      </c>
      <c r="B1621" s="1">
        <f>DATE(2014,2,17) + TIME(3,33,3)</f>
        <v>41687.147951388892</v>
      </c>
      <c r="C1621">
        <v>970.10113524999997</v>
      </c>
      <c r="D1621">
        <v>832.49615478999999</v>
      </c>
      <c r="E1621">
        <v>1951.3862305</v>
      </c>
      <c r="F1621">
        <v>1759.5688477000001</v>
      </c>
      <c r="G1621">
        <v>80</v>
      </c>
      <c r="H1621">
        <v>67.413322449000006</v>
      </c>
      <c r="I1621">
        <v>50</v>
      </c>
      <c r="J1621">
        <v>49.973808288999997</v>
      </c>
      <c r="K1621">
        <v>0</v>
      </c>
      <c r="L1621">
        <v>2400</v>
      </c>
      <c r="M1621">
        <v>2400</v>
      </c>
      <c r="N1621">
        <v>0</v>
      </c>
    </row>
    <row r="1622" spans="1:14" x14ac:dyDescent="0.25">
      <c r="A1622">
        <v>1391.453135</v>
      </c>
      <c r="B1622" s="1">
        <f>DATE(2014,2,20) + TIME(10,52,30)</f>
        <v>41690.453125</v>
      </c>
      <c r="C1622">
        <v>967.63903808999999</v>
      </c>
      <c r="D1622">
        <v>829.06921387</v>
      </c>
      <c r="E1622">
        <v>1951.0240478999999</v>
      </c>
      <c r="F1622">
        <v>1759.2100829999999</v>
      </c>
      <c r="G1622">
        <v>80</v>
      </c>
      <c r="H1622">
        <v>66.914031981999997</v>
      </c>
      <c r="I1622">
        <v>50</v>
      </c>
      <c r="J1622">
        <v>49.973876953000001</v>
      </c>
      <c r="K1622">
        <v>0</v>
      </c>
      <c r="L1622">
        <v>2400</v>
      </c>
      <c r="M1622">
        <v>2400</v>
      </c>
      <c r="N1622">
        <v>0</v>
      </c>
    </row>
    <row r="1623" spans="1:14" x14ac:dyDescent="0.25">
      <c r="A1623">
        <v>1394.779231</v>
      </c>
      <c r="B1623" s="1">
        <f>DATE(2014,2,23) + TIME(18,42,5)</f>
        <v>41693.779224537036</v>
      </c>
      <c r="C1623">
        <v>965.08520508000004</v>
      </c>
      <c r="D1623">
        <v>825.48675536999997</v>
      </c>
      <c r="E1623">
        <v>1950.6657714999999</v>
      </c>
      <c r="F1623">
        <v>1758.8552245999999</v>
      </c>
      <c r="G1623">
        <v>80</v>
      </c>
      <c r="H1623">
        <v>66.398155212000006</v>
      </c>
      <c r="I1623">
        <v>50</v>
      </c>
      <c r="J1623">
        <v>49.973941803000002</v>
      </c>
      <c r="K1623">
        <v>0</v>
      </c>
      <c r="L1623">
        <v>2400</v>
      </c>
      <c r="M1623">
        <v>2400</v>
      </c>
      <c r="N1623">
        <v>0</v>
      </c>
    </row>
    <row r="1624" spans="1:14" x14ac:dyDescent="0.25">
      <c r="A1624">
        <v>1398.1293700000001</v>
      </c>
      <c r="B1624" s="1">
        <f>DATE(2014,2,27) + TIME(3,6,17)</f>
        <v>41697.129363425927</v>
      </c>
      <c r="C1624">
        <v>962.44610595999995</v>
      </c>
      <c r="D1624">
        <v>821.75512694999998</v>
      </c>
      <c r="E1624">
        <v>1950.3116454999999</v>
      </c>
      <c r="F1624">
        <v>1758.5045166</v>
      </c>
      <c r="G1624">
        <v>80</v>
      </c>
      <c r="H1624">
        <v>65.866195679</v>
      </c>
      <c r="I1624">
        <v>50</v>
      </c>
      <c r="J1624">
        <v>49.974006653000004</v>
      </c>
      <c r="K1624">
        <v>0</v>
      </c>
      <c r="L1624">
        <v>2400</v>
      </c>
      <c r="M1624">
        <v>2400</v>
      </c>
      <c r="N1624">
        <v>0</v>
      </c>
    </row>
    <row r="1625" spans="1:14" x14ac:dyDescent="0.25">
      <c r="A1625">
        <v>1400</v>
      </c>
      <c r="B1625" s="1">
        <f>DATE(2014,3,1) + TIME(0,0,0)</f>
        <v>41699</v>
      </c>
      <c r="C1625">
        <v>959.72772216999999</v>
      </c>
      <c r="D1625">
        <v>818.03192138999998</v>
      </c>
      <c r="E1625">
        <v>1949.9644774999999</v>
      </c>
      <c r="F1625">
        <v>1758.1606445</v>
      </c>
      <c r="G1625">
        <v>80</v>
      </c>
      <c r="H1625">
        <v>65.396598815999994</v>
      </c>
      <c r="I1625">
        <v>50</v>
      </c>
      <c r="J1625">
        <v>49.974037170000003</v>
      </c>
      <c r="K1625">
        <v>0</v>
      </c>
      <c r="L1625">
        <v>2400</v>
      </c>
      <c r="M1625">
        <v>2400</v>
      </c>
      <c r="N1625">
        <v>0</v>
      </c>
    </row>
    <row r="1626" spans="1:14" x14ac:dyDescent="0.25">
      <c r="A1626">
        <v>1403.381089</v>
      </c>
      <c r="B1626" s="1">
        <f>DATE(2014,3,4) + TIME(9,8,46)</f>
        <v>41702.38108796296</v>
      </c>
      <c r="C1626">
        <v>958.14013671999999</v>
      </c>
      <c r="D1626">
        <v>815.53662109000004</v>
      </c>
      <c r="E1626">
        <v>1949.7635498</v>
      </c>
      <c r="F1626">
        <v>1757.9617920000001</v>
      </c>
      <c r="G1626">
        <v>80</v>
      </c>
      <c r="H1626">
        <v>64.970336914000001</v>
      </c>
      <c r="I1626">
        <v>50</v>
      </c>
      <c r="J1626">
        <v>49.974109650000003</v>
      </c>
      <c r="K1626">
        <v>0</v>
      </c>
      <c r="L1626">
        <v>2400</v>
      </c>
      <c r="M1626">
        <v>2400</v>
      </c>
      <c r="N1626">
        <v>0</v>
      </c>
    </row>
    <row r="1627" spans="1:14" x14ac:dyDescent="0.25">
      <c r="A1627">
        <v>1406.815713</v>
      </c>
      <c r="B1627" s="1">
        <f>DATE(2014,3,7) + TIME(19,34,37)</f>
        <v>41705.815706018519</v>
      </c>
      <c r="C1627">
        <v>955.30529784999999</v>
      </c>
      <c r="D1627">
        <v>811.50323486000002</v>
      </c>
      <c r="E1627">
        <v>1949.4217529</v>
      </c>
      <c r="F1627">
        <v>1757.6234131000001</v>
      </c>
      <c r="G1627">
        <v>80</v>
      </c>
      <c r="H1627">
        <v>64.424919127999999</v>
      </c>
      <c r="I1627">
        <v>50</v>
      </c>
      <c r="J1627">
        <v>49.974174499999997</v>
      </c>
      <c r="K1627">
        <v>0</v>
      </c>
      <c r="L1627">
        <v>2400</v>
      </c>
      <c r="M1627">
        <v>2400</v>
      </c>
      <c r="N1627">
        <v>0</v>
      </c>
    </row>
    <row r="1628" spans="1:14" x14ac:dyDescent="0.25">
      <c r="A1628">
        <v>1410.2713060000001</v>
      </c>
      <c r="B1628" s="1">
        <f>DATE(2014,3,11) + TIME(6,30,40)</f>
        <v>41709.271296296298</v>
      </c>
      <c r="C1628">
        <v>952.34045409999999</v>
      </c>
      <c r="D1628">
        <v>807.21527100000003</v>
      </c>
      <c r="E1628">
        <v>1949.0758057</v>
      </c>
      <c r="F1628">
        <v>1757.2810059000001</v>
      </c>
      <c r="G1628">
        <v>80</v>
      </c>
      <c r="H1628">
        <v>63.839298247999999</v>
      </c>
      <c r="I1628">
        <v>50</v>
      </c>
      <c r="J1628">
        <v>49.974239349000001</v>
      </c>
      <c r="K1628">
        <v>0</v>
      </c>
      <c r="L1628">
        <v>2400</v>
      </c>
      <c r="M1628">
        <v>2400</v>
      </c>
      <c r="N1628">
        <v>0</v>
      </c>
    </row>
    <row r="1629" spans="1:14" x14ac:dyDescent="0.25">
      <c r="A1629">
        <v>1413.748077</v>
      </c>
      <c r="B1629" s="1">
        <f>DATE(2014,3,14) + TIME(17,57,13)</f>
        <v>41712.748067129629</v>
      </c>
      <c r="C1629">
        <v>949.29052734000004</v>
      </c>
      <c r="D1629">
        <v>802.76275635000002</v>
      </c>
      <c r="E1629">
        <v>1948.7316894999999</v>
      </c>
      <c r="F1629">
        <v>1756.9404297000001</v>
      </c>
      <c r="G1629">
        <v>80</v>
      </c>
      <c r="H1629">
        <v>63.233871460000003</v>
      </c>
      <c r="I1629">
        <v>50</v>
      </c>
      <c r="J1629">
        <v>49.974304199000002</v>
      </c>
      <c r="K1629">
        <v>0</v>
      </c>
      <c r="L1629">
        <v>2400</v>
      </c>
      <c r="M1629">
        <v>2400</v>
      </c>
      <c r="N1629">
        <v>0</v>
      </c>
    </row>
    <row r="1630" spans="1:14" x14ac:dyDescent="0.25">
      <c r="A1630">
        <v>1417.2451269999999</v>
      </c>
      <c r="B1630" s="1">
        <f>DATE(2014,3,18) + TIME(5,52,58)</f>
        <v>41716.245115740741</v>
      </c>
      <c r="C1630">
        <v>946.15893555000002</v>
      </c>
      <c r="D1630">
        <v>798.15826416000004</v>
      </c>
      <c r="E1630">
        <v>1948.3892822</v>
      </c>
      <c r="F1630">
        <v>1756.6015625</v>
      </c>
      <c r="G1630">
        <v>80</v>
      </c>
      <c r="H1630">
        <v>62.613365172999998</v>
      </c>
      <c r="I1630">
        <v>50</v>
      </c>
      <c r="J1630">
        <v>49.974369049000003</v>
      </c>
      <c r="K1630">
        <v>0</v>
      </c>
      <c r="L1630">
        <v>2400</v>
      </c>
      <c r="M1630">
        <v>2400</v>
      </c>
      <c r="N1630">
        <v>0</v>
      </c>
    </row>
    <row r="1631" spans="1:14" x14ac:dyDescent="0.25">
      <c r="A1631">
        <v>1420.7704719999999</v>
      </c>
      <c r="B1631" s="1">
        <f>DATE(2014,3,21) + TIME(18,29,28)</f>
        <v>41719.770462962966</v>
      </c>
      <c r="C1631">
        <v>942.94879149999997</v>
      </c>
      <c r="D1631">
        <v>793.40661621000004</v>
      </c>
      <c r="E1631">
        <v>1948.0482178</v>
      </c>
      <c r="F1631">
        <v>1756.2639160000001</v>
      </c>
      <c r="G1631">
        <v>80</v>
      </c>
      <c r="H1631">
        <v>61.979118346999996</v>
      </c>
      <c r="I1631">
        <v>50</v>
      </c>
      <c r="J1631">
        <v>49.974433898999997</v>
      </c>
      <c r="K1631">
        <v>0</v>
      </c>
      <c r="L1631">
        <v>2400</v>
      </c>
      <c r="M1631">
        <v>2400</v>
      </c>
      <c r="N1631">
        <v>0</v>
      </c>
    </row>
    <row r="1632" spans="1:14" x14ac:dyDescent="0.25">
      <c r="A1632">
        <v>1424.331766</v>
      </c>
      <c r="B1632" s="1">
        <f>DATE(2014,3,25) + TIME(7,57,44)</f>
        <v>41723.331759259258</v>
      </c>
      <c r="C1632">
        <v>939.65588378999996</v>
      </c>
      <c r="D1632">
        <v>788.50152588000003</v>
      </c>
      <c r="E1632">
        <v>1947.7071533000001</v>
      </c>
      <c r="F1632">
        <v>1755.9265137</v>
      </c>
      <c r="G1632">
        <v>80</v>
      </c>
      <c r="H1632">
        <v>61.331035614000001</v>
      </c>
      <c r="I1632">
        <v>50</v>
      </c>
      <c r="J1632">
        <v>49.974498748999999</v>
      </c>
      <c r="K1632">
        <v>0</v>
      </c>
      <c r="L1632">
        <v>2400</v>
      </c>
      <c r="M1632">
        <v>2400</v>
      </c>
      <c r="N1632">
        <v>0</v>
      </c>
    </row>
    <row r="1633" spans="1:14" x14ac:dyDescent="0.25">
      <c r="A1633">
        <v>1427.9306300000001</v>
      </c>
      <c r="B1633" s="1">
        <f>DATE(2014,3,28) + TIME(22,20,6)</f>
        <v>41726.930625000001</v>
      </c>
      <c r="C1633">
        <v>936.27539062000005</v>
      </c>
      <c r="D1633">
        <v>783.43634033000001</v>
      </c>
      <c r="E1633">
        <v>1947.3649902</v>
      </c>
      <c r="F1633">
        <v>1755.5878906</v>
      </c>
      <c r="G1633">
        <v>80</v>
      </c>
      <c r="H1633">
        <v>60.669090271000002</v>
      </c>
      <c r="I1633">
        <v>50</v>
      </c>
      <c r="J1633">
        <v>49.974567413000003</v>
      </c>
      <c r="K1633">
        <v>0</v>
      </c>
      <c r="L1633">
        <v>2400</v>
      </c>
      <c r="M1633">
        <v>2400</v>
      </c>
      <c r="N1633">
        <v>0</v>
      </c>
    </row>
    <row r="1634" spans="1:14" x14ac:dyDescent="0.25">
      <c r="A1634">
        <v>1431</v>
      </c>
      <c r="B1634" s="1">
        <f>DATE(2014,4,1) + TIME(0,0,0)</f>
        <v>41730</v>
      </c>
      <c r="C1634">
        <v>932.81097411999997</v>
      </c>
      <c r="D1634">
        <v>778.26940918000003</v>
      </c>
      <c r="E1634">
        <v>1947.0216064000001</v>
      </c>
      <c r="F1634">
        <v>1755.2480469</v>
      </c>
      <c r="G1634">
        <v>80</v>
      </c>
      <c r="H1634">
        <v>60.017272949000002</v>
      </c>
      <c r="I1634">
        <v>50</v>
      </c>
      <c r="J1634">
        <v>49.974620819000002</v>
      </c>
      <c r="K1634">
        <v>0</v>
      </c>
      <c r="L1634">
        <v>2400</v>
      </c>
      <c r="M1634">
        <v>2400</v>
      </c>
      <c r="N1634">
        <v>0</v>
      </c>
    </row>
    <row r="1635" spans="1:14" x14ac:dyDescent="0.25">
      <c r="A1635">
        <v>1434.6158740000001</v>
      </c>
      <c r="B1635" s="1">
        <f>DATE(2014,4,4) + TIME(14,46,51)</f>
        <v>41733.615868055553</v>
      </c>
      <c r="C1635">
        <v>929.80572510000002</v>
      </c>
      <c r="D1635">
        <v>773.62573241999996</v>
      </c>
      <c r="E1635">
        <v>1946.7271728999999</v>
      </c>
      <c r="F1635">
        <v>1754.9566649999999</v>
      </c>
      <c r="G1635">
        <v>80</v>
      </c>
      <c r="H1635">
        <v>59.397426605</v>
      </c>
      <c r="I1635">
        <v>50</v>
      </c>
      <c r="J1635">
        <v>49.974685669000003</v>
      </c>
      <c r="K1635">
        <v>0</v>
      </c>
      <c r="L1635">
        <v>2400</v>
      </c>
      <c r="M1635">
        <v>2400</v>
      </c>
      <c r="N1635">
        <v>0</v>
      </c>
    </row>
    <row r="1636" spans="1:14" x14ac:dyDescent="0.25">
      <c r="A1636">
        <v>1438.286503</v>
      </c>
      <c r="B1636" s="1">
        <f>DATE(2014,4,8) + TIME(6,52,33)</f>
        <v>41737.286493055559</v>
      </c>
      <c r="C1636">
        <v>926.25231933999999</v>
      </c>
      <c r="D1636">
        <v>768.23736571999996</v>
      </c>
      <c r="E1636">
        <v>1946.3851318</v>
      </c>
      <c r="F1636">
        <v>1754.6181641000001</v>
      </c>
      <c r="G1636">
        <v>80</v>
      </c>
      <c r="H1636">
        <v>58.719127655000001</v>
      </c>
      <c r="I1636">
        <v>50</v>
      </c>
      <c r="J1636">
        <v>49.974750518999997</v>
      </c>
      <c r="K1636">
        <v>0</v>
      </c>
      <c r="L1636">
        <v>2400</v>
      </c>
      <c r="M1636">
        <v>2400</v>
      </c>
      <c r="N1636">
        <v>0</v>
      </c>
    </row>
    <row r="1637" spans="1:14" x14ac:dyDescent="0.25">
      <c r="A1637">
        <v>1441.998173</v>
      </c>
      <c r="B1637" s="1">
        <f>DATE(2014,4,11) + TIME(23,57,22)</f>
        <v>41740.998171296298</v>
      </c>
      <c r="C1637">
        <v>922.59954833999996</v>
      </c>
      <c r="D1637">
        <v>762.64886475000003</v>
      </c>
      <c r="E1637">
        <v>1946.0373535000001</v>
      </c>
      <c r="F1637">
        <v>1754.2739257999999</v>
      </c>
      <c r="G1637">
        <v>80</v>
      </c>
      <c r="H1637">
        <v>58.018936156999999</v>
      </c>
      <c r="I1637">
        <v>50</v>
      </c>
      <c r="J1637">
        <v>49.974815368999998</v>
      </c>
      <c r="K1637">
        <v>0</v>
      </c>
      <c r="L1637">
        <v>2400</v>
      </c>
      <c r="M1637">
        <v>2400</v>
      </c>
      <c r="N1637">
        <v>0</v>
      </c>
    </row>
    <row r="1638" spans="1:14" x14ac:dyDescent="0.25">
      <c r="A1638">
        <v>1445.7455890000001</v>
      </c>
      <c r="B1638" s="1">
        <f>DATE(2014,4,15) + TIME(17,53,38)</f>
        <v>41744.745578703703</v>
      </c>
      <c r="C1638">
        <v>918.87292479999996</v>
      </c>
      <c r="D1638">
        <v>756.91247558999999</v>
      </c>
      <c r="E1638">
        <v>1945.6856689000001</v>
      </c>
      <c r="F1638">
        <v>1753.9257812000001</v>
      </c>
      <c r="G1638">
        <v>80</v>
      </c>
      <c r="H1638">
        <v>57.306995391999997</v>
      </c>
      <c r="I1638">
        <v>50</v>
      </c>
      <c r="J1638">
        <v>49.974876404</v>
      </c>
      <c r="K1638">
        <v>0</v>
      </c>
      <c r="L1638">
        <v>2400</v>
      </c>
      <c r="M1638">
        <v>2400</v>
      </c>
      <c r="N1638">
        <v>0</v>
      </c>
    </row>
    <row r="1639" spans="1:14" x14ac:dyDescent="0.25">
      <c r="A1639">
        <v>1449.525586</v>
      </c>
      <c r="B1639" s="1">
        <f>DATE(2014,4,19) + TIME(12,36,50)</f>
        <v>41748.525578703702</v>
      </c>
      <c r="C1639">
        <v>915.08343506000006</v>
      </c>
      <c r="D1639">
        <v>751.04809569999998</v>
      </c>
      <c r="E1639">
        <v>1945.3304443</v>
      </c>
      <c r="F1639">
        <v>1753.5740966999999</v>
      </c>
      <c r="G1639">
        <v>80</v>
      </c>
      <c r="H1639">
        <v>56.587425232000001</v>
      </c>
      <c r="I1639">
        <v>50</v>
      </c>
      <c r="J1639">
        <v>49.974941254000001</v>
      </c>
      <c r="K1639">
        <v>0</v>
      </c>
      <c r="L1639">
        <v>2400</v>
      </c>
      <c r="M1639">
        <v>2400</v>
      </c>
      <c r="N1639">
        <v>0</v>
      </c>
    </row>
    <row r="1640" spans="1:14" x14ac:dyDescent="0.25">
      <c r="A1640">
        <v>1453.3477049999999</v>
      </c>
      <c r="B1640" s="1">
        <f>DATE(2014,4,23) + TIME(8,20,41)</f>
        <v>41752.347696759258</v>
      </c>
      <c r="C1640">
        <v>911.24017333999996</v>
      </c>
      <c r="D1640">
        <v>745.06933593999997</v>
      </c>
      <c r="E1640">
        <v>1944.9714355000001</v>
      </c>
      <c r="F1640">
        <v>1753.2186279</v>
      </c>
      <c r="G1640">
        <v>80</v>
      </c>
      <c r="H1640">
        <v>55.862071991000001</v>
      </c>
      <c r="I1640">
        <v>50</v>
      </c>
      <c r="J1640">
        <v>49.975006104000002</v>
      </c>
      <c r="K1640">
        <v>0</v>
      </c>
      <c r="L1640">
        <v>2400</v>
      </c>
      <c r="M1640">
        <v>2400</v>
      </c>
      <c r="N1640">
        <v>0</v>
      </c>
    </row>
    <row r="1641" spans="1:14" x14ac:dyDescent="0.25">
      <c r="A1641">
        <v>1457.2214160000001</v>
      </c>
      <c r="B1641" s="1">
        <f>DATE(2014,4,27) + TIME(5,18,50)</f>
        <v>41756.221412037034</v>
      </c>
      <c r="C1641">
        <v>907.33972168000003</v>
      </c>
      <c r="D1641">
        <v>738.97143555000002</v>
      </c>
      <c r="E1641">
        <v>1944.6074219</v>
      </c>
      <c r="F1641">
        <v>1752.8581543</v>
      </c>
      <c r="G1641">
        <v>80</v>
      </c>
      <c r="H1641">
        <v>55.131271362</v>
      </c>
      <c r="I1641">
        <v>50</v>
      </c>
      <c r="J1641">
        <v>49.975070952999999</v>
      </c>
      <c r="K1641">
        <v>0</v>
      </c>
      <c r="L1641">
        <v>2400</v>
      </c>
      <c r="M1641">
        <v>2400</v>
      </c>
      <c r="N1641">
        <v>0</v>
      </c>
    </row>
    <row r="1642" spans="1:14" x14ac:dyDescent="0.25">
      <c r="A1642">
        <v>1461</v>
      </c>
      <c r="B1642" s="1">
        <f>DATE(2014,5,1) + TIME(0,0,0)</f>
        <v>41760</v>
      </c>
      <c r="C1642">
        <v>903.37933350000003</v>
      </c>
      <c r="D1642">
        <v>732.76501465000001</v>
      </c>
      <c r="E1642">
        <v>1944.2373047000001</v>
      </c>
      <c r="F1642">
        <v>1752.4916992000001</v>
      </c>
      <c r="G1642">
        <v>80</v>
      </c>
      <c r="H1642">
        <v>54.400524138999998</v>
      </c>
      <c r="I1642">
        <v>50</v>
      </c>
      <c r="J1642">
        <v>49.975135803000001</v>
      </c>
      <c r="K1642">
        <v>0</v>
      </c>
      <c r="L1642">
        <v>2400</v>
      </c>
      <c r="M1642">
        <v>2400</v>
      </c>
      <c r="N1642">
        <v>0</v>
      </c>
    </row>
    <row r="1643" spans="1:14" x14ac:dyDescent="0.25">
      <c r="A1643">
        <v>1461.0000010000001</v>
      </c>
      <c r="B1643" s="1">
        <f>DATE(2014,5,1) + TIME(0,0,0)</f>
        <v>41760</v>
      </c>
      <c r="C1643">
        <v>1075.6060791</v>
      </c>
      <c r="D1643">
        <v>904.24810791000004</v>
      </c>
      <c r="E1643">
        <v>1751.5834961</v>
      </c>
      <c r="F1643">
        <v>1559.9410399999999</v>
      </c>
      <c r="G1643">
        <v>80</v>
      </c>
      <c r="H1643">
        <v>54.400661468999999</v>
      </c>
      <c r="I1643">
        <v>50</v>
      </c>
      <c r="J1643">
        <v>49.975017547999997</v>
      </c>
      <c r="K1643">
        <v>2400</v>
      </c>
      <c r="L1643">
        <v>0</v>
      </c>
      <c r="M1643">
        <v>0</v>
      </c>
      <c r="N1643">
        <v>2400</v>
      </c>
    </row>
    <row r="1644" spans="1:14" x14ac:dyDescent="0.25">
      <c r="A1644">
        <v>1461.000004</v>
      </c>
      <c r="B1644" s="1">
        <f>DATE(2014,5,1) + TIME(0,0,0)</f>
        <v>41760</v>
      </c>
      <c r="C1644">
        <v>1078.2976074000001</v>
      </c>
      <c r="D1644">
        <v>906.81994628999996</v>
      </c>
      <c r="E1644">
        <v>1748.8941649999999</v>
      </c>
      <c r="F1644">
        <v>1557.2497559000001</v>
      </c>
      <c r="G1644">
        <v>80</v>
      </c>
      <c r="H1644">
        <v>54.401077270999998</v>
      </c>
      <c r="I1644">
        <v>50</v>
      </c>
      <c r="J1644">
        <v>49.974678040000001</v>
      </c>
      <c r="K1644">
        <v>2400</v>
      </c>
      <c r="L1644">
        <v>0</v>
      </c>
      <c r="M1644">
        <v>0</v>
      </c>
      <c r="N1644">
        <v>2400</v>
      </c>
    </row>
    <row r="1645" spans="1:14" x14ac:dyDescent="0.25">
      <c r="A1645">
        <v>1461.0000130000001</v>
      </c>
      <c r="B1645" s="1">
        <f>DATE(2014,5,1) + TIME(0,0,1)</f>
        <v>41760.000011574077</v>
      </c>
      <c r="C1645">
        <v>1086.0390625</v>
      </c>
      <c r="D1645">
        <v>914.24017333999996</v>
      </c>
      <c r="E1645">
        <v>1741.1269531</v>
      </c>
      <c r="F1645">
        <v>1549.4772949000001</v>
      </c>
      <c r="G1645">
        <v>80</v>
      </c>
      <c r="H1645">
        <v>54.402286529999998</v>
      </c>
      <c r="I1645">
        <v>50</v>
      </c>
      <c r="J1645">
        <v>49.973697661999999</v>
      </c>
      <c r="K1645">
        <v>2400</v>
      </c>
      <c r="L1645">
        <v>0</v>
      </c>
      <c r="M1645">
        <v>0</v>
      </c>
      <c r="N1645">
        <v>2400</v>
      </c>
    </row>
    <row r="1646" spans="1:14" x14ac:dyDescent="0.25">
      <c r="A1646">
        <v>1461.0000399999999</v>
      </c>
      <c r="B1646" s="1">
        <f>DATE(2014,5,1) + TIME(0,0,3)</f>
        <v>41760.000034722223</v>
      </c>
      <c r="C1646">
        <v>1106.7016602000001</v>
      </c>
      <c r="D1646">
        <v>934.19659423999997</v>
      </c>
      <c r="E1646">
        <v>1720.1750488</v>
      </c>
      <c r="F1646">
        <v>1528.5114745999999</v>
      </c>
      <c r="G1646">
        <v>80</v>
      </c>
      <c r="H1646">
        <v>54.40562439</v>
      </c>
      <c r="I1646">
        <v>50</v>
      </c>
      <c r="J1646">
        <v>49.971046448000003</v>
      </c>
      <c r="K1646">
        <v>2400</v>
      </c>
      <c r="L1646">
        <v>0</v>
      </c>
      <c r="M1646">
        <v>0</v>
      </c>
      <c r="N1646">
        <v>2400</v>
      </c>
    </row>
    <row r="1647" spans="1:14" x14ac:dyDescent="0.25">
      <c r="A1647">
        <v>1461.000121</v>
      </c>
      <c r="B1647" s="1">
        <f>DATE(2014,5,1) + TIME(0,0,10)</f>
        <v>41760.000115740739</v>
      </c>
      <c r="C1647">
        <v>1153.1400146000001</v>
      </c>
      <c r="D1647">
        <v>979.68615723000005</v>
      </c>
      <c r="E1647">
        <v>1672.0406493999999</v>
      </c>
      <c r="F1647">
        <v>1480.3492432</v>
      </c>
      <c r="G1647">
        <v>80</v>
      </c>
      <c r="H1647">
        <v>54.413852691999999</v>
      </c>
      <c r="I1647">
        <v>50</v>
      </c>
      <c r="J1647">
        <v>49.964962006</v>
      </c>
      <c r="K1647">
        <v>2400</v>
      </c>
      <c r="L1647">
        <v>0</v>
      </c>
      <c r="M1647">
        <v>0</v>
      </c>
      <c r="N1647">
        <v>2400</v>
      </c>
    </row>
    <row r="1648" spans="1:14" x14ac:dyDescent="0.25">
      <c r="A1648">
        <v>1461.000364</v>
      </c>
      <c r="B1648" s="1">
        <f>DATE(2014,5,1) + TIME(0,0,31)</f>
        <v>41760.000358796293</v>
      </c>
      <c r="C1648">
        <v>1230.8127440999999</v>
      </c>
      <c r="D1648">
        <v>1057.0609131000001</v>
      </c>
      <c r="E1648">
        <v>1588.7094727000001</v>
      </c>
      <c r="F1648">
        <v>1396.9926757999999</v>
      </c>
      <c r="G1648">
        <v>80</v>
      </c>
      <c r="H1648">
        <v>54.431049346999998</v>
      </c>
      <c r="I1648">
        <v>50</v>
      </c>
      <c r="J1648">
        <v>49.954425811999997</v>
      </c>
      <c r="K1648">
        <v>2400</v>
      </c>
      <c r="L1648">
        <v>0</v>
      </c>
      <c r="M1648">
        <v>0</v>
      </c>
      <c r="N1648">
        <v>2400</v>
      </c>
    </row>
    <row r="1649" spans="1:14" x14ac:dyDescent="0.25">
      <c r="A1649">
        <v>1461.0010930000001</v>
      </c>
      <c r="B1649" s="1">
        <f>DATE(2014,5,1) + TIME(0,1,34)</f>
        <v>41760.001087962963</v>
      </c>
      <c r="C1649">
        <v>1326.0561522999999</v>
      </c>
      <c r="D1649">
        <v>1152.8673096</v>
      </c>
      <c r="E1649">
        <v>1483.7989502</v>
      </c>
      <c r="F1649">
        <v>1292.0877685999999</v>
      </c>
      <c r="G1649">
        <v>80</v>
      </c>
      <c r="H1649">
        <v>54.465091704999999</v>
      </c>
      <c r="I1649">
        <v>50</v>
      </c>
      <c r="J1649">
        <v>49.941139221</v>
      </c>
      <c r="K1649">
        <v>2400</v>
      </c>
      <c r="L1649">
        <v>0</v>
      </c>
      <c r="M1649">
        <v>0</v>
      </c>
      <c r="N1649">
        <v>2400</v>
      </c>
    </row>
    <row r="1650" spans="1:14" x14ac:dyDescent="0.25">
      <c r="A1650">
        <v>1461.0032799999999</v>
      </c>
      <c r="B1650" s="1">
        <f>DATE(2014,5,1) + TIME(0,4,43)</f>
        <v>41760.003275462965</v>
      </c>
      <c r="C1650">
        <v>1425.6331786999999</v>
      </c>
      <c r="D1650">
        <v>1253.2734375</v>
      </c>
      <c r="E1650">
        <v>1374.3483887</v>
      </c>
      <c r="F1650">
        <v>1182.6876221</v>
      </c>
      <c r="G1650">
        <v>80</v>
      </c>
      <c r="H1650">
        <v>54.542789458999998</v>
      </c>
      <c r="I1650">
        <v>50</v>
      </c>
      <c r="J1650">
        <v>49.927188872999999</v>
      </c>
      <c r="K1650">
        <v>2400</v>
      </c>
      <c r="L1650">
        <v>0</v>
      </c>
      <c r="M1650">
        <v>0</v>
      </c>
      <c r="N1650">
        <v>2400</v>
      </c>
    </row>
    <row r="1651" spans="1:14" x14ac:dyDescent="0.25">
      <c r="A1651">
        <v>1461.0098410000001</v>
      </c>
      <c r="B1651" s="1">
        <f>DATE(2014,5,1) + TIME(0,14,10)</f>
        <v>41760.009837962964</v>
      </c>
      <c r="C1651">
        <v>1528.4572754000001</v>
      </c>
      <c r="D1651">
        <v>1357.1308594</v>
      </c>
      <c r="E1651">
        <v>1264.6474608999999</v>
      </c>
      <c r="F1651">
        <v>1073.090332</v>
      </c>
      <c r="G1651">
        <v>80</v>
      </c>
      <c r="H1651">
        <v>54.748401641999997</v>
      </c>
      <c r="I1651">
        <v>50</v>
      </c>
      <c r="J1651">
        <v>49.912918091000002</v>
      </c>
      <c r="K1651">
        <v>2400</v>
      </c>
      <c r="L1651">
        <v>0</v>
      </c>
      <c r="M1651">
        <v>0</v>
      </c>
      <c r="N1651">
        <v>2400</v>
      </c>
    </row>
    <row r="1652" spans="1:14" x14ac:dyDescent="0.25">
      <c r="A1652">
        <v>1461.029524</v>
      </c>
      <c r="B1652" s="1">
        <f>DATE(2014,5,1) + TIME(0,42,30)</f>
        <v>41760.029513888891</v>
      </c>
      <c r="C1652">
        <v>1637.7480469</v>
      </c>
      <c r="D1652">
        <v>1468.1114502</v>
      </c>
      <c r="E1652">
        <v>1153.8967285000001</v>
      </c>
      <c r="F1652">
        <v>962.44622803000004</v>
      </c>
      <c r="G1652">
        <v>80</v>
      </c>
      <c r="H1652">
        <v>55.325698852999999</v>
      </c>
      <c r="I1652">
        <v>50</v>
      </c>
      <c r="J1652">
        <v>49.897632598999998</v>
      </c>
      <c r="K1652">
        <v>2400</v>
      </c>
      <c r="L1652">
        <v>0</v>
      </c>
      <c r="M1652">
        <v>0</v>
      </c>
      <c r="N1652">
        <v>2400</v>
      </c>
    </row>
    <row r="1653" spans="1:14" x14ac:dyDescent="0.25">
      <c r="A1653">
        <v>1461.0612309999999</v>
      </c>
      <c r="B1653" s="1">
        <f>DATE(2014,5,1) + TIME(1,28,10)</f>
        <v>41760.061226851853</v>
      </c>
      <c r="C1653">
        <v>1717.2495117000001</v>
      </c>
      <c r="D1653">
        <v>1549.7410889</v>
      </c>
      <c r="E1653">
        <v>1075.3820800999999</v>
      </c>
      <c r="F1653">
        <v>883.95690918000003</v>
      </c>
      <c r="G1653">
        <v>80</v>
      </c>
      <c r="H1653">
        <v>56.211620330999999</v>
      </c>
      <c r="I1653">
        <v>50</v>
      </c>
      <c r="J1653">
        <v>49.885467529000003</v>
      </c>
      <c r="K1653">
        <v>2400</v>
      </c>
      <c r="L1653">
        <v>0</v>
      </c>
      <c r="M1653">
        <v>0</v>
      </c>
      <c r="N1653">
        <v>2400</v>
      </c>
    </row>
    <row r="1654" spans="1:14" x14ac:dyDescent="0.25">
      <c r="A1654">
        <v>1461.0944890000001</v>
      </c>
      <c r="B1654" s="1">
        <f>DATE(2014,5,1) + TIME(2,16,3)</f>
        <v>41760.09447916667</v>
      </c>
      <c r="C1654">
        <v>1764.7587891000001</v>
      </c>
      <c r="D1654">
        <v>1599.25</v>
      </c>
      <c r="E1654">
        <v>1028.1191406</v>
      </c>
      <c r="F1654">
        <v>836.68359375</v>
      </c>
      <c r="G1654">
        <v>80</v>
      </c>
      <c r="H1654">
        <v>57.103546143000003</v>
      </c>
      <c r="I1654">
        <v>50</v>
      </c>
      <c r="J1654">
        <v>49.876972197999997</v>
      </c>
      <c r="K1654">
        <v>2400</v>
      </c>
      <c r="L1654">
        <v>0</v>
      </c>
      <c r="M1654">
        <v>0</v>
      </c>
      <c r="N1654">
        <v>2400</v>
      </c>
    </row>
    <row r="1655" spans="1:14" x14ac:dyDescent="0.25">
      <c r="A1655">
        <v>1461.1290859999999</v>
      </c>
      <c r="B1655" s="1">
        <f>DATE(2014,5,1) + TIME(3,5,53)</f>
        <v>41760.12908564815</v>
      </c>
      <c r="C1655">
        <v>1796.1855469</v>
      </c>
      <c r="D1655">
        <v>1632.6112060999999</v>
      </c>
      <c r="E1655">
        <v>996.14965819999998</v>
      </c>
      <c r="F1655">
        <v>804.69750977000001</v>
      </c>
      <c r="G1655">
        <v>80</v>
      </c>
      <c r="H1655">
        <v>57.995067595999998</v>
      </c>
      <c r="I1655">
        <v>50</v>
      </c>
      <c r="J1655">
        <v>49.870231627999999</v>
      </c>
      <c r="K1655">
        <v>2400</v>
      </c>
      <c r="L1655">
        <v>0</v>
      </c>
      <c r="M1655">
        <v>0</v>
      </c>
      <c r="N1655">
        <v>2400</v>
      </c>
    </row>
    <row r="1656" spans="1:14" x14ac:dyDescent="0.25">
      <c r="A1656">
        <v>1461.1650139999999</v>
      </c>
      <c r="B1656" s="1">
        <f>DATE(2014,5,1) + TIME(3,57,37)</f>
        <v>41760.165011574078</v>
      </c>
      <c r="C1656">
        <v>1818.2310791</v>
      </c>
      <c r="D1656">
        <v>1656.5385742000001</v>
      </c>
      <c r="E1656">
        <v>973.11187743999994</v>
      </c>
      <c r="F1656">
        <v>781.64477538999995</v>
      </c>
      <c r="G1656">
        <v>80</v>
      </c>
      <c r="H1656">
        <v>58.884235382</v>
      </c>
      <c r="I1656">
        <v>50</v>
      </c>
      <c r="J1656">
        <v>49.864475249999998</v>
      </c>
      <c r="K1656">
        <v>2400</v>
      </c>
      <c r="L1656">
        <v>0</v>
      </c>
      <c r="M1656">
        <v>0</v>
      </c>
      <c r="N1656">
        <v>2400</v>
      </c>
    </row>
    <row r="1657" spans="1:14" x14ac:dyDescent="0.25">
      <c r="A1657">
        <v>1461.202329</v>
      </c>
      <c r="B1657" s="1">
        <f>DATE(2014,5,1) + TIME(4,51,21)</f>
        <v>41760.202326388891</v>
      </c>
      <c r="C1657">
        <v>1834.2659911999999</v>
      </c>
      <c r="D1657">
        <v>1674.4057617000001</v>
      </c>
      <c r="E1657">
        <v>955.89257812000005</v>
      </c>
      <c r="F1657">
        <v>764.41333008000004</v>
      </c>
      <c r="G1657">
        <v>80</v>
      </c>
      <c r="H1657">
        <v>59.770168304000002</v>
      </c>
      <c r="I1657">
        <v>50</v>
      </c>
      <c r="J1657">
        <v>49.859321594000001</v>
      </c>
      <c r="K1657">
        <v>2400</v>
      </c>
      <c r="L1657">
        <v>0</v>
      </c>
      <c r="M1657">
        <v>0</v>
      </c>
      <c r="N1657">
        <v>2400</v>
      </c>
    </row>
    <row r="1658" spans="1:14" x14ac:dyDescent="0.25">
      <c r="A1658">
        <v>1461.241119</v>
      </c>
      <c r="B1658" s="1">
        <f>DATE(2014,5,1) + TIME(5,47,12)</f>
        <v>41760.241111111114</v>
      </c>
      <c r="C1658">
        <v>1846.1899414</v>
      </c>
      <c r="D1658">
        <v>1688.1131591999999</v>
      </c>
      <c r="E1658">
        <v>942.74877930000002</v>
      </c>
      <c r="F1658">
        <v>751.25982666000004</v>
      </c>
      <c r="G1658">
        <v>80</v>
      </c>
      <c r="H1658">
        <v>60.651863098</v>
      </c>
      <c r="I1658">
        <v>50</v>
      </c>
      <c r="J1658">
        <v>49.854557036999999</v>
      </c>
      <c r="K1658">
        <v>2400</v>
      </c>
      <c r="L1658">
        <v>0</v>
      </c>
      <c r="M1658">
        <v>0</v>
      </c>
      <c r="N1658">
        <v>2400</v>
      </c>
    </row>
    <row r="1659" spans="1:14" x14ac:dyDescent="0.25">
      <c r="A1659">
        <v>1461.2814920000001</v>
      </c>
      <c r="B1659" s="1">
        <f>DATE(2014,5,1) + TIME(6,45,20)</f>
        <v>41760.281481481485</v>
      </c>
      <c r="C1659">
        <v>1855.1607666</v>
      </c>
      <c r="D1659">
        <v>1698.8199463000001</v>
      </c>
      <c r="E1659">
        <v>932.60845946999996</v>
      </c>
      <c r="F1659">
        <v>741.11157227000001</v>
      </c>
      <c r="G1659">
        <v>80</v>
      </c>
      <c r="H1659">
        <v>61.529239654999998</v>
      </c>
      <c r="I1659">
        <v>50</v>
      </c>
      <c r="J1659">
        <v>49.850040436</v>
      </c>
      <c r="K1659">
        <v>2400</v>
      </c>
      <c r="L1659">
        <v>0</v>
      </c>
      <c r="M1659">
        <v>0</v>
      </c>
      <c r="N1659">
        <v>2400</v>
      </c>
    </row>
    <row r="1660" spans="1:14" x14ac:dyDescent="0.25">
      <c r="A1660">
        <v>1461.3235790000001</v>
      </c>
      <c r="B1660" s="1">
        <f>DATE(2014,5,1) + TIME(7,45,57)</f>
        <v>41760.323576388888</v>
      </c>
      <c r="C1660">
        <v>1861.9282227000001</v>
      </c>
      <c r="D1660">
        <v>1707.2770995999999</v>
      </c>
      <c r="E1660">
        <v>924.76190185999997</v>
      </c>
      <c r="F1660">
        <v>733.25854491999996</v>
      </c>
      <c r="G1660">
        <v>80</v>
      </c>
      <c r="H1660">
        <v>62.402141571000001</v>
      </c>
      <c r="I1660">
        <v>50</v>
      </c>
      <c r="J1660">
        <v>49.845684052000003</v>
      </c>
      <c r="K1660">
        <v>2400</v>
      </c>
      <c r="L1660">
        <v>0</v>
      </c>
      <c r="M1660">
        <v>0</v>
      </c>
      <c r="N1660">
        <v>2400</v>
      </c>
    </row>
    <row r="1661" spans="1:14" x14ac:dyDescent="0.25">
      <c r="A1661">
        <v>1461.3675310000001</v>
      </c>
      <c r="B1661" s="1">
        <f>DATE(2014,5,1) + TIME(8,49,14)</f>
        <v>41760.367523148147</v>
      </c>
      <c r="C1661">
        <v>1867.0031738</v>
      </c>
      <c r="D1661">
        <v>1713.9964600000001</v>
      </c>
      <c r="E1661">
        <v>918.70983887</v>
      </c>
      <c r="F1661">
        <v>727.20104979999996</v>
      </c>
      <c r="G1661">
        <v>80</v>
      </c>
      <c r="H1661">
        <v>63.270278931</v>
      </c>
      <c r="I1661">
        <v>50</v>
      </c>
      <c r="J1661">
        <v>49.841415404999999</v>
      </c>
      <c r="K1661">
        <v>2400</v>
      </c>
      <c r="L1661">
        <v>0</v>
      </c>
      <c r="M1661">
        <v>0</v>
      </c>
      <c r="N1661">
        <v>2400</v>
      </c>
    </row>
    <row r="1662" spans="1:14" x14ac:dyDescent="0.25">
      <c r="A1662">
        <v>1461.4135349999999</v>
      </c>
      <c r="B1662" s="1">
        <f>DATE(2014,5,1) + TIME(9,55,29)</f>
        <v>41760.413530092592</v>
      </c>
      <c r="C1662">
        <v>1870.7501221</v>
      </c>
      <c r="D1662">
        <v>1719.3436279</v>
      </c>
      <c r="E1662">
        <v>914.08160399999997</v>
      </c>
      <c r="F1662">
        <v>722.56811522999999</v>
      </c>
      <c r="G1662">
        <v>80</v>
      </c>
      <c r="H1662">
        <v>64.133613585999996</v>
      </c>
      <c r="I1662">
        <v>50</v>
      </c>
      <c r="J1662">
        <v>49.837177277000002</v>
      </c>
      <c r="K1662">
        <v>2400</v>
      </c>
      <c r="L1662">
        <v>0</v>
      </c>
      <c r="M1662">
        <v>0</v>
      </c>
      <c r="N1662">
        <v>2400</v>
      </c>
    </row>
    <row r="1663" spans="1:14" x14ac:dyDescent="0.25">
      <c r="A1663">
        <v>1461.461802</v>
      </c>
      <c r="B1663" s="1">
        <f>DATE(2014,5,1) + TIME(11,4,59)</f>
        <v>41760.461793981478</v>
      </c>
      <c r="C1663">
        <v>1873.4370117000001</v>
      </c>
      <c r="D1663">
        <v>1723.5877685999999</v>
      </c>
      <c r="E1663">
        <v>910.59228515999996</v>
      </c>
      <c r="F1663">
        <v>719.07476807</v>
      </c>
      <c r="G1663">
        <v>80</v>
      </c>
      <c r="H1663">
        <v>64.991958617999998</v>
      </c>
      <c r="I1663">
        <v>50</v>
      </c>
      <c r="J1663">
        <v>49.832920074</v>
      </c>
      <c r="K1663">
        <v>2400</v>
      </c>
      <c r="L1663">
        <v>0</v>
      </c>
      <c r="M1663">
        <v>0</v>
      </c>
      <c r="N1663">
        <v>2400</v>
      </c>
    </row>
    <row r="1664" spans="1:14" x14ac:dyDescent="0.25">
      <c r="A1664">
        <v>1461.5125499999999</v>
      </c>
      <c r="B1664" s="1">
        <f>DATE(2014,5,1) + TIME(12,18,4)</f>
        <v>41760.512546296297</v>
      </c>
      <c r="C1664">
        <v>1875.2675781</v>
      </c>
      <c r="D1664">
        <v>1726.9332274999999</v>
      </c>
      <c r="E1664">
        <v>908.01654053000004</v>
      </c>
      <c r="F1664">
        <v>716.49542236000002</v>
      </c>
      <c r="G1664">
        <v>80</v>
      </c>
      <c r="H1664">
        <v>65.844863892000006</v>
      </c>
      <c r="I1664">
        <v>50</v>
      </c>
      <c r="J1664">
        <v>49.828601837000001</v>
      </c>
      <c r="K1664">
        <v>2400</v>
      </c>
      <c r="L1664">
        <v>0</v>
      </c>
      <c r="M1664">
        <v>0</v>
      </c>
      <c r="N1664">
        <v>2400</v>
      </c>
    </row>
    <row r="1665" spans="1:14" x14ac:dyDescent="0.25">
      <c r="A1665">
        <v>1461.566051</v>
      </c>
      <c r="B1665" s="1">
        <f>DATE(2014,5,1) + TIME(13,35,6)</f>
        <v>41760.566041666665</v>
      </c>
      <c r="C1665">
        <v>1876.4024658000001</v>
      </c>
      <c r="D1665">
        <v>1729.5411377</v>
      </c>
      <c r="E1665">
        <v>906.16967772999999</v>
      </c>
      <c r="F1665">
        <v>714.64526366999996</v>
      </c>
      <c r="G1665">
        <v>80</v>
      </c>
      <c r="H1665">
        <v>66.691764832000004</v>
      </c>
      <c r="I1665">
        <v>50</v>
      </c>
      <c r="J1665">
        <v>49.824188231999997</v>
      </c>
      <c r="K1665">
        <v>2400</v>
      </c>
      <c r="L1665">
        <v>0</v>
      </c>
      <c r="M1665">
        <v>0</v>
      </c>
      <c r="N1665">
        <v>2400</v>
      </c>
    </row>
    <row r="1666" spans="1:14" x14ac:dyDescent="0.25">
      <c r="A1666">
        <v>1461.6226280000001</v>
      </c>
      <c r="B1666" s="1">
        <f>DATE(2014,5,1) + TIME(14,56,35)</f>
        <v>41760.622627314813</v>
      </c>
      <c r="C1666">
        <v>1876.9704589999999</v>
      </c>
      <c r="D1666">
        <v>1731.5406493999999</v>
      </c>
      <c r="E1666">
        <v>904.89947510000002</v>
      </c>
      <c r="F1666">
        <v>713.37200928000004</v>
      </c>
      <c r="G1666">
        <v>80</v>
      </c>
      <c r="H1666">
        <v>67.532257079999994</v>
      </c>
      <c r="I1666">
        <v>50</v>
      </c>
      <c r="J1666">
        <v>49.819633484000001</v>
      </c>
      <c r="K1666">
        <v>2400</v>
      </c>
      <c r="L1666">
        <v>0</v>
      </c>
      <c r="M1666">
        <v>0</v>
      </c>
      <c r="N1666">
        <v>2400</v>
      </c>
    </row>
    <row r="1667" spans="1:14" x14ac:dyDescent="0.25">
      <c r="A1667">
        <v>1461.6826579999999</v>
      </c>
      <c r="B1667" s="1">
        <f>DATE(2014,5,1) + TIME(16,23,1)</f>
        <v>41760.682650462964</v>
      </c>
      <c r="C1667">
        <v>1877.0753173999999</v>
      </c>
      <c r="D1667">
        <v>1733.0363769999999</v>
      </c>
      <c r="E1667">
        <v>904.07989501999998</v>
      </c>
      <c r="F1667">
        <v>712.54949951000003</v>
      </c>
      <c r="G1667">
        <v>80</v>
      </c>
      <c r="H1667">
        <v>68.365844726999995</v>
      </c>
      <c r="I1667">
        <v>50</v>
      </c>
      <c r="J1667">
        <v>49.814899445000002</v>
      </c>
      <c r="K1667">
        <v>2400</v>
      </c>
      <c r="L1667">
        <v>0</v>
      </c>
      <c r="M1667">
        <v>0</v>
      </c>
      <c r="N1667">
        <v>2400</v>
      </c>
    </row>
    <row r="1668" spans="1:14" x14ac:dyDescent="0.25">
      <c r="A1668">
        <v>1461.746582</v>
      </c>
      <c r="B1668" s="1">
        <f>DATE(2014,5,1) + TIME(17,55,4)</f>
        <v>41760.746574074074</v>
      </c>
      <c r="C1668">
        <v>1876.8020019999999</v>
      </c>
      <c r="D1668">
        <v>1734.1135254000001</v>
      </c>
      <c r="E1668">
        <v>903.60614013999998</v>
      </c>
      <c r="F1668">
        <v>712.07287598000005</v>
      </c>
      <c r="G1668">
        <v>80</v>
      </c>
      <c r="H1668">
        <v>69.191856384000005</v>
      </c>
      <c r="I1668">
        <v>50</v>
      </c>
      <c r="J1668">
        <v>49.809951781999999</v>
      </c>
      <c r="K1668">
        <v>2400</v>
      </c>
      <c r="L1668">
        <v>0</v>
      </c>
      <c r="M1668">
        <v>0</v>
      </c>
      <c r="N1668">
        <v>2400</v>
      </c>
    </row>
    <row r="1669" spans="1:14" x14ac:dyDescent="0.25">
      <c r="A1669">
        <v>1461.8149579999999</v>
      </c>
      <c r="B1669" s="1">
        <f>DATE(2014,5,1) + TIME(19,33,32)</f>
        <v>41760.814953703702</v>
      </c>
      <c r="C1669">
        <v>1876.2197266000001</v>
      </c>
      <c r="D1669">
        <v>1734.8417969</v>
      </c>
      <c r="E1669">
        <v>903.39141845999995</v>
      </c>
      <c r="F1669">
        <v>711.85522461000005</v>
      </c>
      <c r="G1669">
        <v>80</v>
      </c>
      <c r="H1669">
        <v>70.009826660000002</v>
      </c>
      <c r="I1669">
        <v>50</v>
      </c>
      <c r="J1669">
        <v>49.804737091</v>
      </c>
      <c r="K1669">
        <v>2400</v>
      </c>
      <c r="L1669">
        <v>0</v>
      </c>
      <c r="M1669">
        <v>0</v>
      </c>
      <c r="N1669">
        <v>2400</v>
      </c>
    </row>
    <row r="1670" spans="1:14" x14ac:dyDescent="0.25">
      <c r="A1670">
        <v>1461.888453</v>
      </c>
      <c r="B1670" s="1">
        <f>DATE(2014,5,1) + TIME(21,19,22)</f>
        <v>41760.888449074075</v>
      </c>
      <c r="C1670">
        <v>1875.385376</v>
      </c>
      <c r="D1670">
        <v>1735.277832</v>
      </c>
      <c r="E1670">
        <v>903.36437988</v>
      </c>
      <c r="F1670">
        <v>711.82513428000004</v>
      </c>
      <c r="G1670">
        <v>80</v>
      </c>
      <c r="H1670">
        <v>70.818428040000001</v>
      </c>
      <c r="I1670">
        <v>50</v>
      </c>
      <c r="J1670">
        <v>49.799209595000001</v>
      </c>
      <c r="K1670">
        <v>2400</v>
      </c>
      <c r="L1670">
        <v>0</v>
      </c>
      <c r="M1670">
        <v>0</v>
      </c>
      <c r="N1670">
        <v>2400</v>
      </c>
    </row>
    <row r="1671" spans="1:14" x14ac:dyDescent="0.25">
      <c r="A1671">
        <v>1461.9678899999999</v>
      </c>
      <c r="B1671" s="1">
        <f>DATE(2014,5,1) + TIME(23,13,45)</f>
        <v>41760.967881944445</v>
      </c>
      <c r="C1671">
        <v>1874.3448486</v>
      </c>
      <c r="D1671">
        <v>1735.4682617000001</v>
      </c>
      <c r="E1671">
        <v>903.46697998000002</v>
      </c>
      <c r="F1671">
        <v>711.92456055000002</v>
      </c>
      <c r="G1671">
        <v>80</v>
      </c>
      <c r="H1671">
        <v>71.617362975999995</v>
      </c>
      <c r="I1671">
        <v>50</v>
      </c>
      <c r="J1671">
        <v>49.793308258000003</v>
      </c>
      <c r="K1671">
        <v>2400</v>
      </c>
      <c r="L1671">
        <v>0</v>
      </c>
      <c r="M1671">
        <v>0</v>
      </c>
      <c r="N1671">
        <v>2400</v>
      </c>
    </row>
    <row r="1672" spans="1:14" x14ac:dyDescent="0.25">
      <c r="A1672">
        <v>1462.054302</v>
      </c>
      <c r="B1672" s="1">
        <f>DATE(2014,5,2) + TIME(1,18,11)</f>
        <v>41761.054293981484</v>
      </c>
      <c r="C1672">
        <v>1873.1356201000001</v>
      </c>
      <c r="D1672">
        <v>1735.449707</v>
      </c>
      <c r="E1672">
        <v>903.65240478999999</v>
      </c>
      <c r="F1672">
        <v>712.10656738</v>
      </c>
      <c r="G1672">
        <v>80</v>
      </c>
      <c r="H1672">
        <v>72.405609131000006</v>
      </c>
      <c r="I1672">
        <v>50</v>
      </c>
      <c r="J1672">
        <v>49.786964417</v>
      </c>
      <c r="K1672">
        <v>2400</v>
      </c>
      <c r="L1672">
        <v>0</v>
      </c>
      <c r="M1672">
        <v>0</v>
      </c>
      <c r="N1672">
        <v>2400</v>
      </c>
    </row>
    <row r="1673" spans="1:14" x14ac:dyDescent="0.25">
      <c r="A1673">
        <v>1462.1490650000001</v>
      </c>
      <c r="B1673" s="1">
        <f>DATE(2014,5,2) + TIME(3,34,39)</f>
        <v>41761.149062500001</v>
      </c>
      <c r="C1673">
        <v>1871.786499</v>
      </c>
      <c r="D1673">
        <v>1735.2512207</v>
      </c>
      <c r="E1673">
        <v>903.88403319999998</v>
      </c>
      <c r="F1673">
        <v>712.33441161999997</v>
      </c>
      <c r="G1673">
        <v>80</v>
      </c>
      <c r="H1673">
        <v>73.182312011999997</v>
      </c>
      <c r="I1673">
        <v>50</v>
      </c>
      <c r="J1673">
        <v>49.780094147</v>
      </c>
      <c r="K1673">
        <v>2400</v>
      </c>
      <c r="L1673">
        <v>0</v>
      </c>
      <c r="M1673">
        <v>0</v>
      </c>
      <c r="N1673">
        <v>2400</v>
      </c>
    </row>
    <row r="1674" spans="1:14" x14ac:dyDescent="0.25">
      <c r="A1674">
        <v>1462.2538750000001</v>
      </c>
      <c r="B1674" s="1">
        <f>DATE(2014,5,2) + TIME(6,5,34)</f>
        <v>41761.253865740742</v>
      </c>
      <c r="C1674">
        <v>1870.3209228999999</v>
      </c>
      <c r="D1674">
        <v>1734.8945312000001</v>
      </c>
      <c r="E1674">
        <v>904.13311768000005</v>
      </c>
      <c r="F1674">
        <v>712.57934569999998</v>
      </c>
      <c r="G1674">
        <v>80</v>
      </c>
      <c r="H1674">
        <v>73.945693969999994</v>
      </c>
      <c r="I1674">
        <v>50</v>
      </c>
      <c r="J1674">
        <v>49.772586822999997</v>
      </c>
      <c r="K1674">
        <v>2400</v>
      </c>
      <c r="L1674">
        <v>0</v>
      </c>
      <c r="M1674">
        <v>0</v>
      </c>
      <c r="N1674">
        <v>2400</v>
      </c>
    </row>
    <row r="1675" spans="1:14" x14ac:dyDescent="0.25">
      <c r="A1675">
        <v>1462.3710120000001</v>
      </c>
      <c r="B1675" s="1">
        <f>DATE(2014,5,2) + TIME(8,54,15)</f>
        <v>41761.371006944442</v>
      </c>
      <c r="C1675">
        <v>1868.7563477000001</v>
      </c>
      <c r="D1675">
        <v>1734.3952637</v>
      </c>
      <c r="E1675">
        <v>904.37817383000004</v>
      </c>
      <c r="F1675">
        <v>712.81970215000001</v>
      </c>
      <c r="G1675">
        <v>80</v>
      </c>
      <c r="H1675">
        <v>74.693695067999997</v>
      </c>
      <c r="I1675">
        <v>50</v>
      </c>
      <c r="J1675">
        <v>49.764308929000002</v>
      </c>
      <c r="K1675">
        <v>2400</v>
      </c>
      <c r="L1675">
        <v>0</v>
      </c>
      <c r="M1675">
        <v>0</v>
      </c>
      <c r="N1675">
        <v>2400</v>
      </c>
    </row>
    <row r="1676" spans="1:14" x14ac:dyDescent="0.25">
      <c r="A1676">
        <v>1462.5036190000001</v>
      </c>
      <c r="B1676" s="1">
        <f>DATE(2014,5,2) + TIME(12,5,12)</f>
        <v>41761.503611111111</v>
      </c>
      <c r="C1676">
        <v>1867.1048584</v>
      </c>
      <c r="D1676">
        <v>1733.7631836</v>
      </c>
      <c r="E1676">
        <v>904.60369873000002</v>
      </c>
      <c r="F1676">
        <v>713.03985595999995</v>
      </c>
      <c r="G1676">
        <v>80</v>
      </c>
      <c r="H1676">
        <v>75.423515320000007</v>
      </c>
      <c r="I1676">
        <v>50</v>
      </c>
      <c r="J1676">
        <v>49.755081177000001</v>
      </c>
      <c r="K1676">
        <v>2400</v>
      </c>
      <c r="L1676">
        <v>0</v>
      </c>
      <c r="M1676">
        <v>0</v>
      </c>
      <c r="N1676">
        <v>2400</v>
      </c>
    </row>
    <row r="1677" spans="1:14" x14ac:dyDescent="0.25">
      <c r="A1677">
        <v>1462.6398039999999</v>
      </c>
      <c r="B1677" s="1">
        <f>DATE(2014,5,2) + TIME(15,21,19)</f>
        <v>41761.639803240738</v>
      </c>
      <c r="C1677">
        <v>1865.4938964999999</v>
      </c>
      <c r="D1677">
        <v>1733.0289307</v>
      </c>
      <c r="E1677">
        <v>904.78070068</v>
      </c>
      <c r="F1677">
        <v>713.21221923999997</v>
      </c>
      <c r="G1677">
        <v>80</v>
      </c>
      <c r="H1677">
        <v>76.066902161000002</v>
      </c>
      <c r="I1677">
        <v>50</v>
      </c>
      <c r="J1677">
        <v>49.745609283</v>
      </c>
      <c r="K1677">
        <v>2400</v>
      </c>
      <c r="L1677">
        <v>0</v>
      </c>
      <c r="M1677">
        <v>0</v>
      </c>
      <c r="N1677">
        <v>2400</v>
      </c>
    </row>
    <row r="1678" spans="1:14" x14ac:dyDescent="0.25">
      <c r="A1678">
        <v>1462.7772419999999</v>
      </c>
      <c r="B1678" s="1">
        <f>DATE(2014,5,2) + TIME(18,39,13)</f>
        <v>41761.777233796296</v>
      </c>
      <c r="C1678">
        <v>1863.9871826000001</v>
      </c>
      <c r="D1678">
        <v>1732.2663574000001</v>
      </c>
      <c r="E1678">
        <v>904.91333008000004</v>
      </c>
      <c r="F1678">
        <v>713.34020996000004</v>
      </c>
      <c r="G1678">
        <v>80</v>
      </c>
      <c r="H1678">
        <v>76.623489379999995</v>
      </c>
      <c r="I1678">
        <v>50</v>
      </c>
      <c r="J1678">
        <v>49.736042023000003</v>
      </c>
      <c r="K1678">
        <v>2400</v>
      </c>
      <c r="L1678">
        <v>0</v>
      </c>
      <c r="M1678">
        <v>0</v>
      </c>
      <c r="N1678">
        <v>2400</v>
      </c>
    </row>
    <row r="1679" spans="1:14" x14ac:dyDescent="0.25">
      <c r="A1679">
        <v>1462.9169360000001</v>
      </c>
      <c r="B1679" s="1">
        <f>DATE(2014,5,2) + TIME(22,0,23)</f>
        <v>41761.916932870372</v>
      </c>
      <c r="C1679">
        <v>1862.5843506000001</v>
      </c>
      <c r="D1679">
        <v>1731.4996338000001</v>
      </c>
      <c r="E1679">
        <v>905.01055908000001</v>
      </c>
      <c r="F1679">
        <v>713.43243408000001</v>
      </c>
      <c r="G1679">
        <v>80</v>
      </c>
      <c r="H1679">
        <v>77.107116699000002</v>
      </c>
      <c r="I1679">
        <v>50</v>
      </c>
      <c r="J1679">
        <v>49.726322174000003</v>
      </c>
      <c r="K1679">
        <v>2400</v>
      </c>
      <c r="L1679">
        <v>0</v>
      </c>
      <c r="M1679">
        <v>0</v>
      </c>
      <c r="N1679">
        <v>2400</v>
      </c>
    </row>
    <row r="1680" spans="1:14" x14ac:dyDescent="0.25">
      <c r="A1680">
        <v>1463.059708</v>
      </c>
      <c r="B1680" s="1">
        <f>DATE(2014,5,3) + TIME(1,25,58)</f>
        <v>41762.059699074074</v>
      </c>
      <c r="C1680">
        <v>1861.2739257999999</v>
      </c>
      <c r="D1680">
        <v>1730.734375</v>
      </c>
      <c r="E1680">
        <v>905.07934569999998</v>
      </c>
      <c r="F1680">
        <v>713.49603271000001</v>
      </c>
      <c r="G1680">
        <v>80</v>
      </c>
      <c r="H1680">
        <v>77.528205872000001</v>
      </c>
      <c r="I1680">
        <v>50</v>
      </c>
      <c r="J1680">
        <v>49.716403960999997</v>
      </c>
      <c r="K1680">
        <v>2400</v>
      </c>
      <c r="L1680">
        <v>0</v>
      </c>
      <c r="M1680">
        <v>0</v>
      </c>
      <c r="N1680">
        <v>2400</v>
      </c>
    </row>
    <row r="1681" spans="1:14" x14ac:dyDescent="0.25">
      <c r="A1681">
        <v>1463.2063370000001</v>
      </c>
      <c r="B1681" s="1">
        <f>DATE(2014,5,3) + TIME(4,57,7)</f>
        <v>41762.206331018519</v>
      </c>
      <c r="C1681">
        <v>1860.0450439000001</v>
      </c>
      <c r="D1681">
        <v>1729.9732666</v>
      </c>
      <c r="E1681">
        <v>905.12579345999995</v>
      </c>
      <c r="F1681">
        <v>713.53686522999999</v>
      </c>
      <c r="G1681">
        <v>80</v>
      </c>
      <c r="H1681">
        <v>77.895065308</v>
      </c>
      <c r="I1681">
        <v>50</v>
      </c>
      <c r="J1681">
        <v>49.706245422000002</v>
      </c>
      <c r="K1681">
        <v>2400</v>
      </c>
      <c r="L1681">
        <v>0</v>
      </c>
      <c r="M1681">
        <v>0</v>
      </c>
      <c r="N1681">
        <v>2400</v>
      </c>
    </row>
    <row r="1682" spans="1:14" x14ac:dyDescent="0.25">
      <c r="A1682">
        <v>1463.3575960000001</v>
      </c>
      <c r="B1682" s="1">
        <f>DATE(2014,5,3) + TIME(8,34,56)</f>
        <v>41762.357592592591</v>
      </c>
      <c r="C1682">
        <v>1858.8880615</v>
      </c>
      <c r="D1682">
        <v>1729.2172852000001</v>
      </c>
      <c r="E1682">
        <v>905.15454102000001</v>
      </c>
      <c r="F1682">
        <v>713.55981444999998</v>
      </c>
      <c r="G1682">
        <v>80</v>
      </c>
      <c r="H1682">
        <v>78.214500427000004</v>
      </c>
      <c r="I1682">
        <v>50</v>
      </c>
      <c r="J1682">
        <v>49.695804596000002</v>
      </c>
      <c r="K1682">
        <v>2400</v>
      </c>
      <c r="L1682">
        <v>0</v>
      </c>
      <c r="M1682">
        <v>0</v>
      </c>
      <c r="N1682">
        <v>2400</v>
      </c>
    </row>
    <row r="1683" spans="1:14" x14ac:dyDescent="0.25">
      <c r="A1683">
        <v>1463.514361</v>
      </c>
      <c r="B1683" s="1">
        <f>DATE(2014,5,3) + TIME(12,20,40)</f>
        <v>41762.514351851853</v>
      </c>
      <c r="C1683">
        <v>1857.7938231999999</v>
      </c>
      <c r="D1683">
        <v>1728.4665527</v>
      </c>
      <c r="E1683">
        <v>905.16961670000001</v>
      </c>
      <c r="F1683">
        <v>713.56872558999999</v>
      </c>
      <c r="G1683">
        <v>80</v>
      </c>
      <c r="H1683">
        <v>78.492324828999998</v>
      </c>
      <c r="I1683">
        <v>50</v>
      </c>
      <c r="J1683">
        <v>49.685031891000001</v>
      </c>
      <c r="K1683">
        <v>2400</v>
      </c>
      <c r="L1683">
        <v>0</v>
      </c>
      <c r="M1683">
        <v>0</v>
      </c>
      <c r="N1683">
        <v>2400</v>
      </c>
    </row>
    <row r="1684" spans="1:14" x14ac:dyDescent="0.25">
      <c r="A1684">
        <v>1463.677592</v>
      </c>
      <c r="B1684" s="1">
        <f>DATE(2014,5,3) + TIME(16,15,43)</f>
        <v>41762.677581018521</v>
      </c>
      <c r="C1684">
        <v>1856.7539062000001</v>
      </c>
      <c r="D1684">
        <v>1727.7197266000001</v>
      </c>
      <c r="E1684">
        <v>905.17382812000005</v>
      </c>
      <c r="F1684">
        <v>713.56646728999999</v>
      </c>
      <c r="G1684">
        <v>80</v>
      </c>
      <c r="H1684">
        <v>78.733467102000006</v>
      </c>
      <c r="I1684">
        <v>50</v>
      </c>
      <c r="J1684">
        <v>49.673866271999998</v>
      </c>
      <c r="K1684">
        <v>2400</v>
      </c>
      <c r="L1684">
        <v>0</v>
      </c>
      <c r="M1684">
        <v>0</v>
      </c>
      <c r="N1684">
        <v>2400</v>
      </c>
    </row>
    <row r="1685" spans="1:14" x14ac:dyDescent="0.25">
      <c r="A1685">
        <v>1463.848358</v>
      </c>
      <c r="B1685" s="1">
        <f>DATE(2014,5,3) + TIME(20,21,38)</f>
        <v>41762.848356481481</v>
      </c>
      <c r="C1685">
        <v>1855.7602539</v>
      </c>
      <c r="D1685">
        <v>1726.9752197</v>
      </c>
      <c r="E1685">
        <v>905.16955566000001</v>
      </c>
      <c r="F1685">
        <v>713.55535888999998</v>
      </c>
      <c r="G1685">
        <v>80</v>
      </c>
      <c r="H1685">
        <v>78.942131042</v>
      </c>
      <c r="I1685">
        <v>50</v>
      </c>
      <c r="J1685">
        <v>49.662254333</v>
      </c>
      <c r="K1685">
        <v>2400</v>
      </c>
      <c r="L1685">
        <v>0</v>
      </c>
      <c r="M1685">
        <v>0</v>
      </c>
      <c r="N1685">
        <v>2400</v>
      </c>
    </row>
    <row r="1686" spans="1:14" x14ac:dyDescent="0.25">
      <c r="A1686">
        <v>1464.0278960000001</v>
      </c>
      <c r="B1686" s="1">
        <f>DATE(2014,5,4) + TIME(0,40,10)</f>
        <v>41763.02789351852</v>
      </c>
      <c r="C1686">
        <v>1854.8051757999999</v>
      </c>
      <c r="D1686">
        <v>1726.2307129000001</v>
      </c>
      <c r="E1686">
        <v>905.15856933999999</v>
      </c>
      <c r="F1686">
        <v>713.53704833999996</v>
      </c>
      <c r="G1686">
        <v>80</v>
      </c>
      <c r="H1686">
        <v>79.122009277000004</v>
      </c>
      <c r="I1686">
        <v>50</v>
      </c>
      <c r="J1686">
        <v>49.650127411</v>
      </c>
      <c r="K1686">
        <v>2400</v>
      </c>
      <c r="L1686">
        <v>0</v>
      </c>
      <c r="M1686">
        <v>0</v>
      </c>
      <c r="N1686">
        <v>2400</v>
      </c>
    </row>
    <row r="1687" spans="1:14" x14ac:dyDescent="0.25">
      <c r="A1687">
        <v>1464.217688</v>
      </c>
      <c r="B1687" s="1">
        <f>DATE(2014,5,4) + TIME(5,13,28)</f>
        <v>41763.217685185184</v>
      </c>
      <c r="C1687">
        <v>1853.8813477000001</v>
      </c>
      <c r="D1687">
        <v>1725.4832764</v>
      </c>
      <c r="E1687">
        <v>905.14202881000006</v>
      </c>
      <c r="F1687">
        <v>713.51281738</v>
      </c>
      <c r="G1687">
        <v>80</v>
      </c>
      <c r="H1687">
        <v>79.276329040999997</v>
      </c>
      <c r="I1687">
        <v>50</v>
      </c>
      <c r="J1687">
        <v>49.637393951</v>
      </c>
      <c r="K1687">
        <v>2400</v>
      </c>
      <c r="L1687">
        <v>0</v>
      </c>
      <c r="M1687">
        <v>0</v>
      </c>
      <c r="N1687">
        <v>2400</v>
      </c>
    </row>
    <row r="1688" spans="1:14" x14ac:dyDescent="0.25">
      <c r="A1688">
        <v>1464.4194769999999</v>
      </c>
      <c r="B1688" s="1">
        <f>DATE(2014,5,4) + TIME(10,4,2)</f>
        <v>41763.41946759259</v>
      </c>
      <c r="C1688">
        <v>1852.9813231999999</v>
      </c>
      <c r="D1688">
        <v>1724.7296143000001</v>
      </c>
      <c r="E1688">
        <v>905.12084961000005</v>
      </c>
      <c r="F1688">
        <v>713.48339843999997</v>
      </c>
      <c r="G1688">
        <v>80</v>
      </c>
      <c r="H1688">
        <v>79.407951354999994</v>
      </c>
      <c r="I1688">
        <v>50</v>
      </c>
      <c r="J1688">
        <v>49.623962401999997</v>
      </c>
      <c r="K1688">
        <v>2400</v>
      </c>
      <c r="L1688">
        <v>0</v>
      </c>
      <c r="M1688">
        <v>0</v>
      </c>
      <c r="N1688">
        <v>2400</v>
      </c>
    </row>
    <row r="1689" spans="1:14" x14ac:dyDescent="0.25">
      <c r="A1689">
        <v>1464.635383</v>
      </c>
      <c r="B1689" s="1">
        <f>DATE(2014,5,4) + TIME(15,14,57)</f>
        <v>41763.635381944441</v>
      </c>
      <c r="C1689">
        <v>1852.0977783000001</v>
      </c>
      <c r="D1689">
        <v>1723.9660644999999</v>
      </c>
      <c r="E1689">
        <v>905.09564208999996</v>
      </c>
      <c r="F1689">
        <v>713.44934081999997</v>
      </c>
      <c r="G1689">
        <v>80</v>
      </c>
      <c r="H1689">
        <v>79.519409179999997</v>
      </c>
      <c r="I1689">
        <v>50</v>
      </c>
      <c r="J1689">
        <v>49.609718323000003</v>
      </c>
      <c r="K1689">
        <v>2400</v>
      </c>
      <c r="L1689">
        <v>0</v>
      </c>
      <c r="M1689">
        <v>0</v>
      </c>
      <c r="N1689">
        <v>2400</v>
      </c>
    </row>
    <row r="1690" spans="1:14" x14ac:dyDescent="0.25">
      <c r="A1690">
        <v>1464.864321</v>
      </c>
      <c r="B1690" s="1">
        <f>DATE(2014,5,4) + TIME(20,44,37)</f>
        <v>41763.864317129628</v>
      </c>
      <c r="C1690">
        <v>1851.2258300999999</v>
      </c>
      <c r="D1690">
        <v>1723.1888428</v>
      </c>
      <c r="E1690">
        <v>905.06646728999999</v>
      </c>
      <c r="F1690">
        <v>713.41094970999995</v>
      </c>
      <c r="G1690">
        <v>80</v>
      </c>
      <c r="H1690">
        <v>79.611824036000002</v>
      </c>
      <c r="I1690">
        <v>50</v>
      </c>
      <c r="J1690">
        <v>49.594703674000002</v>
      </c>
      <c r="K1690">
        <v>2400</v>
      </c>
      <c r="L1690">
        <v>0</v>
      </c>
      <c r="M1690">
        <v>0</v>
      </c>
      <c r="N1690">
        <v>2400</v>
      </c>
    </row>
    <row r="1691" spans="1:14" x14ac:dyDescent="0.25">
      <c r="A1691">
        <v>1465.108502</v>
      </c>
      <c r="B1691" s="1">
        <f>DATE(2014,5,5) + TIME(2,36,14)</f>
        <v>41764.108495370368</v>
      </c>
      <c r="C1691">
        <v>1850.3670654</v>
      </c>
      <c r="D1691">
        <v>1722.4039307</v>
      </c>
      <c r="E1691">
        <v>905.03411864999998</v>
      </c>
      <c r="F1691">
        <v>713.36877441000001</v>
      </c>
      <c r="G1691">
        <v>80</v>
      </c>
      <c r="H1691">
        <v>79.687843322999996</v>
      </c>
      <c r="I1691">
        <v>50</v>
      </c>
      <c r="J1691">
        <v>49.578804015999999</v>
      </c>
      <c r="K1691">
        <v>2400</v>
      </c>
      <c r="L1691">
        <v>0</v>
      </c>
      <c r="M1691">
        <v>0</v>
      </c>
      <c r="N1691">
        <v>2400</v>
      </c>
    </row>
    <row r="1692" spans="1:14" x14ac:dyDescent="0.25">
      <c r="A1692">
        <v>1465.370539</v>
      </c>
      <c r="B1692" s="1">
        <f>DATE(2014,5,5) + TIME(8,53,34)</f>
        <v>41764.370532407411</v>
      </c>
      <c r="C1692">
        <v>1849.5140381000001</v>
      </c>
      <c r="D1692">
        <v>1721.6065673999999</v>
      </c>
      <c r="E1692">
        <v>904.99859618999994</v>
      </c>
      <c r="F1692">
        <v>713.32269286999997</v>
      </c>
      <c r="G1692">
        <v>80</v>
      </c>
      <c r="H1692">
        <v>79.749778747999997</v>
      </c>
      <c r="I1692">
        <v>50</v>
      </c>
      <c r="J1692">
        <v>49.561885834000002</v>
      </c>
      <c r="K1692">
        <v>2400</v>
      </c>
      <c r="L1692">
        <v>0</v>
      </c>
      <c r="M1692">
        <v>0</v>
      </c>
      <c r="N1692">
        <v>2400</v>
      </c>
    </row>
    <row r="1693" spans="1:14" x14ac:dyDescent="0.25">
      <c r="A1693">
        <v>1465.650678</v>
      </c>
      <c r="B1693" s="1">
        <f>DATE(2014,5,5) + TIME(15,36,58)</f>
        <v>41764.650671296295</v>
      </c>
      <c r="C1693">
        <v>1848.6601562000001</v>
      </c>
      <c r="D1693">
        <v>1720.7924805</v>
      </c>
      <c r="E1693">
        <v>904.95965576000003</v>
      </c>
      <c r="F1693">
        <v>713.27258300999995</v>
      </c>
      <c r="G1693">
        <v>80</v>
      </c>
      <c r="H1693">
        <v>79.799278259000005</v>
      </c>
      <c r="I1693">
        <v>50</v>
      </c>
      <c r="J1693">
        <v>49.543914794999999</v>
      </c>
      <c r="K1693">
        <v>2400</v>
      </c>
      <c r="L1693">
        <v>0</v>
      </c>
      <c r="M1693">
        <v>0</v>
      </c>
      <c r="N1693">
        <v>2400</v>
      </c>
    </row>
    <row r="1694" spans="1:14" x14ac:dyDescent="0.25">
      <c r="A1694">
        <v>1465.9328210000001</v>
      </c>
      <c r="B1694" s="1">
        <f>DATE(2014,5,5) + TIME(22,23,15)</f>
        <v>41764.932812500003</v>
      </c>
      <c r="C1694">
        <v>1847.8101807</v>
      </c>
      <c r="D1694">
        <v>1719.9667969</v>
      </c>
      <c r="E1694">
        <v>904.91680908000001</v>
      </c>
      <c r="F1694">
        <v>713.21923828000001</v>
      </c>
      <c r="G1694">
        <v>80</v>
      </c>
      <c r="H1694">
        <v>79.836532593000001</v>
      </c>
      <c r="I1694">
        <v>50</v>
      </c>
      <c r="J1694">
        <v>49.525653839</v>
      </c>
      <c r="K1694">
        <v>2400</v>
      </c>
      <c r="L1694">
        <v>0</v>
      </c>
      <c r="M1694">
        <v>0</v>
      </c>
      <c r="N1694">
        <v>2400</v>
      </c>
    </row>
    <row r="1695" spans="1:14" x14ac:dyDescent="0.25">
      <c r="A1695">
        <v>1466.2188389999999</v>
      </c>
      <c r="B1695" s="1">
        <f>DATE(2014,5,6) + TIME(5,15,7)</f>
        <v>41765.218831018516</v>
      </c>
      <c r="C1695">
        <v>1847.0018310999999</v>
      </c>
      <c r="D1695">
        <v>1719.1729736</v>
      </c>
      <c r="E1695">
        <v>904.87335204999999</v>
      </c>
      <c r="F1695">
        <v>713.16473388999998</v>
      </c>
      <c r="G1695">
        <v>80</v>
      </c>
      <c r="H1695">
        <v>79.864707946999999</v>
      </c>
      <c r="I1695">
        <v>50</v>
      </c>
      <c r="J1695">
        <v>49.507064819</v>
      </c>
      <c r="K1695">
        <v>2400</v>
      </c>
      <c r="L1695">
        <v>0</v>
      </c>
      <c r="M1695">
        <v>0</v>
      </c>
      <c r="N1695">
        <v>2400</v>
      </c>
    </row>
    <row r="1696" spans="1:14" x14ac:dyDescent="0.25">
      <c r="A1696">
        <v>1466.510622</v>
      </c>
      <c r="B1696" s="1">
        <f>DATE(2014,5,6) + TIME(12,15,17)</f>
        <v>41765.510613425926</v>
      </c>
      <c r="C1696">
        <v>1846.2255858999999</v>
      </c>
      <c r="D1696">
        <v>1718.4042969</v>
      </c>
      <c r="E1696">
        <v>904.82922363</v>
      </c>
      <c r="F1696">
        <v>713.10906981999995</v>
      </c>
      <c r="G1696">
        <v>80</v>
      </c>
      <c r="H1696">
        <v>79.88609314</v>
      </c>
      <c r="I1696">
        <v>50</v>
      </c>
      <c r="J1696">
        <v>49.488094330000003</v>
      </c>
      <c r="K1696">
        <v>2400</v>
      </c>
      <c r="L1696">
        <v>0</v>
      </c>
      <c r="M1696">
        <v>0</v>
      </c>
      <c r="N1696">
        <v>2400</v>
      </c>
    </row>
    <row r="1697" spans="1:14" x14ac:dyDescent="0.25">
      <c r="A1697">
        <v>1466.8100469999999</v>
      </c>
      <c r="B1697" s="1">
        <f>DATE(2014,5,6) + TIME(19,26,28)</f>
        <v>41765.810046296298</v>
      </c>
      <c r="C1697">
        <v>1845.4730225000001</v>
      </c>
      <c r="D1697">
        <v>1717.6536865</v>
      </c>
      <c r="E1697">
        <v>904.78411864999998</v>
      </c>
      <c r="F1697">
        <v>713.05187988</v>
      </c>
      <c r="G1697">
        <v>80</v>
      </c>
      <c r="H1697">
        <v>79.90234375</v>
      </c>
      <c r="I1697">
        <v>50</v>
      </c>
      <c r="J1697">
        <v>49.468673705999997</v>
      </c>
      <c r="K1697">
        <v>2400</v>
      </c>
      <c r="L1697">
        <v>0</v>
      </c>
      <c r="M1697">
        <v>0</v>
      </c>
      <c r="N1697">
        <v>2400</v>
      </c>
    </row>
    <row r="1698" spans="1:14" x14ac:dyDescent="0.25">
      <c r="A1698">
        <v>1467.119052</v>
      </c>
      <c r="B1698" s="1">
        <f>DATE(2014,5,7) + TIME(2,51,26)</f>
        <v>41766.119050925925</v>
      </c>
      <c r="C1698">
        <v>1844.7368164</v>
      </c>
      <c r="D1698">
        <v>1716.9158935999999</v>
      </c>
      <c r="E1698">
        <v>904.73779296999999</v>
      </c>
      <c r="F1698">
        <v>712.99291991999996</v>
      </c>
      <c r="G1698">
        <v>80</v>
      </c>
      <c r="H1698">
        <v>79.914710998999993</v>
      </c>
      <c r="I1698">
        <v>50</v>
      </c>
      <c r="J1698">
        <v>49.448715210000003</v>
      </c>
      <c r="K1698">
        <v>2400</v>
      </c>
      <c r="L1698">
        <v>0</v>
      </c>
      <c r="M1698">
        <v>0</v>
      </c>
      <c r="N1698">
        <v>2400</v>
      </c>
    </row>
    <row r="1699" spans="1:14" x14ac:dyDescent="0.25">
      <c r="A1699">
        <v>1467.4396770000001</v>
      </c>
      <c r="B1699" s="1">
        <f>DATE(2014,5,7) + TIME(10,33,8)</f>
        <v>41766.439675925925</v>
      </c>
      <c r="C1699">
        <v>1844.0108643000001</v>
      </c>
      <c r="D1699">
        <v>1716.1856689000001</v>
      </c>
      <c r="E1699">
        <v>904.68988036999997</v>
      </c>
      <c r="F1699">
        <v>712.93188477000001</v>
      </c>
      <c r="G1699">
        <v>80</v>
      </c>
      <c r="H1699">
        <v>79.924118042000003</v>
      </c>
      <c r="I1699">
        <v>50</v>
      </c>
      <c r="J1699">
        <v>49.428123474000003</v>
      </c>
      <c r="K1699">
        <v>2400</v>
      </c>
      <c r="L1699">
        <v>0</v>
      </c>
      <c r="M1699">
        <v>0</v>
      </c>
      <c r="N1699">
        <v>2400</v>
      </c>
    </row>
    <row r="1700" spans="1:14" x14ac:dyDescent="0.25">
      <c r="A1700">
        <v>1467.774312</v>
      </c>
      <c r="B1700" s="1">
        <f>DATE(2014,5,7) + TIME(18,35,0)</f>
        <v>41766.774305555555</v>
      </c>
      <c r="C1700">
        <v>1843.2900391000001</v>
      </c>
      <c r="D1700">
        <v>1715.458374</v>
      </c>
      <c r="E1700">
        <v>904.64013671999999</v>
      </c>
      <c r="F1700">
        <v>712.86834716999999</v>
      </c>
      <c r="G1700">
        <v>80</v>
      </c>
      <c r="H1700">
        <v>79.931274414000001</v>
      </c>
      <c r="I1700">
        <v>50</v>
      </c>
      <c r="J1700">
        <v>49.406780243</v>
      </c>
      <c r="K1700">
        <v>2400</v>
      </c>
      <c r="L1700">
        <v>0</v>
      </c>
      <c r="M1700">
        <v>0</v>
      </c>
      <c r="N1700">
        <v>2400</v>
      </c>
    </row>
    <row r="1701" spans="1:14" x14ac:dyDescent="0.25">
      <c r="A1701">
        <v>1468.1216830000001</v>
      </c>
      <c r="B1701" s="1">
        <f>DATE(2014,5,8) + TIME(2,55,13)</f>
        <v>41767.121678240743</v>
      </c>
      <c r="C1701">
        <v>1842.5692139</v>
      </c>
      <c r="D1701">
        <v>1714.7298584</v>
      </c>
      <c r="E1701">
        <v>904.58801270000004</v>
      </c>
      <c r="F1701">
        <v>712.80206298999997</v>
      </c>
      <c r="G1701">
        <v>80</v>
      </c>
      <c r="H1701">
        <v>79.936660767000006</v>
      </c>
      <c r="I1701">
        <v>50</v>
      </c>
      <c r="J1701">
        <v>49.384727478000002</v>
      </c>
      <c r="K1701">
        <v>2400</v>
      </c>
      <c r="L1701">
        <v>0</v>
      </c>
      <c r="M1701">
        <v>0</v>
      </c>
      <c r="N1701">
        <v>2400</v>
      </c>
    </row>
    <row r="1702" spans="1:14" x14ac:dyDescent="0.25">
      <c r="A1702">
        <v>1468.4826889999999</v>
      </c>
      <c r="B1702" s="1">
        <f>DATE(2014,5,8) + TIME(11,35,4)</f>
        <v>41767.482685185183</v>
      </c>
      <c r="C1702">
        <v>1841.8510742000001</v>
      </c>
      <c r="D1702">
        <v>1714.0032959</v>
      </c>
      <c r="E1702">
        <v>904.53375243999994</v>
      </c>
      <c r="F1702">
        <v>712.73309326000003</v>
      </c>
      <c r="G1702">
        <v>80</v>
      </c>
      <c r="H1702">
        <v>79.940704346000004</v>
      </c>
      <c r="I1702">
        <v>50</v>
      </c>
      <c r="J1702">
        <v>49.361923218000001</v>
      </c>
      <c r="K1702">
        <v>2400</v>
      </c>
      <c r="L1702">
        <v>0</v>
      </c>
      <c r="M1702">
        <v>0</v>
      </c>
      <c r="N1702">
        <v>2400</v>
      </c>
    </row>
    <row r="1703" spans="1:14" x14ac:dyDescent="0.25">
      <c r="A1703">
        <v>1468.8597950000001</v>
      </c>
      <c r="B1703" s="1">
        <f>DATE(2014,5,8) + TIME(20,38,6)</f>
        <v>41767.859791666669</v>
      </c>
      <c r="C1703">
        <v>1841.1342772999999</v>
      </c>
      <c r="D1703">
        <v>1713.2775879000001</v>
      </c>
      <c r="E1703">
        <v>904.47729491999996</v>
      </c>
      <c r="F1703">
        <v>712.66125488</v>
      </c>
      <c r="G1703">
        <v>80</v>
      </c>
      <c r="H1703">
        <v>79.943763732999997</v>
      </c>
      <c r="I1703">
        <v>50</v>
      </c>
      <c r="J1703">
        <v>49.338249206999997</v>
      </c>
      <c r="K1703">
        <v>2400</v>
      </c>
      <c r="L1703">
        <v>0</v>
      </c>
      <c r="M1703">
        <v>0</v>
      </c>
      <c r="N1703">
        <v>2400</v>
      </c>
    </row>
    <row r="1704" spans="1:14" x14ac:dyDescent="0.25">
      <c r="A1704">
        <v>1469.2559180000001</v>
      </c>
      <c r="B1704" s="1">
        <f>DATE(2014,5,9) + TIME(6,8,31)</f>
        <v>41768.255914351852</v>
      </c>
      <c r="C1704">
        <v>1840.4143065999999</v>
      </c>
      <c r="D1704">
        <v>1712.5487060999999</v>
      </c>
      <c r="E1704">
        <v>904.41821288999995</v>
      </c>
      <c r="F1704">
        <v>712.5859375</v>
      </c>
      <c r="G1704">
        <v>80</v>
      </c>
      <c r="H1704">
        <v>79.946067810000002</v>
      </c>
      <c r="I1704">
        <v>50</v>
      </c>
      <c r="J1704">
        <v>49.313568115000002</v>
      </c>
      <c r="K1704">
        <v>2400</v>
      </c>
      <c r="L1704">
        <v>0</v>
      </c>
      <c r="M1704">
        <v>0</v>
      </c>
      <c r="N1704">
        <v>2400</v>
      </c>
    </row>
    <row r="1705" spans="1:14" x14ac:dyDescent="0.25">
      <c r="A1705">
        <v>1469.67445</v>
      </c>
      <c r="B1705" s="1">
        <f>DATE(2014,5,9) + TIME(16,11,12)</f>
        <v>41768.674444444441</v>
      </c>
      <c r="C1705">
        <v>1839.6868896000001</v>
      </c>
      <c r="D1705">
        <v>1711.8125</v>
      </c>
      <c r="E1705">
        <v>904.35607909999999</v>
      </c>
      <c r="F1705">
        <v>712.50671387</v>
      </c>
      <c r="G1705">
        <v>80</v>
      </c>
      <c r="H1705">
        <v>79.947822571000003</v>
      </c>
      <c r="I1705">
        <v>50</v>
      </c>
      <c r="J1705">
        <v>49.287708281999997</v>
      </c>
      <c r="K1705">
        <v>2400</v>
      </c>
      <c r="L1705">
        <v>0</v>
      </c>
      <c r="M1705">
        <v>0</v>
      </c>
      <c r="N1705">
        <v>2400</v>
      </c>
    </row>
    <row r="1706" spans="1:14" x14ac:dyDescent="0.25">
      <c r="A1706">
        <v>1470.1167969999999</v>
      </c>
      <c r="B1706" s="1">
        <f>DATE(2014,5,10) + TIME(2,48,11)</f>
        <v>41769.116793981484</v>
      </c>
      <c r="C1706">
        <v>1838.9477539</v>
      </c>
      <c r="D1706">
        <v>1711.0646973</v>
      </c>
      <c r="E1706">
        <v>904.29022216999999</v>
      </c>
      <c r="F1706">
        <v>712.42291260000002</v>
      </c>
      <c r="G1706">
        <v>80</v>
      </c>
      <c r="H1706">
        <v>79.949157714999998</v>
      </c>
      <c r="I1706">
        <v>50</v>
      </c>
      <c r="J1706">
        <v>49.260581969999997</v>
      </c>
      <c r="K1706">
        <v>2400</v>
      </c>
      <c r="L1706">
        <v>0</v>
      </c>
      <c r="M1706">
        <v>0</v>
      </c>
      <c r="N1706">
        <v>2400</v>
      </c>
    </row>
    <row r="1707" spans="1:14" x14ac:dyDescent="0.25">
      <c r="A1707">
        <v>1470.5622969999999</v>
      </c>
      <c r="B1707" s="1">
        <f>DATE(2014,5,10) + TIME(13,29,42)</f>
        <v>41769.562291666669</v>
      </c>
      <c r="C1707">
        <v>1838.1975098</v>
      </c>
      <c r="D1707">
        <v>1710.3062743999999</v>
      </c>
      <c r="E1707">
        <v>904.21966553000004</v>
      </c>
      <c r="F1707">
        <v>712.33508300999995</v>
      </c>
      <c r="G1707">
        <v>80</v>
      </c>
      <c r="H1707">
        <v>79.950134277000004</v>
      </c>
      <c r="I1707">
        <v>50</v>
      </c>
      <c r="J1707">
        <v>49.232975005999997</v>
      </c>
      <c r="K1707">
        <v>2400</v>
      </c>
      <c r="L1707">
        <v>0</v>
      </c>
      <c r="M1707">
        <v>0</v>
      </c>
      <c r="N1707">
        <v>2400</v>
      </c>
    </row>
    <row r="1708" spans="1:14" x14ac:dyDescent="0.25">
      <c r="A1708">
        <v>1471.013735</v>
      </c>
      <c r="B1708" s="1">
        <f>DATE(2014,5,11) + TIME(0,19,46)</f>
        <v>41770.013726851852</v>
      </c>
      <c r="C1708">
        <v>1837.4692382999999</v>
      </c>
      <c r="D1708">
        <v>1709.5706786999999</v>
      </c>
      <c r="E1708">
        <v>904.14855956999997</v>
      </c>
      <c r="F1708">
        <v>712.24591064000003</v>
      </c>
      <c r="G1708">
        <v>80</v>
      </c>
      <c r="H1708">
        <v>79.950866699000002</v>
      </c>
      <c r="I1708">
        <v>50</v>
      </c>
      <c r="J1708">
        <v>49.204906463999997</v>
      </c>
      <c r="K1708">
        <v>2400</v>
      </c>
      <c r="L1708">
        <v>0</v>
      </c>
      <c r="M1708">
        <v>0</v>
      </c>
      <c r="N1708">
        <v>2400</v>
      </c>
    </row>
    <row r="1709" spans="1:14" x14ac:dyDescent="0.25">
      <c r="A1709">
        <v>1471.473833</v>
      </c>
      <c r="B1709" s="1">
        <f>DATE(2014,5,11) + TIME(11,22,19)</f>
        <v>41770.47383101852</v>
      </c>
      <c r="C1709">
        <v>1836.7575684000001</v>
      </c>
      <c r="D1709">
        <v>1708.8525391000001</v>
      </c>
      <c r="E1709">
        <v>904.07659911999997</v>
      </c>
      <c r="F1709">
        <v>712.15509033000001</v>
      </c>
      <c r="G1709">
        <v>80</v>
      </c>
      <c r="H1709">
        <v>79.951431274000001</v>
      </c>
      <c r="I1709">
        <v>50</v>
      </c>
      <c r="J1709">
        <v>49.176342009999999</v>
      </c>
      <c r="K1709">
        <v>2400</v>
      </c>
      <c r="L1709">
        <v>0</v>
      </c>
      <c r="M1709">
        <v>0</v>
      </c>
      <c r="N1709">
        <v>2400</v>
      </c>
    </row>
    <row r="1710" spans="1:14" x14ac:dyDescent="0.25">
      <c r="A1710">
        <v>1471.9454229999999</v>
      </c>
      <c r="B1710" s="1">
        <f>DATE(2014,5,11) + TIME(22,41,24)</f>
        <v>41770.945416666669</v>
      </c>
      <c r="C1710">
        <v>1836.0573730000001</v>
      </c>
      <c r="D1710">
        <v>1708.1467285000001</v>
      </c>
      <c r="E1710">
        <v>904.00317383000004</v>
      </c>
      <c r="F1710">
        <v>712.06219481999995</v>
      </c>
      <c r="G1710">
        <v>80</v>
      </c>
      <c r="H1710">
        <v>79.951866150000001</v>
      </c>
      <c r="I1710">
        <v>50</v>
      </c>
      <c r="J1710">
        <v>49.147186279000003</v>
      </c>
      <c r="K1710">
        <v>2400</v>
      </c>
      <c r="L1710">
        <v>0</v>
      </c>
      <c r="M1710">
        <v>0</v>
      </c>
      <c r="N1710">
        <v>2400</v>
      </c>
    </row>
    <row r="1711" spans="1:14" x14ac:dyDescent="0.25">
      <c r="A1711">
        <v>1472.4314830000001</v>
      </c>
      <c r="B1711" s="1">
        <f>DATE(2014,5,12) + TIME(10,21,20)</f>
        <v>41771.431481481479</v>
      </c>
      <c r="C1711">
        <v>1835.3640137</v>
      </c>
      <c r="D1711">
        <v>1707.4483643000001</v>
      </c>
      <c r="E1711">
        <v>903.92779541000004</v>
      </c>
      <c r="F1711">
        <v>711.96667479999996</v>
      </c>
      <c r="G1711">
        <v>80</v>
      </c>
      <c r="H1711">
        <v>79.952217102000006</v>
      </c>
      <c r="I1711">
        <v>50</v>
      </c>
      <c r="J1711">
        <v>49.117324828999998</v>
      </c>
      <c r="K1711">
        <v>2400</v>
      </c>
      <c r="L1711">
        <v>0</v>
      </c>
      <c r="M1711">
        <v>0</v>
      </c>
      <c r="N1711">
        <v>2400</v>
      </c>
    </row>
    <row r="1712" spans="1:14" x14ac:dyDescent="0.25">
      <c r="A1712">
        <v>1472.935178</v>
      </c>
      <c r="B1712" s="1">
        <f>DATE(2014,5,12) + TIME(22,26,39)</f>
        <v>41771.935173611113</v>
      </c>
      <c r="C1712">
        <v>1834.6728516000001</v>
      </c>
      <c r="D1712">
        <v>1706.7531738</v>
      </c>
      <c r="E1712">
        <v>903.85003661999997</v>
      </c>
      <c r="F1712">
        <v>711.86798095999995</v>
      </c>
      <c r="G1712">
        <v>80</v>
      </c>
      <c r="H1712">
        <v>79.952491760000001</v>
      </c>
      <c r="I1712">
        <v>50</v>
      </c>
      <c r="J1712">
        <v>49.086608886999997</v>
      </c>
      <c r="K1712">
        <v>2400</v>
      </c>
      <c r="L1712">
        <v>0</v>
      </c>
      <c r="M1712">
        <v>0</v>
      </c>
      <c r="N1712">
        <v>2400</v>
      </c>
    </row>
    <row r="1713" spans="1:14" x14ac:dyDescent="0.25">
      <c r="A1713">
        <v>1473.460184</v>
      </c>
      <c r="B1713" s="1">
        <f>DATE(2014,5,13) + TIME(11,2,39)</f>
        <v>41772.460173611114</v>
      </c>
      <c r="C1713">
        <v>1833.9801024999999</v>
      </c>
      <c r="D1713">
        <v>1706.0568848</v>
      </c>
      <c r="E1713">
        <v>903.76934814000003</v>
      </c>
      <c r="F1713">
        <v>711.76550293000003</v>
      </c>
      <c r="G1713">
        <v>80</v>
      </c>
      <c r="H1713">
        <v>79.952720642000003</v>
      </c>
      <c r="I1713">
        <v>50</v>
      </c>
      <c r="J1713">
        <v>49.054866791000002</v>
      </c>
      <c r="K1713">
        <v>2400</v>
      </c>
      <c r="L1713">
        <v>0</v>
      </c>
      <c r="M1713">
        <v>0</v>
      </c>
      <c r="N1713">
        <v>2400</v>
      </c>
    </row>
    <row r="1714" spans="1:14" x14ac:dyDescent="0.25">
      <c r="A1714">
        <v>1474.000282</v>
      </c>
      <c r="B1714" s="1">
        <f>DATE(2014,5,14) + TIME(0,0,24)</f>
        <v>41773.000277777777</v>
      </c>
      <c r="C1714">
        <v>1833.2816161999999</v>
      </c>
      <c r="D1714">
        <v>1705.3555908000001</v>
      </c>
      <c r="E1714">
        <v>903.68469238</v>
      </c>
      <c r="F1714">
        <v>711.65881348000005</v>
      </c>
      <c r="G1714">
        <v>80</v>
      </c>
      <c r="H1714">
        <v>79.952903747999997</v>
      </c>
      <c r="I1714">
        <v>50</v>
      </c>
      <c r="J1714">
        <v>49.022274017000001</v>
      </c>
      <c r="K1714">
        <v>2400</v>
      </c>
      <c r="L1714">
        <v>0</v>
      </c>
      <c r="M1714">
        <v>0</v>
      </c>
      <c r="N1714">
        <v>2400</v>
      </c>
    </row>
    <row r="1715" spans="1:14" x14ac:dyDescent="0.25">
      <c r="A1715">
        <v>1474.557018</v>
      </c>
      <c r="B1715" s="1">
        <f>DATE(2014,5,14) + TIME(13,22,6)</f>
        <v>41773.557013888887</v>
      </c>
      <c r="C1715">
        <v>1832.5856934000001</v>
      </c>
      <c r="D1715">
        <v>1704.6575928</v>
      </c>
      <c r="E1715">
        <v>903.59741211000005</v>
      </c>
      <c r="F1715">
        <v>711.54858397999999</v>
      </c>
      <c r="G1715">
        <v>80</v>
      </c>
      <c r="H1715">
        <v>79.953056334999999</v>
      </c>
      <c r="I1715">
        <v>50</v>
      </c>
      <c r="J1715">
        <v>48.988792418999999</v>
      </c>
      <c r="K1715">
        <v>2400</v>
      </c>
      <c r="L1715">
        <v>0</v>
      </c>
      <c r="M1715">
        <v>0</v>
      </c>
      <c r="N1715">
        <v>2400</v>
      </c>
    </row>
    <row r="1716" spans="1:14" x14ac:dyDescent="0.25">
      <c r="A1716">
        <v>1475.1338129999999</v>
      </c>
      <c r="B1716" s="1">
        <f>DATE(2014,5,15) + TIME(3,12,41)</f>
        <v>41774.13380787037</v>
      </c>
      <c r="C1716">
        <v>1831.890625</v>
      </c>
      <c r="D1716">
        <v>1703.9611815999999</v>
      </c>
      <c r="E1716">
        <v>903.50720215000001</v>
      </c>
      <c r="F1716">
        <v>711.43457031000003</v>
      </c>
      <c r="G1716">
        <v>80</v>
      </c>
      <c r="H1716">
        <v>79.953186035000002</v>
      </c>
      <c r="I1716">
        <v>50</v>
      </c>
      <c r="J1716">
        <v>48.954303740999997</v>
      </c>
      <c r="K1716">
        <v>2400</v>
      </c>
      <c r="L1716">
        <v>0</v>
      </c>
      <c r="M1716">
        <v>0</v>
      </c>
      <c r="N1716">
        <v>2400</v>
      </c>
    </row>
    <row r="1717" spans="1:14" x14ac:dyDescent="0.25">
      <c r="A1717">
        <v>1475.734379</v>
      </c>
      <c r="B1717" s="1">
        <f>DATE(2014,5,15) + TIME(17,37,30)</f>
        <v>41774.734375</v>
      </c>
      <c r="C1717">
        <v>1831.1928711</v>
      </c>
      <c r="D1717">
        <v>1703.2625731999999</v>
      </c>
      <c r="E1717">
        <v>903.41357421999999</v>
      </c>
      <c r="F1717">
        <v>711.31597899999997</v>
      </c>
      <c r="G1717">
        <v>80</v>
      </c>
      <c r="H1717">
        <v>79.953292847</v>
      </c>
      <c r="I1717">
        <v>50</v>
      </c>
      <c r="J1717">
        <v>48.918655395999998</v>
      </c>
      <c r="K1717">
        <v>2400</v>
      </c>
      <c r="L1717">
        <v>0</v>
      </c>
      <c r="M1717">
        <v>0</v>
      </c>
      <c r="N1717">
        <v>2400</v>
      </c>
    </row>
    <row r="1718" spans="1:14" x14ac:dyDescent="0.25">
      <c r="A1718">
        <v>1476.342418</v>
      </c>
      <c r="B1718" s="1">
        <f>DATE(2014,5,16) + TIME(8,13,4)</f>
        <v>41775.342407407406</v>
      </c>
      <c r="C1718">
        <v>1830.4893798999999</v>
      </c>
      <c r="D1718">
        <v>1702.5589600000001</v>
      </c>
      <c r="E1718">
        <v>903.31518555000002</v>
      </c>
      <c r="F1718">
        <v>711.19281006000006</v>
      </c>
      <c r="G1718">
        <v>80</v>
      </c>
      <c r="H1718">
        <v>79.953384399000001</v>
      </c>
      <c r="I1718">
        <v>50</v>
      </c>
      <c r="J1718">
        <v>48.882354736000003</v>
      </c>
      <c r="K1718">
        <v>2400</v>
      </c>
      <c r="L1718">
        <v>0</v>
      </c>
      <c r="M1718">
        <v>0</v>
      </c>
      <c r="N1718">
        <v>2400</v>
      </c>
    </row>
    <row r="1719" spans="1:14" x14ac:dyDescent="0.25">
      <c r="A1719">
        <v>1476.960951</v>
      </c>
      <c r="B1719" s="1">
        <f>DATE(2014,5,16) + TIME(23,3,46)</f>
        <v>41775.960949074077</v>
      </c>
      <c r="C1719">
        <v>1829.7979736</v>
      </c>
      <c r="D1719">
        <v>1701.8681641000001</v>
      </c>
      <c r="E1719">
        <v>903.21539307</v>
      </c>
      <c r="F1719">
        <v>711.06732178000004</v>
      </c>
      <c r="G1719">
        <v>80</v>
      </c>
      <c r="H1719">
        <v>79.953460692999997</v>
      </c>
      <c r="I1719">
        <v>50</v>
      </c>
      <c r="J1719">
        <v>48.845439911</v>
      </c>
      <c r="K1719">
        <v>2400</v>
      </c>
      <c r="L1719">
        <v>0</v>
      </c>
      <c r="M1719">
        <v>0</v>
      </c>
      <c r="N1719">
        <v>2400</v>
      </c>
    </row>
    <row r="1720" spans="1:14" x14ac:dyDescent="0.25">
      <c r="A1720">
        <v>1477.5939229999999</v>
      </c>
      <c r="B1720" s="1">
        <f>DATE(2014,5,17) + TIME(14,15,14)</f>
        <v>41776.593912037039</v>
      </c>
      <c r="C1720">
        <v>1829.1152344</v>
      </c>
      <c r="D1720">
        <v>1701.1865233999999</v>
      </c>
      <c r="E1720">
        <v>903.11370850000003</v>
      </c>
      <c r="F1720">
        <v>710.93902588000003</v>
      </c>
      <c r="G1720">
        <v>80</v>
      </c>
      <c r="H1720">
        <v>79.953529357999997</v>
      </c>
      <c r="I1720">
        <v>50</v>
      </c>
      <c r="J1720">
        <v>48.807830811000002</v>
      </c>
      <c r="K1720">
        <v>2400</v>
      </c>
      <c r="L1720">
        <v>0</v>
      </c>
      <c r="M1720">
        <v>0</v>
      </c>
      <c r="N1720">
        <v>2400</v>
      </c>
    </row>
    <row r="1721" spans="1:14" x14ac:dyDescent="0.25">
      <c r="A1721">
        <v>1478.24548</v>
      </c>
      <c r="B1721" s="1">
        <f>DATE(2014,5,18) + TIME(5,53,29)</f>
        <v>41777.245474537034</v>
      </c>
      <c r="C1721">
        <v>1828.4366454999999</v>
      </c>
      <c r="D1721">
        <v>1700.5096435999999</v>
      </c>
      <c r="E1721">
        <v>903.00939941000001</v>
      </c>
      <c r="F1721">
        <v>710.80718993999994</v>
      </c>
      <c r="G1721">
        <v>80</v>
      </c>
      <c r="H1721">
        <v>79.953582764000004</v>
      </c>
      <c r="I1721">
        <v>50</v>
      </c>
      <c r="J1721">
        <v>48.769374847000002</v>
      </c>
      <c r="K1721">
        <v>2400</v>
      </c>
      <c r="L1721">
        <v>0</v>
      </c>
      <c r="M1721">
        <v>0</v>
      </c>
      <c r="N1721">
        <v>2400</v>
      </c>
    </row>
    <row r="1722" spans="1:14" x14ac:dyDescent="0.25">
      <c r="A1722">
        <v>1478.9200530000001</v>
      </c>
      <c r="B1722" s="1">
        <f>DATE(2014,5,18) + TIME(22,4,52)</f>
        <v>41777.920046296298</v>
      </c>
      <c r="C1722">
        <v>1827.7578125</v>
      </c>
      <c r="D1722">
        <v>1699.8330077999999</v>
      </c>
      <c r="E1722">
        <v>902.90179443</v>
      </c>
      <c r="F1722">
        <v>710.67095946999996</v>
      </c>
      <c r="G1722">
        <v>80</v>
      </c>
      <c r="H1722">
        <v>79.953636169000006</v>
      </c>
      <c r="I1722">
        <v>50</v>
      </c>
      <c r="J1722">
        <v>48.729885101000001</v>
      </c>
      <c r="K1722">
        <v>2400</v>
      </c>
      <c r="L1722">
        <v>0</v>
      </c>
      <c r="M1722">
        <v>0</v>
      </c>
      <c r="N1722">
        <v>2400</v>
      </c>
    </row>
    <row r="1723" spans="1:14" x14ac:dyDescent="0.25">
      <c r="A1723">
        <v>1479.622926</v>
      </c>
      <c r="B1723" s="1">
        <f>DATE(2014,5,19) + TIME(14,57,0)</f>
        <v>41778.622916666667</v>
      </c>
      <c r="C1723">
        <v>1827.0745850000001</v>
      </c>
      <c r="D1723">
        <v>1699.1527100000001</v>
      </c>
      <c r="E1723">
        <v>902.78997803000004</v>
      </c>
      <c r="F1723">
        <v>710.52935791000004</v>
      </c>
      <c r="G1723">
        <v>80</v>
      </c>
      <c r="H1723">
        <v>79.953689574999999</v>
      </c>
      <c r="I1723">
        <v>50</v>
      </c>
      <c r="J1723">
        <v>48.689117432000003</v>
      </c>
      <c r="K1723">
        <v>2400</v>
      </c>
      <c r="L1723">
        <v>0</v>
      </c>
      <c r="M1723">
        <v>0</v>
      </c>
      <c r="N1723">
        <v>2400</v>
      </c>
    </row>
    <row r="1724" spans="1:14" x14ac:dyDescent="0.25">
      <c r="A1724">
        <v>1480.356988</v>
      </c>
      <c r="B1724" s="1">
        <f>DATE(2014,5,20) + TIME(8,34,3)</f>
        <v>41779.356979166667</v>
      </c>
      <c r="C1724">
        <v>1826.3826904</v>
      </c>
      <c r="D1724">
        <v>1698.4641113</v>
      </c>
      <c r="E1724">
        <v>902.67297363</v>
      </c>
      <c r="F1724">
        <v>710.38128661999997</v>
      </c>
      <c r="G1724">
        <v>80</v>
      </c>
      <c r="H1724">
        <v>79.953735351999995</v>
      </c>
      <c r="I1724">
        <v>50</v>
      </c>
      <c r="J1724">
        <v>48.646881104000002</v>
      </c>
      <c r="K1724">
        <v>2400</v>
      </c>
      <c r="L1724">
        <v>0</v>
      </c>
      <c r="M1724">
        <v>0</v>
      </c>
      <c r="N1724">
        <v>2400</v>
      </c>
    </row>
    <row r="1725" spans="1:14" x14ac:dyDescent="0.25">
      <c r="A1725">
        <v>1481.105712</v>
      </c>
      <c r="B1725" s="1">
        <f>DATE(2014,5,21) + TIME(2,32,13)</f>
        <v>41780.105706018519</v>
      </c>
      <c r="C1725">
        <v>1825.6807861</v>
      </c>
      <c r="D1725">
        <v>1697.7662353999999</v>
      </c>
      <c r="E1725">
        <v>902.54968262</v>
      </c>
      <c r="F1725">
        <v>710.22668456999997</v>
      </c>
      <c r="G1725">
        <v>80</v>
      </c>
      <c r="H1725">
        <v>79.953781128000003</v>
      </c>
      <c r="I1725">
        <v>50</v>
      </c>
      <c r="J1725">
        <v>48.603588104000004</v>
      </c>
      <c r="K1725">
        <v>2400</v>
      </c>
      <c r="L1725">
        <v>0</v>
      </c>
      <c r="M1725">
        <v>0</v>
      </c>
      <c r="N1725">
        <v>2400</v>
      </c>
    </row>
    <row r="1726" spans="1:14" x14ac:dyDescent="0.25">
      <c r="A1726">
        <v>1481.8735919999999</v>
      </c>
      <c r="B1726" s="1">
        <f>DATE(2014,5,21) + TIME(20,57,58)</f>
        <v>41780.87358796296</v>
      </c>
      <c r="C1726">
        <v>1824.9840088000001</v>
      </c>
      <c r="D1726">
        <v>1697.0738524999999</v>
      </c>
      <c r="E1726">
        <v>902.42358397999999</v>
      </c>
      <c r="F1726">
        <v>710.06774901999995</v>
      </c>
      <c r="G1726">
        <v>80</v>
      </c>
      <c r="H1726">
        <v>79.953819275000001</v>
      </c>
      <c r="I1726">
        <v>50</v>
      </c>
      <c r="J1726">
        <v>48.559268951</v>
      </c>
      <c r="K1726">
        <v>2400</v>
      </c>
      <c r="L1726">
        <v>0</v>
      </c>
      <c r="M1726">
        <v>0</v>
      </c>
      <c r="N1726">
        <v>2400</v>
      </c>
    </row>
    <row r="1727" spans="1:14" x14ac:dyDescent="0.25">
      <c r="A1727">
        <v>1482.66254</v>
      </c>
      <c r="B1727" s="1">
        <f>DATE(2014,5,22) + TIME(15,54,3)</f>
        <v>41781.662534722222</v>
      </c>
      <c r="C1727">
        <v>1824.2886963000001</v>
      </c>
      <c r="D1727">
        <v>1696.3835449000001</v>
      </c>
      <c r="E1727">
        <v>902.29370116999996</v>
      </c>
      <c r="F1727">
        <v>709.90380859000004</v>
      </c>
      <c r="G1727">
        <v>80</v>
      </c>
      <c r="H1727">
        <v>79.953857421999999</v>
      </c>
      <c r="I1727">
        <v>50</v>
      </c>
      <c r="J1727">
        <v>48.513896942000002</v>
      </c>
      <c r="K1727">
        <v>2400</v>
      </c>
      <c r="L1727">
        <v>0</v>
      </c>
      <c r="M1727">
        <v>0</v>
      </c>
      <c r="N1727">
        <v>2400</v>
      </c>
    </row>
    <row r="1728" spans="1:14" x14ac:dyDescent="0.25">
      <c r="A1728">
        <v>1483.4629580000001</v>
      </c>
      <c r="B1728" s="1">
        <f>DATE(2014,5,23) + TIME(11,6,39)</f>
        <v>41782.462951388887</v>
      </c>
      <c r="C1728">
        <v>1823.5938721</v>
      </c>
      <c r="D1728">
        <v>1695.6940918</v>
      </c>
      <c r="E1728">
        <v>902.15936279000005</v>
      </c>
      <c r="F1728">
        <v>709.73480225000003</v>
      </c>
      <c r="G1728">
        <v>80</v>
      </c>
      <c r="H1728">
        <v>79.953895568999997</v>
      </c>
      <c r="I1728">
        <v>50</v>
      </c>
      <c r="J1728">
        <v>48.467754364000001</v>
      </c>
      <c r="K1728">
        <v>2400</v>
      </c>
      <c r="L1728">
        <v>0</v>
      </c>
      <c r="M1728">
        <v>0</v>
      </c>
      <c r="N1728">
        <v>2400</v>
      </c>
    </row>
    <row r="1729" spans="1:14" x14ac:dyDescent="0.25">
      <c r="A1729">
        <v>1484.2756139999999</v>
      </c>
      <c r="B1729" s="1">
        <f>DATE(2014,5,24) + TIME(6,36,53)</f>
        <v>41783.275613425925</v>
      </c>
      <c r="C1729">
        <v>1822.9071045000001</v>
      </c>
      <c r="D1729">
        <v>1695.0130615</v>
      </c>
      <c r="E1729">
        <v>902.02239989999998</v>
      </c>
      <c r="F1729">
        <v>709.56207274999997</v>
      </c>
      <c r="G1729">
        <v>80</v>
      </c>
      <c r="H1729">
        <v>79.953933715999995</v>
      </c>
      <c r="I1729">
        <v>50</v>
      </c>
      <c r="J1729">
        <v>48.420940399000003</v>
      </c>
      <c r="K1729">
        <v>2400</v>
      </c>
      <c r="L1729">
        <v>0</v>
      </c>
      <c r="M1729">
        <v>0</v>
      </c>
      <c r="N1729">
        <v>2400</v>
      </c>
    </row>
    <row r="1730" spans="1:14" x14ac:dyDescent="0.25">
      <c r="A1730">
        <v>1485.104693</v>
      </c>
      <c r="B1730" s="1">
        <f>DATE(2014,5,25) + TIME(2,30,45)</f>
        <v>41784.104687500003</v>
      </c>
      <c r="C1730">
        <v>1822.2276611</v>
      </c>
      <c r="D1730">
        <v>1694.3397216999999</v>
      </c>
      <c r="E1730">
        <v>901.88269043000003</v>
      </c>
      <c r="F1730">
        <v>709.38537598000005</v>
      </c>
      <c r="G1730">
        <v>80</v>
      </c>
      <c r="H1730">
        <v>79.953971863000007</v>
      </c>
      <c r="I1730">
        <v>50</v>
      </c>
      <c r="J1730">
        <v>48.373390198000003</v>
      </c>
      <c r="K1730">
        <v>2400</v>
      </c>
      <c r="L1730">
        <v>0</v>
      </c>
      <c r="M1730">
        <v>0</v>
      </c>
      <c r="N1730">
        <v>2400</v>
      </c>
    </row>
    <row r="1731" spans="1:14" x14ac:dyDescent="0.25">
      <c r="A1731">
        <v>1485.955277</v>
      </c>
      <c r="B1731" s="1">
        <f>DATE(2014,5,25) + TIME(22,55,35)</f>
        <v>41784.955266203702</v>
      </c>
      <c r="C1731">
        <v>1821.5518798999999</v>
      </c>
      <c r="D1731">
        <v>1693.6704102000001</v>
      </c>
      <c r="E1731">
        <v>901.73950194999998</v>
      </c>
      <c r="F1731">
        <v>709.20385741999996</v>
      </c>
      <c r="G1731">
        <v>80</v>
      </c>
      <c r="H1731">
        <v>79.954010010000005</v>
      </c>
      <c r="I1731">
        <v>50</v>
      </c>
      <c r="J1731">
        <v>48.324932097999998</v>
      </c>
      <c r="K1731">
        <v>2400</v>
      </c>
      <c r="L1731">
        <v>0</v>
      </c>
      <c r="M1731">
        <v>0</v>
      </c>
      <c r="N1731">
        <v>2400</v>
      </c>
    </row>
    <row r="1732" spans="1:14" x14ac:dyDescent="0.25">
      <c r="A1732">
        <v>1486.8328389999999</v>
      </c>
      <c r="B1732" s="1">
        <f>DATE(2014,5,26) + TIME(19,59,17)</f>
        <v>41785.832835648151</v>
      </c>
      <c r="C1732">
        <v>1820.8757324000001</v>
      </c>
      <c r="D1732">
        <v>1693.0012207</v>
      </c>
      <c r="E1732">
        <v>901.59167479999996</v>
      </c>
      <c r="F1732">
        <v>709.01629638999998</v>
      </c>
      <c r="G1732">
        <v>80</v>
      </c>
      <c r="H1732">
        <v>79.954048157000003</v>
      </c>
      <c r="I1732">
        <v>50</v>
      </c>
      <c r="J1732">
        <v>48.275325774999999</v>
      </c>
      <c r="K1732">
        <v>2400</v>
      </c>
      <c r="L1732">
        <v>0</v>
      </c>
      <c r="M1732">
        <v>0</v>
      </c>
      <c r="N1732">
        <v>2400</v>
      </c>
    </row>
    <row r="1733" spans="1:14" x14ac:dyDescent="0.25">
      <c r="A1733">
        <v>1487.743354</v>
      </c>
      <c r="B1733" s="1">
        <f>DATE(2014,5,27) + TIME(17,50,25)</f>
        <v>41786.743344907409</v>
      </c>
      <c r="C1733">
        <v>1820.1953125</v>
      </c>
      <c r="D1733">
        <v>1692.3280029</v>
      </c>
      <c r="E1733">
        <v>901.43829345999995</v>
      </c>
      <c r="F1733">
        <v>708.82135010000002</v>
      </c>
      <c r="G1733">
        <v>80</v>
      </c>
      <c r="H1733">
        <v>79.954086304</v>
      </c>
      <c r="I1733">
        <v>50</v>
      </c>
      <c r="J1733">
        <v>48.224285125999998</v>
      </c>
      <c r="K1733">
        <v>2400</v>
      </c>
      <c r="L1733">
        <v>0</v>
      </c>
      <c r="M1733">
        <v>0</v>
      </c>
      <c r="N1733">
        <v>2400</v>
      </c>
    </row>
    <row r="1734" spans="1:14" x14ac:dyDescent="0.25">
      <c r="A1734">
        <v>1488.6940139999999</v>
      </c>
      <c r="B1734" s="1">
        <f>DATE(2014,5,28) + TIME(16,39,22)</f>
        <v>41787.694004629629</v>
      </c>
      <c r="C1734">
        <v>1819.5064697</v>
      </c>
      <c r="D1734">
        <v>1691.6468506000001</v>
      </c>
      <c r="E1734">
        <v>901.27801513999998</v>
      </c>
      <c r="F1734">
        <v>708.61737060999997</v>
      </c>
      <c r="G1734">
        <v>80</v>
      </c>
      <c r="H1734">
        <v>79.954124450999998</v>
      </c>
      <c r="I1734">
        <v>50</v>
      </c>
      <c r="J1734">
        <v>48.171466827000003</v>
      </c>
      <c r="K1734">
        <v>2400</v>
      </c>
      <c r="L1734">
        <v>0</v>
      </c>
      <c r="M1734">
        <v>0</v>
      </c>
      <c r="N1734">
        <v>2400</v>
      </c>
    </row>
    <row r="1735" spans="1:14" x14ac:dyDescent="0.25">
      <c r="A1735">
        <v>1489.6530049999999</v>
      </c>
      <c r="B1735" s="1">
        <f>DATE(2014,5,29) + TIME(15,40,19)</f>
        <v>41788.652997685182</v>
      </c>
      <c r="C1735">
        <v>1818.8059082</v>
      </c>
      <c r="D1735">
        <v>1690.9544678</v>
      </c>
      <c r="E1735">
        <v>901.10852050999995</v>
      </c>
      <c r="F1735">
        <v>708.40368651999995</v>
      </c>
      <c r="G1735">
        <v>80</v>
      </c>
      <c r="H1735">
        <v>79.954162597999996</v>
      </c>
      <c r="I1735">
        <v>50</v>
      </c>
      <c r="J1735">
        <v>48.117515564000001</v>
      </c>
      <c r="K1735">
        <v>2400</v>
      </c>
      <c r="L1735">
        <v>0</v>
      </c>
      <c r="M1735">
        <v>0</v>
      </c>
      <c r="N1735">
        <v>2400</v>
      </c>
    </row>
    <row r="1736" spans="1:14" x14ac:dyDescent="0.25">
      <c r="A1736">
        <v>1490.619786</v>
      </c>
      <c r="B1736" s="1">
        <f>DATE(2014,5,30) + TIME(14,52,29)</f>
        <v>41789.619780092595</v>
      </c>
      <c r="C1736">
        <v>1818.1154785000001</v>
      </c>
      <c r="D1736">
        <v>1690.2724608999999</v>
      </c>
      <c r="E1736">
        <v>900.93634033000001</v>
      </c>
      <c r="F1736">
        <v>708.18542479999996</v>
      </c>
      <c r="G1736">
        <v>80</v>
      </c>
      <c r="H1736">
        <v>79.954200744999994</v>
      </c>
      <c r="I1736">
        <v>50</v>
      </c>
      <c r="J1736">
        <v>48.062858581999997</v>
      </c>
      <c r="K1736">
        <v>2400</v>
      </c>
      <c r="L1736">
        <v>0</v>
      </c>
      <c r="M1736">
        <v>0</v>
      </c>
      <c r="N1736">
        <v>2400</v>
      </c>
    </row>
    <row r="1737" spans="1:14" x14ac:dyDescent="0.25">
      <c r="A1737">
        <v>1491.5996500000001</v>
      </c>
      <c r="B1737" s="1">
        <f>DATE(2014,5,31) + TIME(14,23,29)</f>
        <v>41790.599641203706</v>
      </c>
      <c r="C1737">
        <v>1817.4356689000001</v>
      </c>
      <c r="D1737">
        <v>1689.6013184000001</v>
      </c>
      <c r="E1737">
        <v>900.76153564000003</v>
      </c>
      <c r="F1737">
        <v>707.96282958999996</v>
      </c>
      <c r="G1737">
        <v>80</v>
      </c>
      <c r="H1737">
        <v>79.954238892000006</v>
      </c>
      <c r="I1737">
        <v>50</v>
      </c>
      <c r="J1737">
        <v>48.007560730000002</v>
      </c>
      <c r="K1737">
        <v>2400</v>
      </c>
      <c r="L1737">
        <v>0</v>
      </c>
      <c r="M1737">
        <v>0</v>
      </c>
      <c r="N1737">
        <v>2400</v>
      </c>
    </row>
    <row r="1738" spans="1:14" x14ac:dyDescent="0.25">
      <c r="A1738">
        <v>1492</v>
      </c>
      <c r="B1738" s="1">
        <f>DATE(2014,6,1) + TIME(0,0,0)</f>
        <v>41791</v>
      </c>
      <c r="C1738">
        <v>1816.7973632999999</v>
      </c>
      <c r="D1738">
        <v>1688.9714355000001</v>
      </c>
      <c r="E1738">
        <v>900.56640625</v>
      </c>
      <c r="F1738">
        <v>707.76293944999998</v>
      </c>
      <c r="G1738">
        <v>80</v>
      </c>
      <c r="H1738">
        <v>79.954223632999998</v>
      </c>
      <c r="I1738">
        <v>50</v>
      </c>
      <c r="J1738">
        <v>47.974391937</v>
      </c>
      <c r="K1738">
        <v>2400</v>
      </c>
      <c r="L1738">
        <v>0</v>
      </c>
      <c r="M1738">
        <v>0</v>
      </c>
      <c r="N1738">
        <v>2400</v>
      </c>
    </row>
    <row r="1739" spans="1:14" x14ac:dyDescent="0.25">
      <c r="A1739">
        <v>1492.998877</v>
      </c>
      <c r="B1739" s="1">
        <f>DATE(2014,6,1) + TIME(23,58,23)</f>
        <v>41791.998877314814</v>
      </c>
      <c r="C1739">
        <v>1816.4801024999999</v>
      </c>
      <c r="D1739">
        <v>1688.6579589999999</v>
      </c>
      <c r="E1739">
        <v>900.51129149999997</v>
      </c>
      <c r="F1739">
        <v>707.63305663999995</v>
      </c>
      <c r="G1739">
        <v>80</v>
      </c>
      <c r="H1739">
        <v>79.954299926999994</v>
      </c>
      <c r="I1739">
        <v>50</v>
      </c>
      <c r="J1739">
        <v>47.923862456999998</v>
      </c>
      <c r="K1739">
        <v>2400</v>
      </c>
      <c r="L1739">
        <v>0</v>
      </c>
      <c r="M1739">
        <v>0</v>
      </c>
      <c r="N1739">
        <v>2400</v>
      </c>
    </row>
    <row r="1740" spans="1:14" x14ac:dyDescent="0.25">
      <c r="A1740">
        <v>1494.0355320000001</v>
      </c>
      <c r="B1740" s="1">
        <f>DATE(2014,6,3) + TIME(0,51,9)</f>
        <v>41793.035520833335</v>
      </c>
      <c r="C1740">
        <v>1815.8259277</v>
      </c>
      <c r="D1740">
        <v>1688.0128173999999</v>
      </c>
      <c r="E1740">
        <v>900.32678223000005</v>
      </c>
      <c r="F1740">
        <v>707.40093993999994</v>
      </c>
      <c r="G1740">
        <v>80</v>
      </c>
      <c r="H1740">
        <v>79.954338074000006</v>
      </c>
      <c r="I1740">
        <v>50</v>
      </c>
      <c r="J1740">
        <v>47.869026183999999</v>
      </c>
      <c r="K1740">
        <v>2400</v>
      </c>
      <c r="L1740">
        <v>0</v>
      </c>
      <c r="M1740">
        <v>0</v>
      </c>
      <c r="N1740">
        <v>2400</v>
      </c>
    </row>
    <row r="1741" spans="1:14" x14ac:dyDescent="0.25">
      <c r="A1741">
        <v>1495.1066949999999</v>
      </c>
      <c r="B1741" s="1">
        <f>DATE(2014,6,4) + TIME(2,33,38)</f>
        <v>41794.106689814813</v>
      </c>
      <c r="C1741">
        <v>1815.1530762</v>
      </c>
      <c r="D1741">
        <v>1687.3493652</v>
      </c>
      <c r="E1741">
        <v>900.13299560999997</v>
      </c>
      <c r="F1741">
        <v>707.15460204999999</v>
      </c>
      <c r="G1741">
        <v>80</v>
      </c>
      <c r="H1741">
        <v>79.954376221000004</v>
      </c>
      <c r="I1741">
        <v>50</v>
      </c>
      <c r="J1741">
        <v>47.811134338000002</v>
      </c>
      <c r="K1741">
        <v>2400</v>
      </c>
      <c r="L1741">
        <v>0</v>
      </c>
      <c r="M1741">
        <v>0</v>
      </c>
      <c r="N1741">
        <v>2400</v>
      </c>
    </row>
    <row r="1742" spans="1:14" x14ac:dyDescent="0.25">
      <c r="A1742">
        <v>1496.220548</v>
      </c>
      <c r="B1742" s="1">
        <f>DATE(2014,6,5) + TIME(5,17,35)</f>
        <v>41795.220543981479</v>
      </c>
      <c r="C1742">
        <v>1814.4719238</v>
      </c>
      <c r="D1742">
        <v>1686.6778564000001</v>
      </c>
      <c r="E1742">
        <v>899.93096923999997</v>
      </c>
      <c r="F1742">
        <v>706.89550781000003</v>
      </c>
      <c r="G1742">
        <v>80</v>
      </c>
      <c r="H1742">
        <v>79.954421996999997</v>
      </c>
      <c r="I1742">
        <v>50</v>
      </c>
      <c r="J1742">
        <v>47.750614165999998</v>
      </c>
      <c r="K1742">
        <v>2400</v>
      </c>
      <c r="L1742">
        <v>0</v>
      </c>
      <c r="M1742">
        <v>0</v>
      </c>
      <c r="N1742">
        <v>2400</v>
      </c>
    </row>
    <row r="1743" spans="1:14" x14ac:dyDescent="0.25">
      <c r="A1743">
        <v>1497.3689870000001</v>
      </c>
      <c r="B1743" s="1">
        <f>DATE(2014,6,6) + TIME(8,51,20)</f>
        <v>41796.368981481479</v>
      </c>
      <c r="C1743">
        <v>1813.7792969</v>
      </c>
      <c r="D1743">
        <v>1685.9952393000001</v>
      </c>
      <c r="E1743">
        <v>899.71850586000005</v>
      </c>
      <c r="F1743">
        <v>706.62243651999995</v>
      </c>
      <c r="G1743">
        <v>80</v>
      </c>
      <c r="H1743">
        <v>79.954460143999995</v>
      </c>
      <c r="I1743">
        <v>50</v>
      </c>
      <c r="J1743">
        <v>47.687797545999999</v>
      </c>
      <c r="K1743">
        <v>2400</v>
      </c>
      <c r="L1743">
        <v>0</v>
      </c>
      <c r="M1743">
        <v>0</v>
      </c>
      <c r="N1743">
        <v>2400</v>
      </c>
    </row>
    <row r="1744" spans="1:14" x14ac:dyDescent="0.25">
      <c r="A1744">
        <v>1498.52315</v>
      </c>
      <c r="B1744" s="1">
        <f>DATE(2014,6,7) + TIME(12,33,20)</f>
        <v>41797.523148148146</v>
      </c>
      <c r="C1744">
        <v>1813.0812988</v>
      </c>
      <c r="D1744">
        <v>1685.3077393000001</v>
      </c>
      <c r="E1744">
        <v>899.49645996000004</v>
      </c>
      <c r="F1744">
        <v>706.33721923999997</v>
      </c>
      <c r="G1744">
        <v>80</v>
      </c>
      <c r="H1744">
        <v>79.954505920000003</v>
      </c>
      <c r="I1744">
        <v>50</v>
      </c>
      <c r="J1744">
        <v>47.623561858999999</v>
      </c>
      <c r="K1744">
        <v>2400</v>
      </c>
      <c r="L1744">
        <v>0</v>
      </c>
      <c r="M1744">
        <v>0</v>
      </c>
      <c r="N1744">
        <v>2400</v>
      </c>
    </row>
    <row r="1745" spans="1:14" x14ac:dyDescent="0.25">
      <c r="A1745">
        <v>1499.6901600000001</v>
      </c>
      <c r="B1745" s="1">
        <f>DATE(2014,6,8) + TIME(16,33,49)</f>
        <v>41798.690150462964</v>
      </c>
      <c r="C1745">
        <v>1812.3944091999999</v>
      </c>
      <c r="D1745">
        <v>1684.6312256000001</v>
      </c>
      <c r="E1745">
        <v>899.27087401999995</v>
      </c>
      <c r="F1745">
        <v>706.04516602000001</v>
      </c>
      <c r="G1745">
        <v>80</v>
      </c>
      <c r="H1745">
        <v>79.954551696999999</v>
      </c>
      <c r="I1745">
        <v>50</v>
      </c>
      <c r="J1745">
        <v>47.558364867999998</v>
      </c>
      <c r="K1745">
        <v>2400</v>
      </c>
      <c r="L1745">
        <v>0</v>
      </c>
      <c r="M1745">
        <v>0</v>
      </c>
      <c r="N1745">
        <v>2400</v>
      </c>
    </row>
    <row r="1746" spans="1:14" x14ac:dyDescent="0.25">
      <c r="A1746">
        <v>1500.8768970000001</v>
      </c>
      <c r="B1746" s="1">
        <f>DATE(2014,6,9) + TIME(21,2,43)</f>
        <v>41799.876886574071</v>
      </c>
      <c r="C1746">
        <v>1811.7144774999999</v>
      </c>
      <c r="D1746">
        <v>1683.9617920000001</v>
      </c>
      <c r="E1746">
        <v>899.04016113</v>
      </c>
      <c r="F1746">
        <v>705.74468993999994</v>
      </c>
      <c r="G1746">
        <v>80</v>
      </c>
      <c r="H1746">
        <v>79.954589843999997</v>
      </c>
      <c r="I1746">
        <v>50</v>
      </c>
      <c r="J1746">
        <v>47.492160796999997</v>
      </c>
      <c r="K1746">
        <v>2400</v>
      </c>
      <c r="L1746">
        <v>0</v>
      </c>
      <c r="M1746">
        <v>0</v>
      </c>
      <c r="N1746">
        <v>2400</v>
      </c>
    </row>
    <row r="1747" spans="1:14" x14ac:dyDescent="0.25">
      <c r="A1747">
        <v>1502.090809</v>
      </c>
      <c r="B1747" s="1">
        <f>DATE(2014,6,11) + TIME(2,10,45)</f>
        <v>41801.090798611112</v>
      </c>
      <c r="C1747">
        <v>1811.0375977000001</v>
      </c>
      <c r="D1747">
        <v>1683.2954102000001</v>
      </c>
      <c r="E1747">
        <v>898.80249022999999</v>
      </c>
      <c r="F1747">
        <v>705.43389893000005</v>
      </c>
      <c r="G1747">
        <v>80</v>
      </c>
      <c r="H1747">
        <v>79.954635620000005</v>
      </c>
      <c r="I1747">
        <v>50</v>
      </c>
      <c r="J1747">
        <v>47.424682617000002</v>
      </c>
      <c r="K1747">
        <v>2400</v>
      </c>
      <c r="L1747">
        <v>0</v>
      </c>
      <c r="M1747">
        <v>0</v>
      </c>
      <c r="N1747">
        <v>2400</v>
      </c>
    </row>
    <row r="1748" spans="1:14" x14ac:dyDescent="0.25">
      <c r="A1748">
        <v>1503.3313619999999</v>
      </c>
      <c r="B1748" s="1">
        <f>DATE(2014,6,12) + TIME(7,57,9)</f>
        <v>41802.331354166665</v>
      </c>
      <c r="C1748">
        <v>1810.3596190999999</v>
      </c>
      <c r="D1748">
        <v>1682.6281738</v>
      </c>
      <c r="E1748">
        <v>898.55603026999995</v>
      </c>
      <c r="F1748">
        <v>705.11065673999997</v>
      </c>
      <c r="G1748">
        <v>80</v>
      </c>
      <c r="H1748">
        <v>79.954681395999998</v>
      </c>
      <c r="I1748">
        <v>50</v>
      </c>
      <c r="J1748">
        <v>47.355747223000002</v>
      </c>
      <c r="K1748">
        <v>2400</v>
      </c>
      <c r="L1748">
        <v>0</v>
      </c>
      <c r="M1748">
        <v>0</v>
      </c>
      <c r="N1748">
        <v>2400</v>
      </c>
    </row>
    <row r="1749" spans="1:14" x14ac:dyDescent="0.25">
      <c r="A1749">
        <v>1504.6028779999999</v>
      </c>
      <c r="B1749" s="1">
        <f>DATE(2014,6,13) + TIME(14,28,8)</f>
        <v>41803.602870370371</v>
      </c>
      <c r="C1749">
        <v>1809.6807861</v>
      </c>
      <c r="D1749">
        <v>1681.9603271000001</v>
      </c>
      <c r="E1749">
        <v>898.30053711000005</v>
      </c>
      <c r="F1749">
        <v>704.77410888999998</v>
      </c>
      <c r="G1749">
        <v>80</v>
      </c>
      <c r="H1749">
        <v>79.954727172999995</v>
      </c>
      <c r="I1749">
        <v>50</v>
      </c>
      <c r="J1749">
        <v>47.285160064999999</v>
      </c>
      <c r="K1749">
        <v>2400</v>
      </c>
      <c r="L1749">
        <v>0</v>
      </c>
      <c r="M1749">
        <v>0</v>
      </c>
      <c r="N1749">
        <v>2400</v>
      </c>
    </row>
    <row r="1750" spans="1:14" x14ac:dyDescent="0.25">
      <c r="A1750">
        <v>1505.913425</v>
      </c>
      <c r="B1750" s="1">
        <f>DATE(2014,6,14) + TIME(21,55,19)</f>
        <v>41804.913414351853</v>
      </c>
      <c r="C1750">
        <v>1808.9990233999999</v>
      </c>
      <c r="D1750">
        <v>1681.2896728999999</v>
      </c>
      <c r="E1750">
        <v>898.03485106999995</v>
      </c>
      <c r="F1750">
        <v>704.42248534999999</v>
      </c>
      <c r="G1750">
        <v>80</v>
      </c>
      <c r="H1750">
        <v>79.954780579000001</v>
      </c>
      <c r="I1750">
        <v>50</v>
      </c>
      <c r="J1750">
        <v>47.212596892999997</v>
      </c>
      <c r="K1750">
        <v>2400</v>
      </c>
      <c r="L1750">
        <v>0</v>
      </c>
      <c r="M1750">
        <v>0</v>
      </c>
      <c r="N1750">
        <v>2400</v>
      </c>
    </row>
    <row r="1751" spans="1:14" x14ac:dyDescent="0.25">
      <c r="A1751">
        <v>1507.2704630000001</v>
      </c>
      <c r="B1751" s="1">
        <f>DATE(2014,6,16) + TIME(6,29,27)</f>
        <v>41806.270451388889</v>
      </c>
      <c r="C1751">
        <v>1808.3105469</v>
      </c>
      <c r="D1751">
        <v>1680.6124268000001</v>
      </c>
      <c r="E1751">
        <v>897.75683593999997</v>
      </c>
      <c r="F1751">
        <v>704.05279541000004</v>
      </c>
      <c r="G1751">
        <v>80</v>
      </c>
      <c r="H1751">
        <v>79.954826354999994</v>
      </c>
      <c r="I1751">
        <v>50</v>
      </c>
      <c r="J1751">
        <v>47.137638092000003</v>
      </c>
      <c r="K1751">
        <v>2400</v>
      </c>
      <c r="L1751">
        <v>0</v>
      </c>
      <c r="M1751">
        <v>0</v>
      </c>
      <c r="N1751">
        <v>2400</v>
      </c>
    </row>
    <row r="1752" spans="1:14" x14ac:dyDescent="0.25">
      <c r="A1752">
        <v>1508.6345100000001</v>
      </c>
      <c r="B1752" s="1">
        <f>DATE(2014,6,17) + TIME(15,13,41)</f>
        <v>41807.634502314817</v>
      </c>
      <c r="C1752">
        <v>1807.612793</v>
      </c>
      <c r="D1752">
        <v>1679.9262695</v>
      </c>
      <c r="E1752">
        <v>897.46356201000003</v>
      </c>
      <c r="F1752">
        <v>703.66345215000001</v>
      </c>
      <c r="G1752">
        <v>80</v>
      </c>
      <c r="H1752">
        <v>79.954872131000002</v>
      </c>
      <c r="I1752">
        <v>50</v>
      </c>
      <c r="J1752">
        <v>47.060844420999999</v>
      </c>
      <c r="K1752">
        <v>2400</v>
      </c>
      <c r="L1752">
        <v>0</v>
      </c>
      <c r="M1752">
        <v>0</v>
      </c>
      <c r="N1752">
        <v>2400</v>
      </c>
    </row>
    <row r="1753" spans="1:14" x14ac:dyDescent="0.25">
      <c r="A1753">
        <v>1510.009728</v>
      </c>
      <c r="B1753" s="1">
        <f>DATE(2014,6,19) + TIME(0,14,0)</f>
        <v>41809.009722222225</v>
      </c>
      <c r="C1753">
        <v>1806.9245605000001</v>
      </c>
      <c r="D1753">
        <v>1679.2496338000001</v>
      </c>
      <c r="E1753">
        <v>897.1640625</v>
      </c>
      <c r="F1753">
        <v>703.26251220999995</v>
      </c>
      <c r="G1753">
        <v>80</v>
      </c>
      <c r="H1753">
        <v>79.954925536999994</v>
      </c>
      <c r="I1753">
        <v>50</v>
      </c>
      <c r="J1753">
        <v>46.982830047999997</v>
      </c>
      <c r="K1753">
        <v>2400</v>
      </c>
      <c r="L1753">
        <v>0</v>
      </c>
      <c r="M1753">
        <v>0</v>
      </c>
      <c r="N1753">
        <v>2400</v>
      </c>
    </row>
    <row r="1754" spans="1:14" x14ac:dyDescent="0.25">
      <c r="A1754">
        <v>1511.404773</v>
      </c>
      <c r="B1754" s="1">
        <f>DATE(2014,6,20) + TIME(9,42,52)</f>
        <v>41810.404768518521</v>
      </c>
      <c r="C1754">
        <v>1806.2440185999999</v>
      </c>
      <c r="D1754">
        <v>1678.5805664</v>
      </c>
      <c r="E1754">
        <v>896.85717772999999</v>
      </c>
      <c r="F1754">
        <v>702.84881591999999</v>
      </c>
      <c r="G1754">
        <v>80</v>
      </c>
      <c r="H1754">
        <v>79.954971313000001</v>
      </c>
      <c r="I1754">
        <v>50</v>
      </c>
      <c r="J1754">
        <v>46.903568268000001</v>
      </c>
      <c r="K1754">
        <v>2400</v>
      </c>
      <c r="L1754">
        <v>0</v>
      </c>
      <c r="M1754">
        <v>0</v>
      </c>
      <c r="N1754">
        <v>2400</v>
      </c>
    </row>
    <row r="1755" spans="1:14" x14ac:dyDescent="0.25">
      <c r="A1755">
        <v>1512.8270789999999</v>
      </c>
      <c r="B1755" s="1">
        <f>DATE(2014,6,21) + TIME(19,50,59)</f>
        <v>41811.82707175926</v>
      </c>
      <c r="C1755">
        <v>1805.5668945</v>
      </c>
      <c r="D1755">
        <v>1677.9147949000001</v>
      </c>
      <c r="E1755">
        <v>896.54058838000003</v>
      </c>
      <c r="F1755">
        <v>702.41961670000001</v>
      </c>
      <c r="G1755">
        <v>80</v>
      </c>
      <c r="H1755">
        <v>79.955024718999994</v>
      </c>
      <c r="I1755">
        <v>50</v>
      </c>
      <c r="J1755">
        <v>46.822738647000001</v>
      </c>
      <c r="K1755">
        <v>2400</v>
      </c>
      <c r="L1755">
        <v>0</v>
      </c>
      <c r="M1755">
        <v>0</v>
      </c>
      <c r="N1755">
        <v>2400</v>
      </c>
    </row>
    <row r="1756" spans="1:14" x14ac:dyDescent="0.25">
      <c r="A1756">
        <v>1514.2850470000001</v>
      </c>
      <c r="B1756" s="1">
        <f>DATE(2014,6,23) + TIME(6,50,28)</f>
        <v>41813.285046296296</v>
      </c>
      <c r="C1756">
        <v>1804.8894043</v>
      </c>
      <c r="D1756">
        <v>1677.2489014</v>
      </c>
      <c r="E1756">
        <v>896.21221923999997</v>
      </c>
      <c r="F1756">
        <v>701.97174071999996</v>
      </c>
      <c r="G1756">
        <v>80</v>
      </c>
      <c r="H1756">
        <v>79.955078125</v>
      </c>
      <c r="I1756">
        <v>50</v>
      </c>
      <c r="J1756">
        <v>46.739910125999998</v>
      </c>
      <c r="K1756">
        <v>2400</v>
      </c>
      <c r="L1756">
        <v>0</v>
      </c>
      <c r="M1756">
        <v>0</v>
      </c>
      <c r="N1756">
        <v>2400</v>
      </c>
    </row>
    <row r="1757" spans="1:14" x14ac:dyDescent="0.25">
      <c r="A1757">
        <v>1515.7880500000001</v>
      </c>
      <c r="B1757" s="1">
        <f>DATE(2014,6,24) + TIME(18,54,47)</f>
        <v>41814.788043981483</v>
      </c>
      <c r="C1757">
        <v>1804.2078856999999</v>
      </c>
      <c r="D1757">
        <v>1676.5791016000001</v>
      </c>
      <c r="E1757">
        <v>895.86956786999997</v>
      </c>
      <c r="F1757">
        <v>701.50183104999996</v>
      </c>
      <c r="G1757">
        <v>80</v>
      </c>
      <c r="H1757">
        <v>79.955131531000006</v>
      </c>
      <c r="I1757">
        <v>50</v>
      </c>
      <c r="J1757">
        <v>46.654560089</v>
      </c>
      <c r="K1757">
        <v>2400</v>
      </c>
      <c r="L1757">
        <v>0</v>
      </c>
      <c r="M1757">
        <v>0</v>
      </c>
      <c r="N1757">
        <v>2400</v>
      </c>
    </row>
    <row r="1758" spans="1:14" x14ac:dyDescent="0.25">
      <c r="A1758">
        <v>1517.3138590000001</v>
      </c>
      <c r="B1758" s="1">
        <f>DATE(2014,6,26) + TIME(7,31,57)</f>
        <v>41816.313854166663</v>
      </c>
      <c r="C1758">
        <v>1803.5189209</v>
      </c>
      <c r="D1758">
        <v>1675.9019774999999</v>
      </c>
      <c r="E1758">
        <v>895.50933838000003</v>
      </c>
      <c r="F1758">
        <v>701.00665283000001</v>
      </c>
      <c r="G1758">
        <v>80</v>
      </c>
      <c r="H1758">
        <v>79.955184936999999</v>
      </c>
      <c r="I1758">
        <v>50</v>
      </c>
      <c r="J1758">
        <v>46.566761016999997</v>
      </c>
      <c r="K1758">
        <v>2400</v>
      </c>
      <c r="L1758">
        <v>0</v>
      </c>
      <c r="M1758">
        <v>0</v>
      </c>
      <c r="N1758">
        <v>2400</v>
      </c>
    </row>
    <row r="1759" spans="1:14" x14ac:dyDescent="0.25">
      <c r="A1759">
        <v>1518.8532439999999</v>
      </c>
      <c r="B1759" s="1">
        <f>DATE(2014,6,27) + TIME(20,28,40)</f>
        <v>41817.85324074074</v>
      </c>
      <c r="C1759">
        <v>1802.8321533000001</v>
      </c>
      <c r="D1759">
        <v>1675.2270507999999</v>
      </c>
      <c r="E1759">
        <v>895.13665771000001</v>
      </c>
      <c r="F1759">
        <v>700.49121093999997</v>
      </c>
      <c r="G1759">
        <v>80</v>
      </c>
      <c r="H1759">
        <v>79.955230713000006</v>
      </c>
      <c r="I1759">
        <v>50</v>
      </c>
      <c r="J1759">
        <v>46.477039337000001</v>
      </c>
      <c r="K1759">
        <v>2400</v>
      </c>
      <c r="L1759">
        <v>0</v>
      </c>
      <c r="M1759">
        <v>0</v>
      </c>
      <c r="N1759">
        <v>2400</v>
      </c>
    </row>
    <row r="1760" spans="1:14" x14ac:dyDescent="0.25">
      <c r="A1760">
        <v>1520.4148990000001</v>
      </c>
      <c r="B1760" s="1">
        <f>DATE(2014,6,29) + TIME(9,57,27)</f>
        <v>41819.414895833332</v>
      </c>
      <c r="C1760">
        <v>1802.1513672000001</v>
      </c>
      <c r="D1760">
        <v>1674.5581055</v>
      </c>
      <c r="E1760">
        <v>894.75366211000005</v>
      </c>
      <c r="F1760">
        <v>699.95733643000005</v>
      </c>
      <c r="G1760">
        <v>80</v>
      </c>
      <c r="H1760">
        <v>79.955291747999993</v>
      </c>
      <c r="I1760">
        <v>50</v>
      </c>
      <c r="J1760">
        <v>46.385532378999997</v>
      </c>
      <c r="K1760">
        <v>2400</v>
      </c>
      <c r="L1760">
        <v>0</v>
      </c>
      <c r="M1760">
        <v>0</v>
      </c>
      <c r="N1760">
        <v>2400</v>
      </c>
    </row>
    <row r="1761" spans="1:14" x14ac:dyDescent="0.25">
      <c r="A1761">
        <v>1522</v>
      </c>
      <c r="B1761" s="1">
        <f>DATE(2014,7,1) + TIME(0,0,0)</f>
        <v>41821</v>
      </c>
      <c r="C1761">
        <v>1801.4731445</v>
      </c>
      <c r="D1761">
        <v>1673.8916016000001</v>
      </c>
      <c r="E1761">
        <v>894.35772704999999</v>
      </c>
      <c r="F1761">
        <v>699.40197753999996</v>
      </c>
      <c r="G1761">
        <v>80</v>
      </c>
      <c r="H1761">
        <v>79.955345154</v>
      </c>
      <c r="I1761">
        <v>50</v>
      </c>
      <c r="J1761">
        <v>46.292079926</v>
      </c>
      <c r="K1761">
        <v>2400</v>
      </c>
      <c r="L1761">
        <v>0</v>
      </c>
      <c r="M1761">
        <v>0</v>
      </c>
      <c r="N1761">
        <v>2400</v>
      </c>
    </row>
    <row r="1762" spans="1:14" x14ac:dyDescent="0.25">
      <c r="A1762">
        <v>1523.5928939999999</v>
      </c>
      <c r="B1762" s="1">
        <f>DATE(2014,7,2) + TIME(14,13,46)</f>
        <v>41822.592893518522</v>
      </c>
      <c r="C1762">
        <v>1800.7971190999999</v>
      </c>
      <c r="D1762">
        <v>1673.2272949000001</v>
      </c>
      <c r="E1762">
        <v>893.94781493999994</v>
      </c>
      <c r="F1762">
        <v>698.82458496000004</v>
      </c>
      <c r="G1762">
        <v>80</v>
      </c>
      <c r="H1762">
        <v>79.955398560000006</v>
      </c>
      <c r="I1762">
        <v>50</v>
      </c>
      <c r="J1762">
        <v>46.196895599000001</v>
      </c>
      <c r="K1762">
        <v>2400</v>
      </c>
      <c r="L1762">
        <v>0</v>
      </c>
      <c r="M1762">
        <v>0</v>
      </c>
      <c r="N1762">
        <v>2400</v>
      </c>
    </row>
    <row r="1763" spans="1:14" x14ac:dyDescent="0.25">
      <c r="A1763">
        <v>1525.2439039999999</v>
      </c>
      <c r="B1763" s="1">
        <f>DATE(2014,7,4) + TIME(5,51,13)</f>
        <v>41824.243900462963</v>
      </c>
      <c r="C1763">
        <v>1800.128418</v>
      </c>
      <c r="D1763">
        <v>1672.5701904</v>
      </c>
      <c r="E1763">
        <v>893.52868651999995</v>
      </c>
      <c r="F1763">
        <v>698.22705078000001</v>
      </c>
      <c r="G1763">
        <v>80</v>
      </c>
      <c r="H1763">
        <v>79.955451964999995</v>
      </c>
      <c r="I1763">
        <v>50</v>
      </c>
      <c r="J1763">
        <v>46.099246979</v>
      </c>
      <c r="K1763">
        <v>2400</v>
      </c>
      <c r="L1763">
        <v>0</v>
      </c>
      <c r="M1763">
        <v>0</v>
      </c>
      <c r="N1763">
        <v>2400</v>
      </c>
    </row>
    <row r="1764" spans="1:14" x14ac:dyDescent="0.25">
      <c r="A1764">
        <v>1526.935559</v>
      </c>
      <c r="B1764" s="1">
        <f>DATE(2014,7,5) + TIME(22,27,12)</f>
        <v>41825.935555555552</v>
      </c>
      <c r="C1764">
        <v>1799.4481201000001</v>
      </c>
      <c r="D1764">
        <v>1671.9017334</v>
      </c>
      <c r="E1764">
        <v>893.08551024999997</v>
      </c>
      <c r="F1764">
        <v>697.59405518000005</v>
      </c>
      <c r="G1764">
        <v>80</v>
      </c>
      <c r="H1764">
        <v>79.955512999999996</v>
      </c>
      <c r="I1764">
        <v>50</v>
      </c>
      <c r="J1764">
        <v>45.998275757000002</v>
      </c>
      <c r="K1764">
        <v>2400</v>
      </c>
      <c r="L1764">
        <v>0</v>
      </c>
      <c r="M1764">
        <v>0</v>
      </c>
      <c r="N1764">
        <v>2400</v>
      </c>
    </row>
    <row r="1765" spans="1:14" x14ac:dyDescent="0.25">
      <c r="A1765">
        <v>1528.643368</v>
      </c>
      <c r="B1765" s="1">
        <f>DATE(2014,7,7) + TIME(15,26,26)</f>
        <v>41827.64335648148</v>
      </c>
      <c r="C1765">
        <v>1798.7631836</v>
      </c>
      <c r="D1765">
        <v>1671.2286377</v>
      </c>
      <c r="E1765">
        <v>892.62225341999999</v>
      </c>
      <c r="F1765">
        <v>696.92956543000003</v>
      </c>
      <c r="G1765">
        <v>80</v>
      </c>
      <c r="H1765">
        <v>79.955566406000003</v>
      </c>
      <c r="I1765">
        <v>50</v>
      </c>
      <c r="J1765">
        <v>45.894439697000003</v>
      </c>
      <c r="K1765">
        <v>2400</v>
      </c>
      <c r="L1765">
        <v>0</v>
      </c>
      <c r="M1765">
        <v>0</v>
      </c>
      <c r="N1765">
        <v>2400</v>
      </c>
    </row>
    <row r="1766" spans="1:14" x14ac:dyDescent="0.25">
      <c r="A1766">
        <v>1530.3631889999999</v>
      </c>
      <c r="B1766" s="1">
        <f>DATE(2014,7,9) + TIME(8,42,59)</f>
        <v>41829.363182870373</v>
      </c>
      <c r="C1766">
        <v>1798.0830077999999</v>
      </c>
      <c r="D1766">
        <v>1670.5603027</v>
      </c>
      <c r="E1766">
        <v>892.14544678000004</v>
      </c>
      <c r="F1766">
        <v>696.24047852000001</v>
      </c>
      <c r="G1766">
        <v>80</v>
      </c>
      <c r="H1766">
        <v>79.955627441000004</v>
      </c>
      <c r="I1766">
        <v>50</v>
      </c>
      <c r="J1766">
        <v>45.788425445999998</v>
      </c>
      <c r="K1766">
        <v>2400</v>
      </c>
      <c r="L1766">
        <v>0</v>
      </c>
      <c r="M1766">
        <v>0</v>
      </c>
      <c r="N1766">
        <v>2400</v>
      </c>
    </row>
    <row r="1767" spans="1:14" x14ac:dyDescent="0.25">
      <c r="A1767">
        <v>1532.0977439999999</v>
      </c>
      <c r="B1767" s="1">
        <f>DATE(2014,7,11) + TIME(2,20,45)</f>
        <v>41831.097743055558</v>
      </c>
      <c r="C1767">
        <v>1797.4091797000001</v>
      </c>
      <c r="D1767">
        <v>1669.8980713000001</v>
      </c>
      <c r="E1767">
        <v>891.65618896000001</v>
      </c>
      <c r="F1767">
        <v>695.52813720999995</v>
      </c>
      <c r="G1767">
        <v>80</v>
      </c>
      <c r="H1767">
        <v>79.955680846999996</v>
      </c>
      <c r="I1767">
        <v>50</v>
      </c>
      <c r="J1767">
        <v>45.680480957</v>
      </c>
      <c r="K1767">
        <v>2400</v>
      </c>
      <c r="L1767">
        <v>0</v>
      </c>
      <c r="M1767">
        <v>0</v>
      </c>
      <c r="N1767">
        <v>2400</v>
      </c>
    </row>
    <row r="1768" spans="1:14" x14ac:dyDescent="0.25">
      <c r="A1768">
        <v>1533.8551669999999</v>
      </c>
      <c r="B1768" s="1">
        <f>DATE(2014,7,12) + TIME(20,31,26)</f>
        <v>41832.855162037034</v>
      </c>
      <c r="C1768">
        <v>1796.7403564000001</v>
      </c>
      <c r="D1768">
        <v>1669.2408447</v>
      </c>
      <c r="E1768">
        <v>891.15344238</v>
      </c>
      <c r="F1768">
        <v>694.79101562000005</v>
      </c>
      <c r="G1768">
        <v>80</v>
      </c>
      <c r="H1768">
        <v>79.955741881999998</v>
      </c>
      <c r="I1768">
        <v>50</v>
      </c>
      <c r="J1768">
        <v>45.570426941000001</v>
      </c>
      <c r="K1768">
        <v>2400</v>
      </c>
      <c r="L1768">
        <v>0</v>
      </c>
      <c r="M1768">
        <v>0</v>
      </c>
      <c r="N1768">
        <v>2400</v>
      </c>
    </row>
    <row r="1769" spans="1:14" x14ac:dyDescent="0.25">
      <c r="A1769">
        <v>1535.6442790000001</v>
      </c>
      <c r="B1769" s="1">
        <f>DATE(2014,7,14) + TIME(15,27,45)</f>
        <v>41834.644270833334</v>
      </c>
      <c r="C1769">
        <v>1796.0736084</v>
      </c>
      <c r="D1769">
        <v>1668.5854492000001</v>
      </c>
      <c r="E1769">
        <v>890.63470458999996</v>
      </c>
      <c r="F1769">
        <v>694.02539062000005</v>
      </c>
      <c r="G1769">
        <v>80</v>
      </c>
      <c r="H1769">
        <v>79.955802917</v>
      </c>
      <c r="I1769">
        <v>50</v>
      </c>
      <c r="J1769">
        <v>45.457828522</v>
      </c>
      <c r="K1769">
        <v>2400</v>
      </c>
      <c r="L1769">
        <v>0</v>
      </c>
      <c r="M1769">
        <v>0</v>
      </c>
      <c r="N1769">
        <v>2400</v>
      </c>
    </row>
    <row r="1770" spans="1:14" x14ac:dyDescent="0.25">
      <c r="A1770">
        <v>1537.4745310000001</v>
      </c>
      <c r="B1770" s="1">
        <f>DATE(2014,7,16) + TIME(11,23,19)</f>
        <v>41836.47452546296</v>
      </c>
      <c r="C1770">
        <v>1795.4055175999999</v>
      </c>
      <c r="D1770">
        <v>1667.9288329999999</v>
      </c>
      <c r="E1770">
        <v>890.09710693</v>
      </c>
      <c r="F1770">
        <v>693.22674560999997</v>
      </c>
      <c r="G1770">
        <v>80</v>
      </c>
      <c r="H1770">
        <v>79.955863953000005</v>
      </c>
      <c r="I1770">
        <v>50</v>
      </c>
      <c r="J1770">
        <v>45.342121124000002</v>
      </c>
      <c r="K1770">
        <v>2400</v>
      </c>
      <c r="L1770">
        <v>0</v>
      </c>
      <c r="M1770">
        <v>0</v>
      </c>
      <c r="N1770">
        <v>2400</v>
      </c>
    </row>
    <row r="1771" spans="1:14" x14ac:dyDescent="0.25">
      <c r="A1771">
        <v>1539.3450049999999</v>
      </c>
      <c r="B1771" s="1">
        <f>DATE(2014,7,18) + TIME(8,16,48)</f>
        <v>41838.345000000001</v>
      </c>
      <c r="C1771">
        <v>1794.7327881000001</v>
      </c>
      <c r="D1771">
        <v>1667.2675781</v>
      </c>
      <c r="E1771">
        <v>889.53717041000004</v>
      </c>
      <c r="F1771">
        <v>692.39038086000005</v>
      </c>
      <c r="G1771">
        <v>80</v>
      </c>
      <c r="H1771">
        <v>79.955924988000007</v>
      </c>
      <c r="I1771">
        <v>50</v>
      </c>
      <c r="J1771">
        <v>45.222869873</v>
      </c>
      <c r="K1771">
        <v>2400</v>
      </c>
      <c r="L1771">
        <v>0</v>
      </c>
      <c r="M1771">
        <v>0</v>
      </c>
      <c r="N1771">
        <v>2400</v>
      </c>
    </row>
    <row r="1772" spans="1:14" x14ac:dyDescent="0.25">
      <c r="A1772">
        <v>1541.219161</v>
      </c>
      <c r="B1772" s="1">
        <f>DATE(2014,7,20) + TIME(5,15,35)</f>
        <v>41840.219155092593</v>
      </c>
      <c r="C1772">
        <v>1794.0563964999999</v>
      </c>
      <c r="D1772">
        <v>1666.6026611</v>
      </c>
      <c r="E1772">
        <v>888.95458984000004</v>
      </c>
      <c r="F1772">
        <v>691.51696776999995</v>
      </c>
      <c r="G1772">
        <v>80</v>
      </c>
      <c r="H1772">
        <v>79.955986022999994</v>
      </c>
      <c r="I1772">
        <v>50</v>
      </c>
      <c r="J1772">
        <v>45.100669861</v>
      </c>
      <c r="K1772">
        <v>2400</v>
      </c>
      <c r="L1772">
        <v>0</v>
      </c>
      <c r="M1772">
        <v>0</v>
      </c>
      <c r="N1772">
        <v>2400</v>
      </c>
    </row>
    <row r="1773" spans="1:14" x14ac:dyDescent="0.25">
      <c r="A1773">
        <v>1543.10688</v>
      </c>
      <c r="B1773" s="1">
        <f>DATE(2014,7,22) + TIME(2,33,54)</f>
        <v>41842.106874999998</v>
      </c>
      <c r="C1773">
        <v>1793.3881836</v>
      </c>
      <c r="D1773">
        <v>1665.9458007999999</v>
      </c>
      <c r="E1773">
        <v>888.36096191000001</v>
      </c>
      <c r="F1773">
        <v>690.61938477000001</v>
      </c>
      <c r="G1773">
        <v>80</v>
      </c>
      <c r="H1773">
        <v>79.956047057999996</v>
      </c>
      <c r="I1773">
        <v>50</v>
      </c>
      <c r="J1773">
        <v>44.976364136000001</v>
      </c>
      <c r="K1773">
        <v>2400</v>
      </c>
      <c r="L1773">
        <v>0</v>
      </c>
      <c r="M1773">
        <v>0</v>
      </c>
      <c r="N1773">
        <v>2400</v>
      </c>
    </row>
    <row r="1774" spans="1:14" x14ac:dyDescent="0.25">
      <c r="A1774">
        <v>1545.0161909999999</v>
      </c>
      <c r="B1774" s="1">
        <f>DATE(2014,7,24) + TIME(0,23,18)</f>
        <v>41844.016180555554</v>
      </c>
      <c r="C1774">
        <v>1792.7253418</v>
      </c>
      <c r="D1774">
        <v>1665.2939452999999</v>
      </c>
      <c r="E1774">
        <v>887.75335693</v>
      </c>
      <c r="F1774">
        <v>689.69427489999998</v>
      </c>
      <c r="G1774">
        <v>80</v>
      </c>
      <c r="H1774">
        <v>79.956108092999997</v>
      </c>
      <c r="I1774">
        <v>50</v>
      </c>
      <c r="J1774">
        <v>44.849815368999998</v>
      </c>
      <c r="K1774">
        <v>2400</v>
      </c>
      <c r="L1774">
        <v>0</v>
      </c>
      <c r="M1774">
        <v>0</v>
      </c>
      <c r="N1774">
        <v>2400</v>
      </c>
    </row>
    <row r="1775" spans="1:14" x14ac:dyDescent="0.25">
      <c r="A1775">
        <v>1546.9563310000001</v>
      </c>
      <c r="B1775" s="1">
        <f>DATE(2014,7,25) + TIME(22,57,7)</f>
        <v>41845.956331018519</v>
      </c>
      <c r="C1775">
        <v>1792.0645752</v>
      </c>
      <c r="D1775">
        <v>1664.6442870999999</v>
      </c>
      <c r="E1775">
        <v>887.12927246000004</v>
      </c>
      <c r="F1775">
        <v>688.73791503999996</v>
      </c>
      <c r="G1775">
        <v>80</v>
      </c>
      <c r="H1775">
        <v>79.956169127999999</v>
      </c>
      <c r="I1775">
        <v>50</v>
      </c>
      <c r="J1775">
        <v>44.720592498999999</v>
      </c>
      <c r="K1775">
        <v>2400</v>
      </c>
      <c r="L1775">
        <v>0</v>
      </c>
      <c r="M1775">
        <v>0</v>
      </c>
      <c r="N1775">
        <v>2400</v>
      </c>
    </row>
    <row r="1776" spans="1:14" x14ac:dyDescent="0.25">
      <c r="A1776">
        <v>1548.9371209999999</v>
      </c>
      <c r="B1776" s="1">
        <f>DATE(2014,7,27) + TIME(22,29,27)</f>
        <v>41847.937118055554</v>
      </c>
      <c r="C1776">
        <v>1791.4027100000001</v>
      </c>
      <c r="D1776">
        <v>1663.9935303</v>
      </c>
      <c r="E1776">
        <v>886.48571776999995</v>
      </c>
      <c r="F1776">
        <v>687.74560546999999</v>
      </c>
      <c r="G1776">
        <v>80</v>
      </c>
      <c r="H1776">
        <v>79.956230164000004</v>
      </c>
      <c r="I1776">
        <v>50</v>
      </c>
      <c r="J1776">
        <v>44.588119507000002</v>
      </c>
      <c r="K1776">
        <v>2400</v>
      </c>
      <c r="L1776">
        <v>0</v>
      </c>
      <c r="M1776">
        <v>0</v>
      </c>
      <c r="N1776">
        <v>2400</v>
      </c>
    </row>
    <row r="1777" spans="1:14" x14ac:dyDescent="0.25">
      <c r="A1777">
        <v>1550.9552269999999</v>
      </c>
      <c r="B1777" s="1">
        <f>DATE(2014,7,29) + TIME(22,55,31)</f>
        <v>41849.95521990741</v>
      </c>
      <c r="C1777">
        <v>1790.7369385</v>
      </c>
      <c r="D1777">
        <v>1663.3386230000001</v>
      </c>
      <c r="E1777">
        <v>885.81927489999998</v>
      </c>
      <c r="F1777">
        <v>686.71264647999999</v>
      </c>
      <c r="G1777">
        <v>80</v>
      </c>
      <c r="H1777">
        <v>79.956298828000001</v>
      </c>
      <c r="I1777">
        <v>50</v>
      </c>
      <c r="J1777">
        <v>44.452007293999998</v>
      </c>
      <c r="K1777">
        <v>2400</v>
      </c>
      <c r="L1777">
        <v>0</v>
      </c>
      <c r="M1777">
        <v>0</v>
      </c>
      <c r="N1777">
        <v>2400</v>
      </c>
    </row>
    <row r="1778" spans="1:14" x14ac:dyDescent="0.25">
      <c r="A1778">
        <v>1553</v>
      </c>
      <c r="B1778" s="1">
        <f>DATE(2014,8,1) + TIME(0,0,0)</f>
        <v>41852</v>
      </c>
      <c r="C1778">
        <v>1790.0682373</v>
      </c>
      <c r="D1778">
        <v>1662.6809082</v>
      </c>
      <c r="E1778">
        <v>885.13104248000002</v>
      </c>
      <c r="F1778">
        <v>685.64019774999997</v>
      </c>
      <c r="G1778">
        <v>80</v>
      </c>
      <c r="H1778">
        <v>79.956359863000003</v>
      </c>
      <c r="I1778">
        <v>50</v>
      </c>
      <c r="J1778">
        <v>44.312446594000001</v>
      </c>
      <c r="K1778">
        <v>2400</v>
      </c>
      <c r="L1778">
        <v>0</v>
      </c>
      <c r="M1778">
        <v>0</v>
      </c>
      <c r="N1778">
        <v>2400</v>
      </c>
    </row>
    <row r="1779" spans="1:14" x14ac:dyDescent="0.25">
      <c r="A1779">
        <v>1555.040964</v>
      </c>
      <c r="B1779" s="1">
        <f>DATE(2014,8,3) + TIME(0,58,59)</f>
        <v>41854.040960648148</v>
      </c>
      <c r="C1779">
        <v>1789.4002685999999</v>
      </c>
      <c r="D1779">
        <v>1662.0238036999999</v>
      </c>
      <c r="E1779">
        <v>884.42468262</v>
      </c>
      <c r="F1779">
        <v>684.53448486000002</v>
      </c>
      <c r="G1779">
        <v>80</v>
      </c>
      <c r="H1779">
        <v>79.956420898000005</v>
      </c>
      <c r="I1779">
        <v>50</v>
      </c>
      <c r="J1779">
        <v>44.170429230000003</v>
      </c>
      <c r="K1779">
        <v>2400</v>
      </c>
      <c r="L1779">
        <v>0</v>
      </c>
      <c r="M1779">
        <v>0</v>
      </c>
      <c r="N1779">
        <v>2400</v>
      </c>
    </row>
    <row r="1780" spans="1:14" x14ac:dyDescent="0.25">
      <c r="A1780">
        <v>1557.113981</v>
      </c>
      <c r="B1780" s="1">
        <f>DATE(2014,8,5) + TIME(2,44,7)</f>
        <v>41856.113969907405</v>
      </c>
      <c r="C1780">
        <v>1788.7416992000001</v>
      </c>
      <c r="D1780">
        <v>1661.3759766000001</v>
      </c>
      <c r="E1780">
        <v>883.71179199000005</v>
      </c>
      <c r="F1780">
        <v>683.40765381000006</v>
      </c>
      <c r="G1780">
        <v>80</v>
      </c>
      <c r="H1780">
        <v>79.956489563000005</v>
      </c>
      <c r="I1780">
        <v>50</v>
      </c>
      <c r="J1780">
        <v>44.026390075999998</v>
      </c>
      <c r="K1780">
        <v>2400</v>
      </c>
      <c r="L1780">
        <v>0</v>
      </c>
      <c r="M1780">
        <v>0</v>
      </c>
      <c r="N1780">
        <v>2400</v>
      </c>
    </row>
    <row r="1781" spans="1:14" x14ac:dyDescent="0.25">
      <c r="A1781">
        <v>1559.2168280000001</v>
      </c>
      <c r="B1781" s="1">
        <f>DATE(2014,8,7) + TIME(5,12,13)</f>
        <v>41858.216817129629</v>
      </c>
      <c r="C1781">
        <v>1788.0822754000001</v>
      </c>
      <c r="D1781">
        <v>1660.7270507999999</v>
      </c>
      <c r="E1781">
        <v>882.98016356999995</v>
      </c>
      <c r="F1781">
        <v>682.24584961000005</v>
      </c>
      <c r="G1781">
        <v>80</v>
      </c>
      <c r="H1781">
        <v>79.956550598000007</v>
      </c>
      <c r="I1781">
        <v>50</v>
      </c>
      <c r="J1781">
        <v>43.879558563000003</v>
      </c>
      <c r="K1781">
        <v>2400</v>
      </c>
      <c r="L1781">
        <v>0</v>
      </c>
      <c r="M1781">
        <v>0</v>
      </c>
      <c r="N1781">
        <v>2400</v>
      </c>
    </row>
    <row r="1782" spans="1:14" x14ac:dyDescent="0.25">
      <c r="A1782">
        <v>1561.346982</v>
      </c>
      <c r="B1782" s="1">
        <f>DATE(2014,8,9) + TIME(8,19,39)</f>
        <v>41860.346979166665</v>
      </c>
      <c r="C1782">
        <v>1787.4221190999999</v>
      </c>
      <c r="D1782">
        <v>1660.0773925999999</v>
      </c>
      <c r="E1782">
        <v>882.23107909999999</v>
      </c>
      <c r="F1782">
        <v>681.04974364999998</v>
      </c>
      <c r="G1782">
        <v>80</v>
      </c>
      <c r="H1782">
        <v>79.956619262999993</v>
      </c>
      <c r="I1782">
        <v>50</v>
      </c>
      <c r="J1782">
        <v>43.729854584000002</v>
      </c>
      <c r="K1782">
        <v>2400</v>
      </c>
      <c r="L1782">
        <v>0</v>
      </c>
      <c r="M1782">
        <v>0</v>
      </c>
      <c r="N1782">
        <v>2400</v>
      </c>
    </row>
    <row r="1783" spans="1:14" x14ac:dyDescent="0.25">
      <c r="A1783">
        <v>1563.506881</v>
      </c>
      <c r="B1783" s="1">
        <f>DATE(2014,8,11) + TIME(12,9,54)</f>
        <v>41862.506874999999</v>
      </c>
      <c r="C1783">
        <v>1786.7619629000001</v>
      </c>
      <c r="D1783">
        <v>1659.4276123</v>
      </c>
      <c r="E1783">
        <v>881.46606444999998</v>
      </c>
      <c r="F1783">
        <v>679.82086182</v>
      </c>
      <c r="G1783">
        <v>80</v>
      </c>
      <c r="H1783">
        <v>79.956687927000004</v>
      </c>
      <c r="I1783">
        <v>50</v>
      </c>
      <c r="J1783">
        <v>43.577335357999999</v>
      </c>
      <c r="K1783">
        <v>2400</v>
      </c>
      <c r="L1783">
        <v>0</v>
      </c>
      <c r="M1783">
        <v>0</v>
      </c>
      <c r="N1783">
        <v>2400</v>
      </c>
    </row>
    <row r="1784" spans="1:14" x14ac:dyDescent="0.25">
      <c r="A1784">
        <v>1565.7053149999999</v>
      </c>
      <c r="B1784" s="1">
        <f>DATE(2014,8,13) + TIME(16,55,39)</f>
        <v>41864.705312500002</v>
      </c>
      <c r="C1784">
        <v>1786.1009521000001</v>
      </c>
      <c r="D1784">
        <v>1658.7769774999999</v>
      </c>
      <c r="E1784">
        <v>880.68518066000001</v>
      </c>
      <c r="F1784">
        <v>678.55865478999999</v>
      </c>
      <c r="G1784">
        <v>80</v>
      </c>
      <c r="H1784">
        <v>79.956748962000006</v>
      </c>
      <c r="I1784">
        <v>50</v>
      </c>
      <c r="J1784">
        <v>43.421833038000003</v>
      </c>
      <c r="K1784">
        <v>2400</v>
      </c>
      <c r="L1784">
        <v>0</v>
      </c>
      <c r="M1784">
        <v>0</v>
      </c>
      <c r="N1784">
        <v>2400</v>
      </c>
    </row>
    <row r="1785" spans="1:14" x14ac:dyDescent="0.25">
      <c r="A1785">
        <v>1567.932961</v>
      </c>
      <c r="B1785" s="1">
        <f>DATE(2014,8,15) + TIME(22,23,27)</f>
        <v>41866.932951388888</v>
      </c>
      <c r="C1785">
        <v>1785.4368896000001</v>
      </c>
      <c r="D1785">
        <v>1658.1231689000001</v>
      </c>
      <c r="E1785">
        <v>879.88592529000005</v>
      </c>
      <c r="F1785">
        <v>677.26037598000005</v>
      </c>
      <c r="G1785">
        <v>80</v>
      </c>
      <c r="H1785">
        <v>79.956817627000007</v>
      </c>
      <c r="I1785">
        <v>50</v>
      </c>
      <c r="J1785">
        <v>43.263294219999999</v>
      </c>
      <c r="K1785">
        <v>2400</v>
      </c>
      <c r="L1785">
        <v>0</v>
      </c>
      <c r="M1785">
        <v>0</v>
      </c>
      <c r="N1785">
        <v>2400</v>
      </c>
    </row>
    <row r="1786" spans="1:14" x14ac:dyDescent="0.25">
      <c r="A1786">
        <v>1570.1807659999999</v>
      </c>
      <c r="B1786" s="1">
        <f>DATE(2014,8,18) + TIME(4,20,18)</f>
        <v>41869.180763888886</v>
      </c>
      <c r="C1786">
        <v>1784.7722168</v>
      </c>
      <c r="D1786">
        <v>1657.4686279</v>
      </c>
      <c r="E1786">
        <v>879.07275390999996</v>
      </c>
      <c r="F1786">
        <v>675.93206786999997</v>
      </c>
      <c r="G1786">
        <v>80</v>
      </c>
      <c r="H1786">
        <v>79.956886291999993</v>
      </c>
      <c r="I1786">
        <v>50</v>
      </c>
      <c r="J1786">
        <v>43.102272034000002</v>
      </c>
      <c r="K1786">
        <v>2400</v>
      </c>
      <c r="L1786">
        <v>0</v>
      </c>
      <c r="M1786">
        <v>0</v>
      </c>
      <c r="N1786">
        <v>2400</v>
      </c>
    </row>
    <row r="1787" spans="1:14" x14ac:dyDescent="0.25">
      <c r="A1787">
        <v>1572.446398</v>
      </c>
      <c r="B1787" s="1">
        <f>DATE(2014,8,20) + TIME(10,42,48)</f>
        <v>41871.446388888886</v>
      </c>
      <c r="C1787">
        <v>1784.1094971</v>
      </c>
      <c r="D1787">
        <v>1656.8160399999999</v>
      </c>
      <c r="E1787">
        <v>878.25030518000005</v>
      </c>
      <c r="F1787">
        <v>674.58026123000002</v>
      </c>
      <c r="G1787">
        <v>80</v>
      </c>
      <c r="H1787">
        <v>79.956954956000004</v>
      </c>
      <c r="I1787">
        <v>50</v>
      </c>
      <c r="J1787">
        <v>42.939365387000002</v>
      </c>
      <c r="K1787">
        <v>2400</v>
      </c>
      <c r="L1787">
        <v>0</v>
      </c>
      <c r="M1787">
        <v>0</v>
      </c>
      <c r="N1787">
        <v>2400</v>
      </c>
    </row>
    <row r="1788" spans="1:14" x14ac:dyDescent="0.25">
      <c r="A1788">
        <v>1574.731575</v>
      </c>
      <c r="B1788" s="1">
        <f>DATE(2014,8,22) + TIME(17,33,28)</f>
        <v>41873.731574074074</v>
      </c>
      <c r="C1788">
        <v>1783.4494629000001</v>
      </c>
      <c r="D1788">
        <v>1656.1658935999999</v>
      </c>
      <c r="E1788">
        <v>877.42071533000001</v>
      </c>
      <c r="F1788">
        <v>673.20843506000006</v>
      </c>
      <c r="G1788">
        <v>80</v>
      </c>
      <c r="H1788">
        <v>79.957023621000005</v>
      </c>
      <c r="I1788">
        <v>50</v>
      </c>
      <c r="J1788">
        <v>42.774913787999999</v>
      </c>
      <c r="K1788">
        <v>2400</v>
      </c>
      <c r="L1788">
        <v>0</v>
      </c>
      <c r="M1788">
        <v>0</v>
      </c>
      <c r="N1788">
        <v>2400</v>
      </c>
    </row>
    <row r="1789" spans="1:14" x14ac:dyDescent="0.25">
      <c r="A1789">
        <v>1577.0472440000001</v>
      </c>
      <c r="B1789" s="1">
        <f>DATE(2014,8,25) + TIME(1,8,1)</f>
        <v>41876.047233796293</v>
      </c>
      <c r="C1789">
        <v>1782.7912598</v>
      </c>
      <c r="D1789">
        <v>1655.5174560999999</v>
      </c>
      <c r="E1789">
        <v>876.58496093999997</v>
      </c>
      <c r="F1789">
        <v>671.81762694999998</v>
      </c>
      <c r="G1789">
        <v>80</v>
      </c>
      <c r="H1789">
        <v>79.957092285000002</v>
      </c>
      <c r="I1789">
        <v>50</v>
      </c>
      <c r="J1789">
        <v>42.608882903999998</v>
      </c>
      <c r="K1789">
        <v>2400</v>
      </c>
      <c r="L1789">
        <v>0</v>
      </c>
      <c r="M1789">
        <v>0</v>
      </c>
      <c r="N1789">
        <v>2400</v>
      </c>
    </row>
    <row r="1790" spans="1:14" x14ac:dyDescent="0.25">
      <c r="A1790">
        <v>1579.402141</v>
      </c>
      <c r="B1790" s="1">
        <f>DATE(2014,8,27) + TIME(9,39,5)</f>
        <v>41878.402141203704</v>
      </c>
      <c r="C1790">
        <v>1782.1318358999999</v>
      </c>
      <c r="D1790">
        <v>1654.8676757999999</v>
      </c>
      <c r="E1790">
        <v>875.74078368999994</v>
      </c>
      <c r="F1790">
        <v>670.40447998000002</v>
      </c>
      <c r="G1790">
        <v>80</v>
      </c>
      <c r="H1790">
        <v>79.957160950000002</v>
      </c>
      <c r="I1790">
        <v>50</v>
      </c>
      <c r="J1790">
        <v>42.440906525000003</v>
      </c>
      <c r="K1790">
        <v>2400</v>
      </c>
      <c r="L1790">
        <v>0</v>
      </c>
      <c r="M1790">
        <v>0</v>
      </c>
      <c r="N1790">
        <v>2400</v>
      </c>
    </row>
    <row r="1791" spans="1:14" x14ac:dyDescent="0.25">
      <c r="A1791">
        <v>1581.8067579999999</v>
      </c>
      <c r="B1791" s="1">
        <f>DATE(2014,8,29) + TIME(19,21,43)</f>
        <v>41880.806747685187</v>
      </c>
      <c r="C1791">
        <v>1781.46875</v>
      </c>
      <c r="D1791">
        <v>1654.2142334</v>
      </c>
      <c r="E1791">
        <v>874.88684081999997</v>
      </c>
      <c r="F1791">
        <v>668.96636963000003</v>
      </c>
      <c r="G1791">
        <v>80</v>
      </c>
      <c r="H1791">
        <v>79.957229613999999</v>
      </c>
      <c r="I1791">
        <v>50</v>
      </c>
      <c r="J1791">
        <v>42.270568848000003</v>
      </c>
      <c r="K1791">
        <v>2400</v>
      </c>
      <c r="L1791">
        <v>0</v>
      </c>
      <c r="M1791">
        <v>0</v>
      </c>
      <c r="N1791">
        <v>2400</v>
      </c>
    </row>
    <row r="1792" spans="1:14" x14ac:dyDescent="0.25">
      <c r="A1792">
        <v>1584</v>
      </c>
      <c r="B1792" s="1">
        <f>DATE(2014,9,1) + TIME(0,0,0)</f>
        <v>41883</v>
      </c>
      <c r="C1792">
        <v>1780.8022461</v>
      </c>
      <c r="D1792">
        <v>1653.557251</v>
      </c>
      <c r="E1792">
        <v>874.02038574000005</v>
      </c>
      <c r="F1792">
        <v>667.51855468999997</v>
      </c>
      <c r="G1792">
        <v>80</v>
      </c>
      <c r="H1792">
        <v>79.957290649000001</v>
      </c>
      <c r="I1792">
        <v>50</v>
      </c>
      <c r="J1792">
        <v>42.102985382</v>
      </c>
      <c r="K1792">
        <v>2400</v>
      </c>
      <c r="L1792">
        <v>0</v>
      </c>
      <c r="M1792">
        <v>0</v>
      </c>
      <c r="N1792">
        <v>2400</v>
      </c>
    </row>
    <row r="1793" spans="1:14" x14ac:dyDescent="0.25">
      <c r="A1793">
        <v>1586.427064</v>
      </c>
      <c r="B1793" s="1">
        <f>DATE(2014,9,3) + TIME(10,14,58)</f>
        <v>41885.427060185182</v>
      </c>
      <c r="C1793">
        <v>1780.1925048999999</v>
      </c>
      <c r="D1793">
        <v>1652.9561768000001</v>
      </c>
      <c r="E1793">
        <v>873.23925781000003</v>
      </c>
      <c r="F1793">
        <v>666.16125488</v>
      </c>
      <c r="G1793">
        <v>80</v>
      </c>
      <c r="H1793">
        <v>79.957366942999997</v>
      </c>
      <c r="I1793">
        <v>50</v>
      </c>
      <c r="J1793">
        <v>41.938705444</v>
      </c>
      <c r="K1793">
        <v>2400</v>
      </c>
      <c r="L1793">
        <v>0</v>
      </c>
      <c r="M1793">
        <v>0</v>
      </c>
      <c r="N1793">
        <v>2400</v>
      </c>
    </row>
    <row r="1794" spans="1:14" x14ac:dyDescent="0.25">
      <c r="A1794">
        <v>1588.880737</v>
      </c>
      <c r="B1794" s="1">
        <f>DATE(2014,9,5) + TIME(21,8,15)</f>
        <v>41887.880729166667</v>
      </c>
      <c r="C1794">
        <v>1779.5325928</v>
      </c>
      <c r="D1794">
        <v>1652.3055420000001</v>
      </c>
      <c r="E1794">
        <v>872.38507079999999</v>
      </c>
      <c r="F1794">
        <v>664.70513916000004</v>
      </c>
      <c r="G1794">
        <v>80</v>
      </c>
      <c r="H1794">
        <v>79.957435607999997</v>
      </c>
      <c r="I1794">
        <v>50</v>
      </c>
      <c r="J1794">
        <v>41.768497467000003</v>
      </c>
      <c r="K1794">
        <v>2400</v>
      </c>
      <c r="L1794">
        <v>0</v>
      </c>
      <c r="M1794">
        <v>0</v>
      </c>
      <c r="N1794">
        <v>2400</v>
      </c>
    </row>
    <row r="1795" spans="1:14" x14ac:dyDescent="0.25">
      <c r="A1795">
        <v>1591.3627140000001</v>
      </c>
      <c r="B1795" s="1">
        <f>DATE(2014,9,8) + TIME(8,42,18)</f>
        <v>41890.362708333334</v>
      </c>
      <c r="C1795">
        <v>1778.8701172000001</v>
      </c>
      <c r="D1795">
        <v>1651.6522216999999</v>
      </c>
      <c r="E1795">
        <v>871.53442383000004</v>
      </c>
      <c r="F1795">
        <v>663.24078368999994</v>
      </c>
      <c r="G1795">
        <v>80</v>
      </c>
      <c r="H1795">
        <v>79.957504271999994</v>
      </c>
      <c r="I1795">
        <v>50</v>
      </c>
      <c r="J1795">
        <v>41.596603393999999</v>
      </c>
      <c r="K1795">
        <v>2400</v>
      </c>
      <c r="L1795">
        <v>0</v>
      </c>
      <c r="M1795">
        <v>0</v>
      </c>
      <c r="N1795">
        <v>2400</v>
      </c>
    </row>
    <row r="1796" spans="1:14" x14ac:dyDescent="0.25">
      <c r="A1796">
        <v>1593.88411</v>
      </c>
      <c r="B1796" s="1">
        <f>DATE(2014,9,10) + TIME(21,13,7)</f>
        <v>41892.884108796294</v>
      </c>
      <c r="C1796">
        <v>1778.206543</v>
      </c>
      <c r="D1796">
        <v>1650.9976807</v>
      </c>
      <c r="E1796">
        <v>870.69000243999994</v>
      </c>
      <c r="F1796">
        <v>661.77593993999994</v>
      </c>
      <c r="G1796">
        <v>80</v>
      </c>
      <c r="H1796">
        <v>79.957572936999995</v>
      </c>
      <c r="I1796">
        <v>50</v>
      </c>
      <c r="J1796">
        <v>41.424221039000003</v>
      </c>
      <c r="K1796">
        <v>2400</v>
      </c>
      <c r="L1796">
        <v>0</v>
      </c>
      <c r="M1796">
        <v>0</v>
      </c>
      <c r="N1796">
        <v>2400</v>
      </c>
    </row>
    <row r="1797" spans="1:14" x14ac:dyDescent="0.25">
      <c r="A1797">
        <v>1596.4548139999999</v>
      </c>
      <c r="B1797" s="1">
        <f>DATE(2014,9,13) + TIME(10,54,55)</f>
        <v>41895.45480324074</v>
      </c>
      <c r="C1797">
        <v>1777.5391846</v>
      </c>
      <c r="D1797">
        <v>1650.3392334</v>
      </c>
      <c r="E1797">
        <v>869.85125731999995</v>
      </c>
      <c r="F1797">
        <v>660.31121826000003</v>
      </c>
      <c r="G1797">
        <v>80</v>
      </c>
      <c r="H1797">
        <v>79.957649231000005</v>
      </c>
      <c r="I1797">
        <v>50</v>
      </c>
      <c r="J1797">
        <v>41.251472473</v>
      </c>
      <c r="K1797">
        <v>2400</v>
      </c>
      <c r="L1797">
        <v>0</v>
      </c>
      <c r="M1797">
        <v>0</v>
      </c>
      <c r="N1797">
        <v>2400</v>
      </c>
    </row>
    <row r="1798" spans="1:14" x14ac:dyDescent="0.25">
      <c r="A1798">
        <v>1599.05864</v>
      </c>
      <c r="B1798" s="1">
        <f>DATE(2014,9,16) + TIME(1,24,26)</f>
        <v>41898.058634259258</v>
      </c>
      <c r="C1798">
        <v>1776.8656006000001</v>
      </c>
      <c r="D1798">
        <v>1649.6746826000001</v>
      </c>
      <c r="E1798">
        <v>869.01855468999997</v>
      </c>
      <c r="F1798">
        <v>658.84899901999995</v>
      </c>
      <c r="G1798">
        <v>80</v>
      </c>
      <c r="H1798">
        <v>79.957717896000005</v>
      </c>
      <c r="I1798">
        <v>50</v>
      </c>
      <c r="J1798">
        <v>41.07875061</v>
      </c>
      <c r="K1798">
        <v>2400</v>
      </c>
      <c r="L1798">
        <v>0</v>
      </c>
      <c r="M1798">
        <v>0</v>
      </c>
      <c r="N1798">
        <v>2400</v>
      </c>
    </row>
    <row r="1799" spans="1:14" x14ac:dyDescent="0.25">
      <c r="A1799">
        <v>1601.68229</v>
      </c>
      <c r="B1799" s="1">
        <f>DATE(2014,9,18) + TIME(16,22,29)</f>
        <v>41900.682280092595</v>
      </c>
      <c r="C1799">
        <v>1776.1898193</v>
      </c>
      <c r="D1799">
        <v>1649.0078125</v>
      </c>
      <c r="E1799">
        <v>868.20104979999996</v>
      </c>
      <c r="F1799">
        <v>657.40386963000003</v>
      </c>
      <c r="G1799">
        <v>80</v>
      </c>
      <c r="H1799">
        <v>79.957794188999998</v>
      </c>
      <c r="I1799">
        <v>50</v>
      </c>
      <c r="J1799">
        <v>40.907344817999999</v>
      </c>
      <c r="K1799">
        <v>2400</v>
      </c>
      <c r="L1799">
        <v>0</v>
      </c>
      <c r="M1799">
        <v>0</v>
      </c>
      <c r="N1799">
        <v>2400</v>
      </c>
    </row>
    <row r="1800" spans="1:14" x14ac:dyDescent="0.25">
      <c r="A1800">
        <v>1604.3231060000001</v>
      </c>
      <c r="B1800" s="1">
        <f>DATE(2014,9,21) + TIME(7,45,16)</f>
        <v>41903.323101851849</v>
      </c>
      <c r="C1800">
        <v>1775.5151367000001</v>
      </c>
      <c r="D1800">
        <v>1648.3417969</v>
      </c>
      <c r="E1800">
        <v>867.40679932</v>
      </c>
      <c r="F1800">
        <v>655.98956298999997</v>
      </c>
      <c r="G1800">
        <v>80</v>
      </c>
      <c r="H1800">
        <v>79.957862853999998</v>
      </c>
      <c r="I1800">
        <v>50</v>
      </c>
      <c r="J1800">
        <v>40.738479613999999</v>
      </c>
      <c r="K1800">
        <v>2400</v>
      </c>
      <c r="L1800">
        <v>0</v>
      </c>
      <c r="M1800">
        <v>0</v>
      </c>
      <c r="N1800">
        <v>2400</v>
      </c>
    </row>
    <row r="1801" spans="1:14" x14ac:dyDescent="0.25">
      <c r="A1801">
        <v>1606.991381</v>
      </c>
      <c r="B1801" s="1">
        <f>DATE(2014,9,23) + TIME(23,47,35)</f>
        <v>41905.991377314815</v>
      </c>
      <c r="C1801">
        <v>1774.8422852000001</v>
      </c>
      <c r="D1801">
        <v>1647.6774902</v>
      </c>
      <c r="E1801">
        <v>866.64050293000003</v>
      </c>
      <c r="F1801">
        <v>654.61419678000004</v>
      </c>
      <c r="G1801">
        <v>80</v>
      </c>
      <c r="H1801">
        <v>79.957939147999994</v>
      </c>
      <c r="I1801">
        <v>50</v>
      </c>
      <c r="J1801">
        <v>40.572834014999998</v>
      </c>
      <c r="K1801">
        <v>2400</v>
      </c>
      <c r="L1801">
        <v>0</v>
      </c>
      <c r="M1801">
        <v>0</v>
      </c>
      <c r="N1801">
        <v>2400</v>
      </c>
    </row>
    <row r="1802" spans="1:14" x14ac:dyDescent="0.25">
      <c r="A1802">
        <v>1609.69903</v>
      </c>
      <c r="B1802" s="1">
        <f>DATE(2014,9,26) + TIME(16,46,36)</f>
        <v>41908.69902777778</v>
      </c>
      <c r="C1802">
        <v>1774.1685791</v>
      </c>
      <c r="D1802">
        <v>1647.012207</v>
      </c>
      <c r="E1802">
        <v>865.90295409999999</v>
      </c>
      <c r="F1802">
        <v>653.28051758000004</v>
      </c>
      <c r="G1802">
        <v>80</v>
      </c>
      <c r="H1802">
        <v>79.958007812000005</v>
      </c>
      <c r="I1802">
        <v>50</v>
      </c>
      <c r="J1802">
        <v>40.410560607999997</v>
      </c>
      <c r="K1802">
        <v>2400</v>
      </c>
      <c r="L1802">
        <v>0</v>
      </c>
      <c r="M1802">
        <v>0</v>
      </c>
      <c r="N1802">
        <v>2400</v>
      </c>
    </row>
    <row r="1803" spans="1:14" x14ac:dyDescent="0.25">
      <c r="A1803">
        <v>1612.442669</v>
      </c>
      <c r="B1803" s="1">
        <f>DATE(2014,9,29) + TIME(10,37,26)</f>
        <v>41911.442662037036</v>
      </c>
      <c r="C1803">
        <v>1773.4913329999999</v>
      </c>
      <c r="D1803">
        <v>1646.3433838000001</v>
      </c>
      <c r="E1803">
        <v>865.19519043000003</v>
      </c>
      <c r="F1803">
        <v>651.99188231999995</v>
      </c>
      <c r="G1803">
        <v>80</v>
      </c>
      <c r="H1803">
        <v>79.958084106000001</v>
      </c>
      <c r="I1803">
        <v>50</v>
      </c>
      <c r="J1803">
        <v>40.251960754000002</v>
      </c>
      <c r="K1803">
        <v>2400</v>
      </c>
      <c r="L1803">
        <v>0</v>
      </c>
      <c r="M1803">
        <v>0</v>
      </c>
      <c r="N1803">
        <v>2400</v>
      </c>
    </row>
    <row r="1804" spans="1:14" x14ac:dyDescent="0.25">
      <c r="A1804">
        <v>1614</v>
      </c>
      <c r="B1804" s="1">
        <f>DATE(2014,10,1) + TIME(0,0,0)</f>
        <v>41913</v>
      </c>
      <c r="C1804">
        <v>1772.8327637</v>
      </c>
      <c r="D1804">
        <v>1645.6929932</v>
      </c>
      <c r="E1804">
        <v>864.51849364999998</v>
      </c>
      <c r="F1804">
        <v>650.84411621000004</v>
      </c>
      <c r="G1804">
        <v>80</v>
      </c>
      <c r="H1804">
        <v>79.958114624000004</v>
      </c>
      <c r="I1804">
        <v>50</v>
      </c>
      <c r="J1804">
        <v>40.122680664000001</v>
      </c>
      <c r="K1804">
        <v>2400</v>
      </c>
      <c r="L1804">
        <v>0</v>
      </c>
      <c r="M1804">
        <v>0</v>
      </c>
      <c r="N1804">
        <v>2400</v>
      </c>
    </row>
    <row r="1805" spans="1:14" x14ac:dyDescent="0.25">
      <c r="A1805">
        <v>1616.7757630000001</v>
      </c>
      <c r="B1805" s="1">
        <f>DATE(2014,10,3) + TIME(18,37,5)</f>
        <v>41915.775752314818</v>
      </c>
      <c r="C1805">
        <v>1772.4154053</v>
      </c>
      <c r="D1805">
        <v>1645.2802733999999</v>
      </c>
      <c r="E1805">
        <v>864.16674805000002</v>
      </c>
      <c r="F1805">
        <v>650.06243896000001</v>
      </c>
      <c r="G1805">
        <v>80</v>
      </c>
      <c r="H1805">
        <v>79.958206176999994</v>
      </c>
      <c r="I1805">
        <v>50</v>
      </c>
      <c r="J1805">
        <v>40.004055022999999</v>
      </c>
      <c r="K1805">
        <v>2400</v>
      </c>
      <c r="L1805">
        <v>0</v>
      </c>
      <c r="M1805">
        <v>0</v>
      </c>
      <c r="N1805">
        <v>2400</v>
      </c>
    </row>
    <row r="1806" spans="1:14" x14ac:dyDescent="0.25">
      <c r="A1806">
        <v>1619.618475</v>
      </c>
      <c r="B1806" s="1">
        <f>DATE(2014,10,6) + TIME(14,50,36)</f>
        <v>41918.618472222224</v>
      </c>
      <c r="C1806">
        <v>1771.7480469</v>
      </c>
      <c r="D1806">
        <v>1644.6209716999999</v>
      </c>
      <c r="E1806">
        <v>863.56597899999997</v>
      </c>
      <c r="F1806">
        <v>648.97314453000001</v>
      </c>
      <c r="G1806">
        <v>80</v>
      </c>
      <c r="H1806">
        <v>79.958274841000005</v>
      </c>
      <c r="I1806">
        <v>50</v>
      </c>
      <c r="J1806">
        <v>39.867233276</v>
      </c>
      <c r="K1806">
        <v>2400</v>
      </c>
      <c r="L1806">
        <v>0</v>
      </c>
      <c r="M1806">
        <v>0</v>
      </c>
      <c r="N1806">
        <v>2400</v>
      </c>
    </row>
    <row r="1807" spans="1:14" x14ac:dyDescent="0.25">
      <c r="A1807">
        <v>1622.4828419999999</v>
      </c>
      <c r="B1807" s="1">
        <f>DATE(2014,10,9) + TIME(11,35,17)</f>
        <v>41921.482835648145</v>
      </c>
      <c r="C1807">
        <v>1771.0609131000001</v>
      </c>
      <c r="D1807">
        <v>1643.9420166</v>
      </c>
      <c r="E1807">
        <v>863.00402831999997</v>
      </c>
      <c r="F1807">
        <v>647.92944336000005</v>
      </c>
      <c r="G1807">
        <v>80</v>
      </c>
      <c r="H1807">
        <v>79.958351135000001</v>
      </c>
      <c r="I1807">
        <v>50</v>
      </c>
      <c r="J1807">
        <v>39.730552672999998</v>
      </c>
      <c r="K1807">
        <v>2400</v>
      </c>
      <c r="L1807">
        <v>0</v>
      </c>
      <c r="M1807">
        <v>0</v>
      </c>
      <c r="N1807">
        <v>2400</v>
      </c>
    </row>
    <row r="1808" spans="1:14" x14ac:dyDescent="0.25">
      <c r="A1808">
        <v>1625.3798979999999</v>
      </c>
      <c r="B1808" s="1">
        <f>DATE(2014,10,12) + TIME(9,7,3)</f>
        <v>41924.379895833335</v>
      </c>
      <c r="C1808">
        <v>1770.3737793</v>
      </c>
      <c r="D1808">
        <v>1643.2626952999999</v>
      </c>
      <c r="E1808">
        <v>862.49621581999997</v>
      </c>
      <c r="F1808">
        <v>646.97198486000002</v>
      </c>
      <c r="G1808">
        <v>80</v>
      </c>
      <c r="H1808">
        <v>79.958427428999997</v>
      </c>
      <c r="I1808">
        <v>50</v>
      </c>
      <c r="J1808">
        <v>39.600330352999997</v>
      </c>
      <c r="K1808">
        <v>2400</v>
      </c>
      <c r="L1808">
        <v>0</v>
      </c>
      <c r="M1808">
        <v>0</v>
      </c>
      <c r="N1808">
        <v>2400</v>
      </c>
    </row>
    <row r="1809" spans="1:14" x14ac:dyDescent="0.25">
      <c r="A1809">
        <v>1626.8443589999999</v>
      </c>
      <c r="B1809" s="1">
        <f>DATE(2014,10,13) + TIME(20,15,52)</f>
        <v>41925.844351851854</v>
      </c>
      <c r="C1809">
        <v>1769.7133789</v>
      </c>
      <c r="D1809">
        <v>1642.6101074000001</v>
      </c>
      <c r="E1809">
        <v>862.03741454999999</v>
      </c>
      <c r="F1809">
        <v>646.18475341999999</v>
      </c>
      <c r="G1809">
        <v>80</v>
      </c>
      <c r="H1809">
        <v>79.958450317</v>
      </c>
      <c r="I1809">
        <v>50</v>
      </c>
      <c r="J1809">
        <v>39.501773833999998</v>
      </c>
      <c r="K1809">
        <v>2400</v>
      </c>
      <c r="L1809">
        <v>0</v>
      </c>
      <c r="M1809">
        <v>0</v>
      </c>
      <c r="N1809">
        <v>2400</v>
      </c>
    </row>
    <row r="1810" spans="1:14" x14ac:dyDescent="0.25">
      <c r="A1810">
        <v>1628.30882</v>
      </c>
      <c r="B1810" s="1">
        <f>DATE(2014,10,15) + TIME(7,24,42)</f>
        <v>41927.308819444443</v>
      </c>
      <c r="C1810">
        <v>1769.3415527</v>
      </c>
      <c r="D1810">
        <v>1642.2421875</v>
      </c>
      <c r="E1810">
        <v>861.84106444999998</v>
      </c>
      <c r="F1810">
        <v>645.75238036999997</v>
      </c>
      <c r="G1810">
        <v>80</v>
      </c>
      <c r="H1810">
        <v>79.958496093999997</v>
      </c>
      <c r="I1810">
        <v>50</v>
      </c>
      <c r="J1810">
        <v>39.43038559</v>
      </c>
      <c r="K1810">
        <v>2400</v>
      </c>
      <c r="L1810">
        <v>0</v>
      </c>
      <c r="M1810">
        <v>0</v>
      </c>
      <c r="N1810">
        <v>2400</v>
      </c>
    </row>
    <row r="1811" spans="1:14" x14ac:dyDescent="0.25">
      <c r="A1811">
        <v>1629.773281</v>
      </c>
      <c r="B1811" s="1">
        <f>DATE(2014,10,16) + TIME(18,33,31)</f>
        <v>41928.773275462961</v>
      </c>
      <c r="C1811">
        <v>1768.9942627</v>
      </c>
      <c r="D1811">
        <v>1641.8986815999999</v>
      </c>
      <c r="E1811">
        <v>861.66070557</v>
      </c>
      <c r="F1811">
        <v>645.38305663999995</v>
      </c>
      <c r="G1811">
        <v>80</v>
      </c>
      <c r="H1811">
        <v>79.958534240999995</v>
      </c>
      <c r="I1811">
        <v>50</v>
      </c>
      <c r="J1811">
        <v>39.371131896999998</v>
      </c>
      <c r="K1811">
        <v>2400</v>
      </c>
      <c r="L1811">
        <v>0</v>
      </c>
      <c r="M1811">
        <v>0</v>
      </c>
      <c r="N1811">
        <v>2400</v>
      </c>
    </row>
    <row r="1812" spans="1:14" x14ac:dyDescent="0.25">
      <c r="A1812">
        <v>1631.237742</v>
      </c>
      <c r="B1812" s="1">
        <f>DATE(2014,10,18) + TIME(5,42,20)</f>
        <v>41930.23773148148</v>
      </c>
      <c r="C1812">
        <v>1768.6518555</v>
      </c>
      <c r="D1812">
        <v>1641.5600586</v>
      </c>
      <c r="E1812">
        <v>861.49676513999998</v>
      </c>
      <c r="F1812">
        <v>645.05639647999999</v>
      </c>
      <c r="G1812">
        <v>80</v>
      </c>
      <c r="H1812">
        <v>79.958572387999993</v>
      </c>
      <c r="I1812">
        <v>50</v>
      </c>
      <c r="J1812">
        <v>39.318355560000001</v>
      </c>
      <c r="K1812">
        <v>2400</v>
      </c>
      <c r="L1812">
        <v>0</v>
      </c>
      <c r="M1812">
        <v>0</v>
      </c>
      <c r="N1812">
        <v>2400</v>
      </c>
    </row>
    <row r="1813" spans="1:14" x14ac:dyDescent="0.25">
      <c r="A1813">
        <v>1632.7022030000001</v>
      </c>
      <c r="B1813" s="1">
        <f>DATE(2014,10,19) + TIME(16,51,10)</f>
        <v>41931.702199074076</v>
      </c>
      <c r="C1813">
        <v>1768.3117675999999</v>
      </c>
      <c r="D1813">
        <v>1641.2237548999999</v>
      </c>
      <c r="E1813">
        <v>861.34869385000002</v>
      </c>
      <c r="F1813">
        <v>644.76416015999996</v>
      </c>
      <c r="G1813">
        <v>80</v>
      </c>
      <c r="H1813">
        <v>79.958610535000005</v>
      </c>
      <c r="I1813">
        <v>50</v>
      </c>
      <c r="J1813">
        <v>39.269931792999998</v>
      </c>
      <c r="K1813">
        <v>2400</v>
      </c>
      <c r="L1813">
        <v>0</v>
      </c>
      <c r="M1813">
        <v>0</v>
      </c>
      <c r="N1813">
        <v>2400</v>
      </c>
    </row>
    <row r="1814" spans="1:14" x14ac:dyDescent="0.25">
      <c r="A1814">
        <v>1635.631126</v>
      </c>
      <c r="B1814" s="1">
        <f>DATE(2014,10,22) + TIME(15,8,49)</f>
        <v>41934.631122685183</v>
      </c>
      <c r="C1814">
        <v>1767.9599608999999</v>
      </c>
      <c r="D1814">
        <v>1640.8756103999999</v>
      </c>
      <c r="E1814">
        <v>861.22271728999999</v>
      </c>
      <c r="F1814">
        <v>644.47668456999997</v>
      </c>
      <c r="G1814">
        <v>80</v>
      </c>
      <c r="H1814">
        <v>79.958694457999997</v>
      </c>
      <c r="I1814">
        <v>50</v>
      </c>
      <c r="J1814">
        <v>39.214443207000002</v>
      </c>
      <c r="K1814">
        <v>2400</v>
      </c>
      <c r="L1814">
        <v>0</v>
      </c>
      <c r="M1814">
        <v>0</v>
      </c>
      <c r="N1814">
        <v>2400</v>
      </c>
    </row>
    <row r="1815" spans="1:14" x14ac:dyDescent="0.25">
      <c r="A1815">
        <v>1638.5686370000001</v>
      </c>
      <c r="B1815" s="1">
        <f>DATE(2014,10,25) + TIME(13,38,50)</f>
        <v>41937.56863425926</v>
      </c>
      <c r="C1815">
        <v>1767.3048096</v>
      </c>
      <c r="D1815">
        <v>1640.2276611</v>
      </c>
      <c r="E1815">
        <v>860.98822021000001</v>
      </c>
      <c r="F1815">
        <v>644.04846191000001</v>
      </c>
      <c r="G1815">
        <v>80</v>
      </c>
      <c r="H1815">
        <v>79.958763122999997</v>
      </c>
      <c r="I1815">
        <v>50</v>
      </c>
      <c r="J1815">
        <v>39.141330719000003</v>
      </c>
      <c r="K1815">
        <v>2400</v>
      </c>
      <c r="L1815">
        <v>0</v>
      </c>
      <c r="M1815">
        <v>0</v>
      </c>
      <c r="N1815">
        <v>2400</v>
      </c>
    </row>
    <row r="1816" spans="1:14" x14ac:dyDescent="0.25">
      <c r="A1816">
        <v>1641.5744119999999</v>
      </c>
      <c r="B1816" s="1">
        <f>DATE(2014,10,28) + TIME(13,47,9)</f>
        <v>41940.57440972222</v>
      </c>
      <c r="C1816">
        <v>1766.640625</v>
      </c>
      <c r="D1816">
        <v>1639.5705565999999</v>
      </c>
      <c r="E1816">
        <v>860.81665038999995</v>
      </c>
      <c r="F1816">
        <v>643.71582031000003</v>
      </c>
      <c r="G1816">
        <v>80</v>
      </c>
      <c r="H1816">
        <v>79.958839416999993</v>
      </c>
      <c r="I1816">
        <v>50</v>
      </c>
      <c r="J1816">
        <v>39.073368072999997</v>
      </c>
      <c r="K1816">
        <v>2400</v>
      </c>
      <c r="L1816">
        <v>0</v>
      </c>
      <c r="M1816">
        <v>0</v>
      </c>
      <c r="N1816">
        <v>2400</v>
      </c>
    </row>
    <row r="1817" spans="1:14" x14ac:dyDescent="0.25">
      <c r="A1817">
        <v>1644.6561160000001</v>
      </c>
      <c r="B1817" s="1">
        <f>DATE(2014,10,31) + TIME(15,44,48)</f>
        <v>41943.656111111108</v>
      </c>
      <c r="C1817">
        <v>1765.96875</v>
      </c>
      <c r="D1817">
        <v>1638.9057617000001</v>
      </c>
      <c r="E1817">
        <v>860.70239258000004</v>
      </c>
      <c r="F1817">
        <v>643.49108887</v>
      </c>
      <c r="G1817">
        <v>80</v>
      </c>
      <c r="H1817">
        <v>79.958915709999999</v>
      </c>
      <c r="I1817">
        <v>50</v>
      </c>
      <c r="J1817">
        <v>39.015651703000003</v>
      </c>
      <c r="K1817">
        <v>2400</v>
      </c>
      <c r="L1817">
        <v>0</v>
      </c>
      <c r="M1817">
        <v>0</v>
      </c>
      <c r="N1817">
        <v>2400</v>
      </c>
    </row>
    <row r="1818" spans="1:14" x14ac:dyDescent="0.25">
      <c r="A1818">
        <v>1645</v>
      </c>
      <c r="B1818" s="1">
        <f>DATE(2014,11,1) + TIME(0,0,0)</f>
        <v>41944</v>
      </c>
      <c r="C1818">
        <v>1765.4561768000001</v>
      </c>
      <c r="D1818">
        <v>1638.3999022999999</v>
      </c>
      <c r="E1818">
        <v>860.61016845999995</v>
      </c>
      <c r="F1818">
        <v>643.40087890999996</v>
      </c>
      <c r="G1818">
        <v>80</v>
      </c>
      <c r="H1818">
        <v>79.958877563000001</v>
      </c>
      <c r="I1818">
        <v>50</v>
      </c>
      <c r="J1818">
        <v>38.999591827000003</v>
      </c>
      <c r="K1818">
        <v>2400</v>
      </c>
      <c r="L1818">
        <v>0</v>
      </c>
      <c r="M1818">
        <v>0</v>
      </c>
      <c r="N1818">
        <v>2400</v>
      </c>
    </row>
    <row r="1819" spans="1:14" x14ac:dyDescent="0.25">
      <c r="A1819">
        <v>1645.0000010000001</v>
      </c>
      <c r="B1819" s="1">
        <f>DATE(2014,11,1) + TIME(0,0,0)</f>
        <v>41944</v>
      </c>
      <c r="C1819">
        <v>1637.4765625</v>
      </c>
      <c r="D1819">
        <v>1511.3931885</v>
      </c>
      <c r="E1819">
        <v>1078.0698242000001</v>
      </c>
      <c r="F1819">
        <v>861.45532227000001</v>
      </c>
      <c r="G1819">
        <v>80</v>
      </c>
      <c r="H1819">
        <v>79.958747864000003</v>
      </c>
      <c r="I1819">
        <v>50</v>
      </c>
      <c r="J1819">
        <v>38.999706267999997</v>
      </c>
      <c r="K1819">
        <v>0</v>
      </c>
      <c r="L1819">
        <v>2400</v>
      </c>
      <c r="M1819">
        <v>2400</v>
      </c>
      <c r="N1819">
        <v>0</v>
      </c>
    </row>
    <row r="1820" spans="1:14" x14ac:dyDescent="0.25">
      <c r="A1820">
        <v>1645.000004</v>
      </c>
      <c r="B1820" s="1">
        <f>DATE(2014,11,1) + TIME(0,0,0)</f>
        <v>41944</v>
      </c>
      <c r="C1820">
        <v>1634.7612305</v>
      </c>
      <c r="D1820">
        <v>1508.6763916</v>
      </c>
      <c r="E1820">
        <v>1080.7600098</v>
      </c>
      <c r="F1820">
        <v>863.96527100000003</v>
      </c>
      <c r="G1820">
        <v>80</v>
      </c>
      <c r="H1820">
        <v>79.958358765</v>
      </c>
      <c r="I1820">
        <v>50</v>
      </c>
      <c r="J1820">
        <v>39.000041961999997</v>
      </c>
      <c r="K1820">
        <v>0</v>
      </c>
      <c r="L1820">
        <v>2400</v>
      </c>
      <c r="M1820">
        <v>2400</v>
      </c>
      <c r="N1820">
        <v>0</v>
      </c>
    </row>
    <row r="1821" spans="1:14" x14ac:dyDescent="0.25">
      <c r="A1821">
        <v>1645.0000130000001</v>
      </c>
      <c r="B1821" s="1">
        <f>DATE(2014,11,1) + TIME(0,0,1)</f>
        <v>41944.000011574077</v>
      </c>
      <c r="C1821">
        <v>1627.0705565999999</v>
      </c>
      <c r="D1821">
        <v>1500.9819336</v>
      </c>
      <c r="E1821">
        <v>1088.5655518000001</v>
      </c>
      <c r="F1821">
        <v>871.27416991999996</v>
      </c>
      <c r="G1821">
        <v>80</v>
      </c>
      <c r="H1821">
        <v>79.957267760999997</v>
      </c>
      <c r="I1821">
        <v>50</v>
      </c>
      <c r="J1821">
        <v>39.001018524000003</v>
      </c>
      <c r="K1821">
        <v>0</v>
      </c>
      <c r="L1821">
        <v>2400</v>
      </c>
      <c r="M1821">
        <v>2400</v>
      </c>
      <c r="N1821">
        <v>0</v>
      </c>
    </row>
    <row r="1822" spans="1:14" x14ac:dyDescent="0.25">
      <c r="A1822">
        <v>1645.0000399999999</v>
      </c>
      <c r="B1822" s="1">
        <f>DATE(2014,11,1) + TIME(0,0,3)</f>
        <v>41944.000034722223</v>
      </c>
      <c r="C1822">
        <v>1607.3242187999999</v>
      </c>
      <c r="D1822">
        <v>1481.2270507999999</v>
      </c>
      <c r="E1822">
        <v>1109.8819579999999</v>
      </c>
      <c r="F1822">
        <v>891.41906738</v>
      </c>
      <c r="G1822">
        <v>80</v>
      </c>
      <c r="H1822">
        <v>79.954452515</v>
      </c>
      <c r="I1822">
        <v>50</v>
      </c>
      <c r="J1822">
        <v>39.003738403</v>
      </c>
      <c r="K1822">
        <v>0</v>
      </c>
      <c r="L1822">
        <v>2400</v>
      </c>
      <c r="M1822">
        <v>2400</v>
      </c>
      <c r="N1822">
        <v>0</v>
      </c>
    </row>
    <row r="1823" spans="1:14" x14ac:dyDescent="0.25">
      <c r="A1823">
        <v>1645.000121</v>
      </c>
      <c r="B1823" s="1">
        <f>DATE(2014,11,1) + TIME(0,0,10)</f>
        <v>41944.000115740739</v>
      </c>
      <c r="C1823">
        <v>1566.2218018000001</v>
      </c>
      <c r="D1823">
        <v>1440.1116943</v>
      </c>
      <c r="E1823">
        <v>1160.1911620999999</v>
      </c>
      <c r="F1823">
        <v>939.86065673999997</v>
      </c>
      <c r="G1823">
        <v>80</v>
      </c>
      <c r="H1823">
        <v>79.94859314</v>
      </c>
      <c r="I1823">
        <v>50</v>
      </c>
      <c r="J1823">
        <v>39.010498046999999</v>
      </c>
      <c r="K1823">
        <v>0</v>
      </c>
      <c r="L1823">
        <v>2400</v>
      </c>
      <c r="M1823">
        <v>2400</v>
      </c>
      <c r="N1823">
        <v>0</v>
      </c>
    </row>
    <row r="1824" spans="1:14" x14ac:dyDescent="0.25">
      <c r="A1824">
        <v>1645.000364</v>
      </c>
      <c r="B1824" s="1">
        <f>DATE(2014,11,1) + TIME(0,0,31)</f>
        <v>41944.000358796293</v>
      </c>
      <c r="C1824">
        <v>1503.8292236</v>
      </c>
      <c r="D1824">
        <v>1377.7274170000001</v>
      </c>
      <c r="E1824">
        <v>1250.6207274999999</v>
      </c>
      <c r="F1824">
        <v>1029.1878661999999</v>
      </c>
      <c r="G1824">
        <v>80</v>
      </c>
      <c r="H1824">
        <v>79.939689635999997</v>
      </c>
      <c r="I1824">
        <v>50</v>
      </c>
      <c r="J1824">
        <v>39.024131775000001</v>
      </c>
      <c r="K1824">
        <v>0</v>
      </c>
      <c r="L1824">
        <v>2400</v>
      </c>
      <c r="M1824">
        <v>2400</v>
      </c>
      <c r="N1824">
        <v>0</v>
      </c>
    </row>
    <row r="1825" spans="1:14" x14ac:dyDescent="0.25">
      <c r="A1825">
        <v>1645.0010930000001</v>
      </c>
      <c r="B1825" s="1">
        <f>DATE(2014,11,1) + TIME(0,1,34)</f>
        <v>41944.001087962963</v>
      </c>
      <c r="C1825">
        <v>1432.4915771000001</v>
      </c>
      <c r="D1825">
        <v>1306.4284668</v>
      </c>
      <c r="E1825">
        <v>1368.4464111</v>
      </c>
      <c r="F1825">
        <v>1147.6566161999999</v>
      </c>
      <c r="G1825">
        <v>80</v>
      </c>
      <c r="H1825">
        <v>79.929435729999994</v>
      </c>
      <c r="I1825">
        <v>50</v>
      </c>
      <c r="J1825">
        <v>39.047222136999999</v>
      </c>
      <c r="K1825">
        <v>0</v>
      </c>
      <c r="L1825">
        <v>2400</v>
      </c>
      <c r="M1825">
        <v>2400</v>
      </c>
      <c r="N1825">
        <v>0</v>
      </c>
    </row>
    <row r="1826" spans="1:14" x14ac:dyDescent="0.25">
      <c r="A1826">
        <v>1645.0032799999999</v>
      </c>
      <c r="B1826" s="1">
        <f>DATE(2014,11,1) + TIME(0,4,43)</f>
        <v>41944.003275462965</v>
      </c>
      <c r="C1826">
        <v>1360.1025391000001</v>
      </c>
      <c r="D1826">
        <v>1234.1181641000001</v>
      </c>
      <c r="E1826">
        <v>1493.7773437999999</v>
      </c>
      <c r="F1826">
        <v>1274.2507324000001</v>
      </c>
      <c r="G1826">
        <v>80</v>
      </c>
      <c r="H1826">
        <v>79.918800353999998</v>
      </c>
      <c r="I1826">
        <v>50</v>
      </c>
      <c r="J1826">
        <v>39.089012146000002</v>
      </c>
      <c r="K1826">
        <v>0</v>
      </c>
      <c r="L1826">
        <v>2400</v>
      </c>
      <c r="M1826">
        <v>2400</v>
      </c>
      <c r="N1826">
        <v>0</v>
      </c>
    </row>
    <row r="1827" spans="1:14" x14ac:dyDescent="0.25">
      <c r="A1827">
        <v>1645.0098410000001</v>
      </c>
      <c r="B1827" s="1">
        <f>DATE(2014,11,1) + TIME(0,14,10)</f>
        <v>41944.009837962964</v>
      </c>
      <c r="C1827">
        <v>1287.3181152</v>
      </c>
      <c r="D1827">
        <v>1161.4337158000001</v>
      </c>
      <c r="E1827">
        <v>1621.1890868999999</v>
      </c>
      <c r="F1827">
        <v>1403.0166016000001</v>
      </c>
      <c r="G1827">
        <v>80</v>
      </c>
      <c r="H1827">
        <v>79.907402039000004</v>
      </c>
      <c r="I1827">
        <v>50</v>
      </c>
      <c r="J1827">
        <v>39.183403015000003</v>
      </c>
      <c r="K1827">
        <v>0</v>
      </c>
      <c r="L1827">
        <v>2400</v>
      </c>
      <c r="M1827">
        <v>2400</v>
      </c>
      <c r="N1827">
        <v>0</v>
      </c>
    </row>
    <row r="1828" spans="1:14" x14ac:dyDescent="0.25">
      <c r="A1828">
        <v>1645.029524</v>
      </c>
      <c r="B1828" s="1">
        <f>DATE(2014,11,1) + TIME(0,42,30)</f>
        <v>41944.029513888891</v>
      </c>
      <c r="C1828">
        <v>1212.1727295000001</v>
      </c>
      <c r="D1828">
        <v>1086.2906493999999</v>
      </c>
      <c r="E1828">
        <v>1750.3474120999999</v>
      </c>
      <c r="F1828">
        <v>1533.7536620999999</v>
      </c>
      <c r="G1828">
        <v>80</v>
      </c>
      <c r="H1828">
        <v>79.893585204999994</v>
      </c>
      <c r="I1828">
        <v>50</v>
      </c>
      <c r="J1828">
        <v>39.429965973000002</v>
      </c>
      <c r="K1828">
        <v>0</v>
      </c>
      <c r="L1828">
        <v>2400</v>
      </c>
      <c r="M1828">
        <v>2400</v>
      </c>
      <c r="N1828">
        <v>0</v>
      </c>
    </row>
    <row r="1829" spans="1:14" x14ac:dyDescent="0.25">
      <c r="A1829">
        <v>1645.088573</v>
      </c>
      <c r="B1829" s="1">
        <f>DATE(2014,11,1) + TIME(2,7,32)</f>
        <v>41944.088564814818</v>
      </c>
      <c r="C1829">
        <v>1135.4517822</v>
      </c>
      <c r="D1829">
        <v>1009.4631348</v>
      </c>
      <c r="E1829">
        <v>1870.9519043</v>
      </c>
      <c r="F1829">
        <v>1656.7614745999999</v>
      </c>
      <c r="G1829">
        <v>80</v>
      </c>
      <c r="H1829">
        <v>79.873733521000005</v>
      </c>
      <c r="I1829">
        <v>50</v>
      </c>
      <c r="J1829">
        <v>40.094535827999998</v>
      </c>
      <c r="K1829">
        <v>0</v>
      </c>
      <c r="L1829">
        <v>2400</v>
      </c>
      <c r="M1829">
        <v>2400</v>
      </c>
      <c r="N1829">
        <v>0</v>
      </c>
    </row>
    <row r="1830" spans="1:14" x14ac:dyDescent="0.25">
      <c r="A1830">
        <v>1645.1692109999999</v>
      </c>
      <c r="B1830" s="1">
        <f>DATE(2014,11,1) + TIME(4,3,39)</f>
        <v>41944.16920138889</v>
      </c>
      <c r="C1830">
        <v>1089.9530029</v>
      </c>
      <c r="D1830">
        <v>963.90258788999995</v>
      </c>
      <c r="E1830">
        <v>1934.1057129000001</v>
      </c>
      <c r="F1830">
        <v>1722.3863524999999</v>
      </c>
      <c r="G1830">
        <v>80</v>
      </c>
      <c r="H1830">
        <v>79.855049132999994</v>
      </c>
      <c r="I1830">
        <v>50</v>
      </c>
      <c r="J1830">
        <v>40.919078827</v>
      </c>
      <c r="K1830">
        <v>0</v>
      </c>
      <c r="L1830">
        <v>2400</v>
      </c>
      <c r="M1830">
        <v>2400</v>
      </c>
      <c r="N1830">
        <v>0</v>
      </c>
    </row>
    <row r="1831" spans="1:14" x14ac:dyDescent="0.25">
      <c r="A1831">
        <v>1645.257728</v>
      </c>
      <c r="B1831" s="1">
        <f>DATE(2014,11,1) + TIME(6,11,7)</f>
        <v>41944.257719907408</v>
      </c>
      <c r="C1831">
        <v>1064.3010254000001</v>
      </c>
      <c r="D1831">
        <v>938.22259521000001</v>
      </c>
      <c r="E1831">
        <v>1965.1271973</v>
      </c>
      <c r="F1831">
        <v>1755.7154541</v>
      </c>
      <c r="G1831">
        <v>80</v>
      </c>
      <c r="H1831">
        <v>79.838005065999994</v>
      </c>
      <c r="I1831">
        <v>50</v>
      </c>
      <c r="J1831">
        <v>41.741817474000001</v>
      </c>
      <c r="K1831">
        <v>0</v>
      </c>
      <c r="L1831">
        <v>2400</v>
      </c>
      <c r="M1831">
        <v>2400</v>
      </c>
      <c r="N1831">
        <v>0</v>
      </c>
    </row>
    <row r="1832" spans="1:14" x14ac:dyDescent="0.25">
      <c r="A1832">
        <v>1645.3547960000001</v>
      </c>
      <c r="B1832" s="1">
        <f>DATE(2014,11,1) + TIME(8,30,54)</f>
        <v>41944.354791666665</v>
      </c>
      <c r="C1832">
        <v>1048.7313231999999</v>
      </c>
      <c r="D1832">
        <v>922.63684081999997</v>
      </c>
      <c r="E1832">
        <v>1981.0068358999999</v>
      </c>
      <c r="F1832">
        <v>1773.7974853999999</v>
      </c>
      <c r="G1832">
        <v>80</v>
      </c>
      <c r="H1832">
        <v>79.821296692000004</v>
      </c>
      <c r="I1832">
        <v>50</v>
      </c>
      <c r="J1832">
        <v>42.556735992</v>
      </c>
      <c r="K1832">
        <v>0</v>
      </c>
      <c r="L1832">
        <v>2400</v>
      </c>
      <c r="M1832">
        <v>2400</v>
      </c>
      <c r="N1832">
        <v>0</v>
      </c>
    </row>
    <row r="1833" spans="1:14" x14ac:dyDescent="0.25">
      <c r="A1833">
        <v>1645.4618989999999</v>
      </c>
      <c r="B1833" s="1">
        <f>DATE(2014,11,1) + TIME(11,5,8)</f>
        <v>41944.461898148147</v>
      </c>
      <c r="C1833">
        <v>1038.963501</v>
      </c>
      <c r="D1833">
        <v>912.85760498000002</v>
      </c>
      <c r="E1833">
        <v>1988.7575684000001</v>
      </c>
      <c r="F1833">
        <v>1783.6590576000001</v>
      </c>
      <c r="G1833">
        <v>80</v>
      </c>
      <c r="H1833">
        <v>79.804222107000001</v>
      </c>
      <c r="I1833">
        <v>50</v>
      </c>
      <c r="J1833">
        <v>43.361137390000003</v>
      </c>
      <c r="K1833">
        <v>0</v>
      </c>
      <c r="L1833">
        <v>2400</v>
      </c>
      <c r="M1833">
        <v>2400</v>
      </c>
      <c r="N1833">
        <v>0</v>
      </c>
    </row>
    <row r="1834" spans="1:14" x14ac:dyDescent="0.25">
      <c r="A1834">
        <v>1645.581189</v>
      </c>
      <c r="B1834" s="1">
        <f>DATE(2014,11,1) + TIME(13,56,54)</f>
        <v>41944.581180555557</v>
      </c>
      <c r="C1834">
        <v>1032.7780762</v>
      </c>
      <c r="D1834">
        <v>906.66259765999996</v>
      </c>
      <c r="E1834">
        <v>1991.8282471</v>
      </c>
      <c r="F1834">
        <v>1788.7514647999999</v>
      </c>
      <c r="G1834">
        <v>80</v>
      </c>
      <c r="H1834">
        <v>79.786285399999997</v>
      </c>
      <c r="I1834">
        <v>50</v>
      </c>
      <c r="J1834">
        <v>44.152835846000002</v>
      </c>
      <c r="K1834">
        <v>0</v>
      </c>
      <c r="L1834">
        <v>2400</v>
      </c>
      <c r="M1834">
        <v>2400</v>
      </c>
      <c r="N1834">
        <v>0</v>
      </c>
    </row>
    <row r="1835" spans="1:14" x14ac:dyDescent="0.25">
      <c r="A1835">
        <v>1645.71567</v>
      </c>
      <c r="B1835" s="1">
        <f>DATE(2014,11,1) + TIME(17,10,33)</f>
        <v>41944.71565972222</v>
      </c>
      <c r="C1835">
        <v>1028.8719481999999</v>
      </c>
      <c r="D1835">
        <v>902.74768066000001</v>
      </c>
      <c r="E1835">
        <v>1992.151001</v>
      </c>
      <c r="F1835">
        <v>1791.0057373</v>
      </c>
      <c r="G1835">
        <v>80</v>
      </c>
      <c r="H1835">
        <v>79.767013550000001</v>
      </c>
      <c r="I1835">
        <v>50</v>
      </c>
      <c r="J1835">
        <v>44.929351807000003</v>
      </c>
      <c r="K1835">
        <v>0</v>
      </c>
      <c r="L1835">
        <v>2400</v>
      </c>
      <c r="M1835">
        <v>2400</v>
      </c>
      <c r="N1835">
        <v>0</v>
      </c>
    </row>
    <row r="1836" spans="1:14" x14ac:dyDescent="0.25">
      <c r="A1836">
        <v>1645.8696090000001</v>
      </c>
      <c r="B1836" s="1">
        <f>DATE(2014,11,1) + TIME(20,52,14)</f>
        <v>41944.869606481479</v>
      </c>
      <c r="C1836">
        <v>1026.4221190999999</v>
      </c>
      <c r="D1836">
        <v>900.28894043000003</v>
      </c>
      <c r="E1836">
        <v>1990.8980713000001</v>
      </c>
      <c r="F1836">
        <v>1791.5899658000001</v>
      </c>
      <c r="G1836">
        <v>80</v>
      </c>
      <c r="H1836">
        <v>79.745895386000001</v>
      </c>
      <c r="I1836">
        <v>50</v>
      </c>
      <c r="J1836">
        <v>45.687587737999998</v>
      </c>
      <c r="K1836">
        <v>0</v>
      </c>
      <c r="L1836">
        <v>2400</v>
      </c>
      <c r="M1836">
        <v>2400</v>
      </c>
      <c r="N1836">
        <v>0</v>
      </c>
    </row>
    <row r="1837" spans="1:14" x14ac:dyDescent="0.25">
      <c r="A1837">
        <v>1646.0492839999999</v>
      </c>
      <c r="B1837" s="1">
        <f>DATE(2014,11,2) + TIME(1,10,58)</f>
        <v>41945.04928240741</v>
      </c>
      <c r="C1837">
        <v>1024.8928223</v>
      </c>
      <c r="D1837">
        <v>898.75030518000005</v>
      </c>
      <c r="E1837">
        <v>1988.8031006000001</v>
      </c>
      <c r="F1837">
        <v>1791.2307129000001</v>
      </c>
      <c r="G1837">
        <v>80</v>
      </c>
      <c r="H1837">
        <v>79.722267150999997</v>
      </c>
      <c r="I1837">
        <v>50</v>
      </c>
      <c r="J1837">
        <v>46.423416138</v>
      </c>
      <c r="K1837">
        <v>0</v>
      </c>
      <c r="L1837">
        <v>2400</v>
      </c>
      <c r="M1837">
        <v>2400</v>
      </c>
      <c r="N1837">
        <v>0</v>
      </c>
    </row>
    <row r="1838" spans="1:14" x14ac:dyDescent="0.25">
      <c r="A1838">
        <v>1646.264367</v>
      </c>
      <c r="B1838" s="1">
        <f>DATE(2014,11,2) + TIME(6,20,41)</f>
        <v>41945.264363425929</v>
      </c>
      <c r="C1838">
        <v>1023.9355469</v>
      </c>
      <c r="D1838">
        <v>897.78277588000003</v>
      </c>
      <c r="E1838">
        <v>1986.3220214999999</v>
      </c>
      <c r="F1838">
        <v>1790.3723144999999</v>
      </c>
      <c r="G1838">
        <v>80</v>
      </c>
      <c r="H1838">
        <v>79.695205688000001</v>
      </c>
      <c r="I1838">
        <v>50</v>
      </c>
      <c r="J1838">
        <v>47.131126404</v>
      </c>
      <c r="K1838">
        <v>0</v>
      </c>
      <c r="L1838">
        <v>2400</v>
      </c>
      <c r="M1838">
        <v>2400</v>
      </c>
      <c r="N1838">
        <v>0</v>
      </c>
    </row>
    <row r="1839" spans="1:14" x14ac:dyDescent="0.25">
      <c r="A1839">
        <v>1646.5306989999999</v>
      </c>
      <c r="B1839" s="1">
        <f>DATE(2014,11,2) + TIME(12,44,12)</f>
        <v>41945.530694444446</v>
      </c>
      <c r="C1839">
        <v>1023.3267822</v>
      </c>
      <c r="D1839">
        <v>897.16204833999996</v>
      </c>
      <c r="E1839">
        <v>1983.7268065999999</v>
      </c>
      <c r="F1839">
        <v>1789.2689209</v>
      </c>
      <c r="G1839">
        <v>80</v>
      </c>
      <c r="H1839">
        <v>79.663345336999996</v>
      </c>
      <c r="I1839">
        <v>50</v>
      </c>
      <c r="J1839">
        <v>47.802497864000003</v>
      </c>
      <c r="K1839">
        <v>0</v>
      </c>
      <c r="L1839">
        <v>2400</v>
      </c>
      <c r="M1839">
        <v>2400</v>
      </c>
      <c r="N1839">
        <v>0</v>
      </c>
    </row>
    <row r="1840" spans="1:14" x14ac:dyDescent="0.25">
      <c r="A1840">
        <v>1646.8197150000001</v>
      </c>
      <c r="B1840" s="1">
        <f>DATE(2014,11,2) + TIME(19,40,23)</f>
        <v>41945.819710648146</v>
      </c>
      <c r="C1840">
        <v>1022.9514771</v>
      </c>
      <c r="D1840">
        <v>896.77606201000003</v>
      </c>
      <c r="E1840">
        <v>1981.4245605000001</v>
      </c>
      <c r="F1840">
        <v>1788.1242675999999</v>
      </c>
      <c r="G1840">
        <v>80</v>
      </c>
      <c r="H1840">
        <v>79.629142760999997</v>
      </c>
      <c r="I1840">
        <v>50</v>
      </c>
      <c r="J1840">
        <v>48.348857879999997</v>
      </c>
      <c r="K1840">
        <v>0</v>
      </c>
      <c r="L1840">
        <v>2400</v>
      </c>
      <c r="M1840">
        <v>2400</v>
      </c>
      <c r="N1840">
        <v>0</v>
      </c>
    </row>
    <row r="1841" spans="1:14" x14ac:dyDescent="0.25">
      <c r="A1841">
        <v>1647.1176009999999</v>
      </c>
      <c r="B1841" s="1">
        <f>DATE(2014,11,3) + TIME(2,49,20)</f>
        <v>41946.117592592593</v>
      </c>
      <c r="C1841">
        <v>1022.7029419</v>
      </c>
      <c r="D1841">
        <v>896.51727295000001</v>
      </c>
      <c r="E1841">
        <v>1979.5209961</v>
      </c>
      <c r="F1841">
        <v>1787.0648193</v>
      </c>
      <c r="G1841">
        <v>80</v>
      </c>
      <c r="H1841">
        <v>79.593780518000003</v>
      </c>
      <c r="I1841">
        <v>50</v>
      </c>
      <c r="J1841">
        <v>48.767368316999999</v>
      </c>
      <c r="K1841">
        <v>0</v>
      </c>
      <c r="L1841">
        <v>2400</v>
      </c>
      <c r="M1841">
        <v>2400</v>
      </c>
      <c r="N1841">
        <v>0</v>
      </c>
    </row>
    <row r="1842" spans="1:14" x14ac:dyDescent="0.25">
      <c r="A1842">
        <v>1647.428936</v>
      </c>
      <c r="B1842" s="1">
        <f>DATE(2014,11,3) + TIME(10,17,40)</f>
        <v>41946.428935185184</v>
      </c>
      <c r="C1842">
        <v>1022.5189209</v>
      </c>
      <c r="D1842">
        <v>896.32196045000001</v>
      </c>
      <c r="E1842">
        <v>1977.9476318</v>
      </c>
      <c r="F1842">
        <v>1786.1075439000001</v>
      </c>
      <c r="G1842">
        <v>80</v>
      </c>
      <c r="H1842">
        <v>79.556953429999993</v>
      </c>
      <c r="I1842">
        <v>50</v>
      </c>
      <c r="J1842">
        <v>49.088367462000001</v>
      </c>
      <c r="K1842">
        <v>0</v>
      </c>
      <c r="L1842">
        <v>2400</v>
      </c>
      <c r="M1842">
        <v>2400</v>
      </c>
      <c r="N1842">
        <v>0</v>
      </c>
    </row>
    <row r="1843" spans="1:14" x14ac:dyDescent="0.25">
      <c r="A1843">
        <v>1647.7584730000001</v>
      </c>
      <c r="B1843" s="1">
        <f>DATE(2014,11,3) + TIME(18,12,12)</f>
        <v>41946.758472222224</v>
      </c>
      <c r="C1843">
        <v>1022.3665771</v>
      </c>
      <c r="D1843">
        <v>896.15747069999998</v>
      </c>
      <c r="E1843">
        <v>1976.6224365</v>
      </c>
      <c r="F1843">
        <v>1785.2247314000001</v>
      </c>
      <c r="G1843">
        <v>80</v>
      </c>
      <c r="H1843">
        <v>79.518302917</v>
      </c>
      <c r="I1843">
        <v>50</v>
      </c>
      <c r="J1843">
        <v>49.333709716999998</v>
      </c>
      <c r="K1843">
        <v>0</v>
      </c>
      <c r="L1843">
        <v>2400</v>
      </c>
      <c r="M1843">
        <v>2400</v>
      </c>
      <c r="N1843">
        <v>0</v>
      </c>
    </row>
    <row r="1844" spans="1:14" x14ac:dyDescent="0.25">
      <c r="A1844">
        <v>1648.1118859999999</v>
      </c>
      <c r="B1844" s="1">
        <f>DATE(2014,11,4) + TIME(2,41,6)</f>
        <v>41947.111875000002</v>
      </c>
      <c r="C1844">
        <v>1022.2280884</v>
      </c>
      <c r="D1844">
        <v>896.00579833999996</v>
      </c>
      <c r="E1844">
        <v>1975.4819336</v>
      </c>
      <c r="F1844">
        <v>1784.3924560999999</v>
      </c>
      <c r="G1844">
        <v>80</v>
      </c>
      <c r="H1844">
        <v>79.477371215999995</v>
      </c>
      <c r="I1844">
        <v>50</v>
      </c>
      <c r="J1844">
        <v>49.519866942999997</v>
      </c>
      <c r="K1844">
        <v>0</v>
      </c>
      <c r="L1844">
        <v>2400</v>
      </c>
      <c r="M1844">
        <v>2400</v>
      </c>
      <c r="N1844">
        <v>0</v>
      </c>
    </row>
    <row r="1845" spans="1:14" x14ac:dyDescent="0.25">
      <c r="A1845">
        <v>1648.49604</v>
      </c>
      <c r="B1845" s="1">
        <f>DATE(2014,11,4) + TIME(11,54,17)</f>
        <v>41947.496030092596</v>
      </c>
      <c r="C1845">
        <v>1022.0926514</v>
      </c>
      <c r="D1845">
        <v>895.85607909999999</v>
      </c>
      <c r="E1845">
        <v>1974.4774170000001</v>
      </c>
      <c r="F1845">
        <v>1783.5913086</v>
      </c>
      <c r="G1845">
        <v>80</v>
      </c>
      <c r="H1845">
        <v>79.433578491000006</v>
      </c>
      <c r="I1845">
        <v>50</v>
      </c>
      <c r="J1845">
        <v>49.659469604000002</v>
      </c>
      <c r="K1845">
        <v>0</v>
      </c>
      <c r="L1845">
        <v>2400</v>
      </c>
      <c r="M1845">
        <v>2400</v>
      </c>
      <c r="N1845">
        <v>0</v>
      </c>
    </row>
    <row r="1846" spans="1:14" x14ac:dyDescent="0.25">
      <c r="A1846">
        <v>1648.919703</v>
      </c>
      <c r="B1846" s="1">
        <f>DATE(2014,11,4) + TIME(22,4,22)</f>
        <v>41947.919699074075</v>
      </c>
      <c r="C1846">
        <v>1021.9532471</v>
      </c>
      <c r="D1846">
        <v>895.70104979999996</v>
      </c>
      <c r="E1846">
        <v>1973.5699463000001</v>
      </c>
      <c r="F1846">
        <v>1782.8050536999999</v>
      </c>
      <c r="G1846">
        <v>80</v>
      </c>
      <c r="H1846">
        <v>79.386199950999995</v>
      </c>
      <c r="I1846">
        <v>50</v>
      </c>
      <c r="J1846">
        <v>49.762439727999997</v>
      </c>
      <c r="K1846">
        <v>0</v>
      </c>
      <c r="L1846">
        <v>2400</v>
      </c>
      <c r="M1846">
        <v>2400</v>
      </c>
      <c r="N1846">
        <v>0</v>
      </c>
    </row>
    <row r="1847" spans="1:14" x14ac:dyDescent="0.25">
      <c r="A1847">
        <v>1649.394669</v>
      </c>
      <c r="B1847" s="1">
        <f>DATE(2014,11,5) + TIME(9,28,19)</f>
        <v>41948.39466435185</v>
      </c>
      <c r="C1847">
        <v>1021.8041992</v>
      </c>
      <c r="D1847">
        <v>895.53472899999997</v>
      </c>
      <c r="E1847">
        <v>1972.7277832</v>
      </c>
      <c r="F1847">
        <v>1782.0197754000001</v>
      </c>
      <c r="G1847">
        <v>80</v>
      </c>
      <c r="H1847">
        <v>79.334266662999994</v>
      </c>
      <c r="I1847">
        <v>50</v>
      </c>
      <c r="J1847">
        <v>49.836742401000002</v>
      </c>
      <c r="K1847">
        <v>0</v>
      </c>
      <c r="L1847">
        <v>2400</v>
      </c>
      <c r="M1847">
        <v>2400</v>
      </c>
      <c r="N1847">
        <v>0</v>
      </c>
    </row>
    <row r="1848" spans="1:14" x14ac:dyDescent="0.25">
      <c r="A1848">
        <v>1649.937582</v>
      </c>
      <c r="B1848" s="1">
        <f>DATE(2014,11,5) + TIME(22,30,7)</f>
        <v>41948.937581018516</v>
      </c>
      <c r="C1848">
        <v>1021.6400146</v>
      </c>
      <c r="D1848">
        <v>895.35119628999996</v>
      </c>
      <c r="E1848">
        <v>1971.9230957</v>
      </c>
      <c r="F1848">
        <v>1781.2213135</v>
      </c>
      <c r="G1848">
        <v>80</v>
      </c>
      <c r="H1848">
        <v>79.276443481000001</v>
      </c>
      <c r="I1848">
        <v>50</v>
      </c>
      <c r="J1848">
        <v>49.888858794999997</v>
      </c>
      <c r="K1848">
        <v>0</v>
      </c>
      <c r="L1848">
        <v>2400</v>
      </c>
      <c r="M1848">
        <v>2400</v>
      </c>
      <c r="N1848">
        <v>0</v>
      </c>
    </row>
    <row r="1849" spans="1:14" x14ac:dyDescent="0.25">
      <c r="A1849">
        <v>1650.5202389999999</v>
      </c>
      <c r="B1849" s="1">
        <f>DATE(2014,11,6) + TIME(12,29,8)</f>
        <v>41949.520231481481</v>
      </c>
      <c r="C1849">
        <v>1021.454895</v>
      </c>
      <c r="D1849">
        <v>895.14666748000002</v>
      </c>
      <c r="E1849">
        <v>1971.1358643000001</v>
      </c>
      <c r="F1849">
        <v>1780.3968506000001</v>
      </c>
      <c r="G1849">
        <v>80</v>
      </c>
      <c r="H1849">
        <v>79.214027404999996</v>
      </c>
      <c r="I1849">
        <v>50</v>
      </c>
      <c r="J1849">
        <v>49.922328948999997</v>
      </c>
      <c r="K1849">
        <v>0</v>
      </c>
      <c r="L1849">
        <v>2400</v>
      </c>
      <c r="M1849">
        <v>2400</v>
      </c>
      <c r="N1849">
        <v>0</v>
      </c>
    </row>
    <row r="1850" spans="1:14" x14ac:dyDescent="0.25">
      <c r="A1850">
        <v>1651.112353</v>
      </c>
      <c r="B1850" s="1">
        <f>DATE(2014,11,7) + TIME(2,41,47)</f>
        <v>41950.112349537034</v>
      </c>
      <c r="C1850">
        <v>1021.2569580000001</v>
      </c>
      <c r="D1850">
        <v>894.92932128999996</v>
      </c>
      <c r="E1850">
        <v>1970.3966064000001</v>
      </c>
      <c r="F1850">
        <v>1779.5975341999999</v>
      </c>
      <c r="G1850">
        <v>80</v>
      </c>
      <c r="H1850">
        <v>79.149147033999995</v>
      </c>
      <c r="I1850">
        <v>50</v>
      </c>
      <c r="J1850">
        <v>49.942638397000003</v>
      </c>
      <c r="K1850">
        <v>0</v>
      </c>
      <c r="L1850">
        <v>2400</v>
      </c>
      <c r="M1850">
        <v>2400</v>
      </c>
      <c r="N1850">
        <v>0</v>
      </c>
    </row>
    <row r="1851" spans="1:14" x14ac:dyDescent="0.25">
      <c r="A1851">
        <v>1651.7266749999999</v>
      </c>
      <c r="B1851" s="1">
        <f>DATE(2014,11,7) + TIME(17,26,24)</f>
        <v>41950.726666666669</v>
      </c>
      <c r="C1851">
        <v>1021.0559692</v>
      </c>
      <c r="D1851">
        <v>894.70690918000003</v>
      </c>
      <c r="E1851">
        <v>1969.7257079999999</v>
      </c>
      <c r="F1851">
        <v>1778.8602295000001</v>
      </c>
      <c r="G1851">
        <v>80</v>
      </c>
      <c r="H1851">
        <v>79.081794739000003</v>
      </c>
      <c r="I1851">
        <v>50</v>
      </c>
      <c r="J1851">
        <v>49.955104828000003</v>
      </c>
      <c r="K1851">
        <v>0</v>
      </c>
      <c r="L1851">
        <v>2400</v>
      </c>
      <c r="M1851">
        <v>2400</v>
      </c>
      <c r="N1851">
        <v>0</v>
      </c>
    </row>
    <row r="1852" spans="1:14" x14ac:dyDescent="0.25">
      <c r="A1852">
        <v>1652.375683</v>
      </c>
      <c r="B1852" s="1">
        <f>DATE(2014,11,8) + TIME(9,0,58)</f>
        <v>41951.375671296293</v>
      </c>
      <c r="C1852">
        <v>1020.8486328</v>
      </c>
      <c r="D1852">
        <v>894.47650146000001</v>
      </c>
      <c r="E1852">
        <v>1969.0966797000001</v>
      </c>
      <c r="F1852">
        <v>1778.1624756000001</v>
      </c>
      <c r="G1852">
        <v>80</v>
      </c>
      <c r="H1852">
        <v>79.011428832999997</v>
      </c>
      <c r="I1852">
        <v>50</v>
      </c>
      <c r="J1852">
        <v>49.962779998999999</v>
      </c>
      <c r="K1852">
        <v>0</v>
      </c>
      <c r="L1852">
        <v>2400</v>
      </c>
      <c r="M1852">
        <v>2400</v>
      </c>
      <c r="N1852">
        <v>0</v>
      </c>
    </row>
    <row r="1853" spans="1:14" x14ac:dyDescent="0.25">
      <c r="A1853">
        <v>1653.072899</v>
      </c>
      <c r="B1853" s="1">
        <f>DATE(2014,11,9) + TIME(1,44,58)</f>
        <v>41952.072893518518</v>
      </c>
      <c r="C1853">
        <v>1020.6307983</v>
      </c>
      <c r="D1853">
        <v>894.23388671999999</v>
      </c>
      <c r="E1853">
        <v>1968.4913329999999</v>
      </c>
      <c r="F1853">
        <v>1777.4876709</v>
      </c>
      <c r="G1853">
        <v>80</v>
      </c>
      <c r="H1853">
        <v>78.937156677000004</v>
      </c>
      <c r="I1853">
        <v>50</v>
      </c>
      <c r="J1853">
        <v>49.967502594000003</v>
      </c>
      <c r="K1853">
        <v>0</v>
      </c>
      <c r="L1853">
        <v>2400</v>
      </c>
      <c r="M1853">
        <v>2400</v>
      </c>
      <c r="N1853">
        <v>0</v>
      </c>
    </row>
    <row r="1854" spans="1:14" x14ac:dyDescent="0.25">
      <c r="A1854">
        <v>1653.8349989999999</v>
      </c>
      <c r="B1854" s="1">
        <f>DATE(2014,11,9) + TIME(20,2,23)</f>
        <v>41952.834988425922</v>
      </c>
      <c r="C1854">
        <v>1020.3978882</v>
      </c>
      <c r="D1854">
        <v>893.97418213000003</v>
      </c>
      <c r="E1854">
        <v>1967.8959961</v>
      </c>
      <c r="F1854">
        <v>1776.8231201000001</v>
      </c>
      <c r="G1854">
        <v>80</v>
      </c>
      <c r="H1854">
        <v>78.857742310000006</v>
      </c>
      <c r="I1854">
        <v>50</v>
      </c>
      <c r="J1854">
        <v>49.970394134999999</v>
      </c>
      <c r="K1854">
        <v>0</v>
      </c>
      <c r="L1854">
        <v>2400</v>
      </c>
      <c r="M1854">
        <v>2400</v>
      </c>
      <c r="N1854">
        <v>0</v>
      </c>
    </row>
    <row r="1855" spans="1:14" x14ac:dyDescent="0.25">
      <c r="A1855">
        <v>1654.665313</v>
      </c>
      <c r="B1855" s="1">
        <f>DATE(2014,11,10) + TIME(15,58,3)</f>
        <v>41953.665312500001</v>
      </c>
      <c r="C1855">
        <v>1020.1444092</v>
      </c>
      <c r="D1855">
        <v>893.69219970999995</v>
      </c>
      <c r="E1855">
        <v>1967.2987060999999</v>
      </c>
      <c r="F1855">
        <v>1776.1568603999999</v>
      </c>
      <c r="G1855">
        <v>80</v>
      </c>
      <c r="H1855">
        <v>78.772453307999996</v>
      </c>
      <c r="I1855">
        <v>50</v>
      </c>
      <c r="J1855">
        <v>49.972129821999999</v>
      </c>
      <c r="K1855">
        <v>0</v>
      </c>
      <c r="L1855">
        <v>2400</v>
      </c>
      <c r="M1855">
        <v>2400</v>
      </c>
      <c r="N1855">
        <v>0</v>
      </c>
    </row>
    <row r="1856" spans="1:14" x14ac:dyDescent="0.25">
      <c r="A1856">
        <v>1655.5812100000001</v>
      </c>
      <c r="B1856" s="1">
        <f>DATE(2014,11,11) + TIME(13,56,56)</f>
        <v>41954.581203703703</v>
      </c>
      <c r="C1856">
        <v>1019.8688965</v>
      </c>
      <c r="D1856">
        <v>893.38555908000001</v>
      </c>
      <c r="E1856">
        <v>1966.7004394999999</v>
      </c>
      <c r="F1856">
        <v>1775.4916992000001</v>
      </c>
      <c r="G1856">
        <v>80</v>
      </c>
      <c r="H1856">
        <v>78.680076599000003</v>
      </c>
      <c r="I1856">
        <v>50</v>
      </c>
      <c r="J1856">
        <v>49.973175048999998</v>
      </c>
      <c r="K1856">
        <v>0</v>
      </c>
      <c r="L1856">
        <v>2400</v>
      </c>
      <c r="M1856">
        <v>2400</v>
      </c>
      <c r="N1856">
        <v>0</v>
      </c>
    </row>
    <row r="1857" spans="1:14" x14ac:dyDescent="0.25">
      <c r="A1857">
        <v>1656.51413</v>
      </c>
      <c r="B1857" s="1">
        <f>DATE(2014,11,12) + TIME(12,20,20)</f>
        <v>41955.514120370368</v>
      </c>
      <c r="C1857">
        <v>1019.5657959</v>
      </c>
      <c r="D1857">
        <v>893.05175781000003</v>
      </c>
      <c r="E1857">
        <v>1966.0938721</v>
      </c>
      <c r="F1857">
        <v>1774.8199463000001</v>
      </c>
      <c r="G1857">
        <v>80</v>
      </c>
      <c r="H1857">
        <v>78.583183289000004</v>
      </c>
      <c r="I1857">
        <v>50</v>
      </c>
      <c r="J1857">
        <v>49.973770141999999</v>
      </c>
      <c r="K1857">
        <v>0</v>
      </c>
      <c r="L1857">
        <v>2400</v>
      </c>
      <c r="M1857">
        <v>2400</v>
      </c>
      <c r="N1857">
        <v>0</v>
      </c>
    </row>
    <row r="1858" spans="1:14" x14ac:dyDescent="0.25">
      <c r="A1858">
        <v>1657.466038</v>
      </c>
      <c r="B1858" s="1">
        <f>DATE(2014,11,13) + TIME(11,11,5)</f>
        <v>41956.46603009259</v>
      </c>
      <c r="C1858">
        <v>1019.2567749</v>
      </c>
      <c r="D1858">
        <v>892.70983887</v>
      </c>
      <c r="E1858">
        <v>1965.5245361</v>
      </c>
      <c r="F1858">
        <v>1774.192749</v>
      </c>
      <c r="G1858">
        <v>80</v>
      </c>
      <c r="H1858">
        <v>78.483505249000004</v>
      </c>
      <c r="I1858">
        <v>50</v>
      </c>
      <c r="J1858">
        <v>49.974124908</v>
      </c>
      <c r="K1858">
        <v>0</v>
      </c>
      <c r="L1858">
        <v>2400</v>
      </c>
      <c r="M1858">
        <v>2400</v>
      </c>
      <c r="N1858">
        <v>0</v>
      </c>
    </row>
    <row r="1859" spans="1:14" x14ac:dyDescent="0.25">
      <c r="A1859">
        <v>1658.4556190000001</v>
      </c>
      <c r="B1859" s="1">
        <f>DATE(2014,11,14) + TIME(10,56,5)</f>
        <v>41957.455613425926</v>
      </c>
      <c r="C1859">
        <v>1018.9420166</v>
      </c>
      <c r="D1859">
        <v>892.36004638999998</v>
      </c>
      <c r="E1859">
        <v>1964.9864502</v>
      </c>
      <c r="F1859">
        <v>1773.6027832</v>
      </c>
      <c r="G1859">
        <v>80</v>
      </c>
      <c r="H1859">
        <v>78.380981445000003</v>
      </c>
      <c r="I1859">
        <v>50</v>
      </c>
      <c r="J1859">
        <v>49.974346161</v>
      </c>
      <c r="K1859">
        <v>0</v>
      </c>
      <c r="L1859">
        <v>2400</v>
      </c>
      <c r="M1859">
        <v>2400</v>
      </c>
      <c r="N1859">
        <v>0</v>
      </c>
    </row>
    <row r="1860" spans="1:14" x14ac:dyDescent="0.25">
      <c r="A1860">
        <v>1659.5022489999999</v>
      </c>
      <c r="B1860" s="1">
        <f>DATE(2014,11,15) + TIME(12,3,14)</f>
        <v>41958.502245370371</v>
      </c>
      <c r="C1860">
        <v>1018.6156006</v>
      </c>
      <c r="D1860">
        <v>891.99652100000003</v>
      </c>
      <c r="E1860">
        <v>1964.4656981999999</v>
      </c>
      <c r="F1860">
        <v>1773.0347899999999</v>
      </c>
      <c r="G1860">
        <v>80</v>
      </c>
      <c r="H1860">
        <v>78.274551392000006</v>
      </c>
      <c r="I1860">
        <v>50</v>
      </c>
      <c r="J1860">
        <v>49.974494933999999</v>
      </c>
      <c r="K1860">
        <v>0</v>
      </c>
      <c r="L1860">
        <v>2400</v>
      </c>
      <c r="M1860">
        <v>2400</v>
      </c>
      <c r="N1860">
        <v>0</v>
      </c>
    </row>
    <row r="1861" spans="1:14" x14ac:dyDescent="0.25">
      <c r="A1861">
        <v>1660.6281739999999</v>
      </c>
      <c r="B1861" s="1">
        <f>DATE(2014,11,16) + TIME(15,4,34)</f>
        <v>41959.628171296295</v>
      </c>
      <c r="C1861">
        <v>1018.270874</v>
      </c>
      <c r="D1861">
        <v>891.61224364999998</v>
      </c>
      <c r="E1861">
        <v>1963.9516602000001</v>
      </c>
      <c r="F1861">
        <v>1772.4768065999999</v>
      </c>
      <c r="G1861">
        <v>80</v>
      </c>
      <c r="H1861">
        <v>78.162628174000005</v>
      </c>
      <c r="I1861">
        <v>50</v>
      </c>
      <c r="J1861">
        <v>49.974597930999998</v>
      </c>
      <c r="K1861">
        <v>0</v>
      </c>
      <c r="L1861">
        <v>2400</v>
      </c>
      <c r="M1861">
        <v>2400</v>
      </c>
      <c r="N1861">
        <v>0</v>
      </c>
    </row>
    <row r="1862" spans="1:14" x14ac:dyDescent="0.25">
      <c r="A1862">
        <v>1661.861703</v>
      </c>
      <c r="B1862" s="1">
        <f>DATE(2014,11,17) + TIME(20,40,51)</f>
        <v>41960.861701388887</v>
      </c>
      <c r="C1862">
        <v>1017.9002075</v>
      </c>
      <c r="D1862">
        <v>891.19891356999995</v>
      </c>
      <c r="E1862">
        <v>1963.4349365</v>
      </c>
      <c r="F1862">
        <v>1771.9185791</v>
      </c>
      <c r="G1862">
        <v>80</v>
      </c>
      <c r="H1862">
        <v>78.043083190999994</v>
      </c>
      <c r="I1862">
        <v>50</v>
      </c>
      <c r="J1862">
        <v>49.974678040000001</v>
      </c>
      <c r="K1862">
        <v>0</v>
      </c>
      <c r="L1862">
        <v>2400</v>
      </c>
      <c r="M1862">
        <v>2400</v>
      </c>
      <c r="N1862">
        <v>0</v>
      </c>
    </row>
    <row r="1863" spans="1:14" x14ac:dyDescent="0.25">
      <c r="A1863">
        <v>1663.1737869999999</v>
      </c>
      <c r="B1863" s="1">
        <f>DATE(2014,11,19) + TIME(4,10,15)</f>
        <v>41962.173784722225</v>
      </c>
      <c r="C1863">
        <v>1017.4938354</v>
      </c>
      <c r="D1863">
        <v>890.74780272999999</v>
      </c>
      <c r="E1863">
        <v>1962.9060059000001</v>
      </c>
      <c r="F1863">
        <v>1771.3498535000001</v>
      </c>
      <c r="G1863">
        <v>80</v>
      </c>
      <c r="H1863">
        <v>77.915603637999993</v>
      </c>
      <c r="I1863">
        <v>50</v>
      </c>
      <c r="J1863">
        <v>49.974742888999998</v>
      </c>
      <c r="K1863">
        <v>0</v>
      </c>
      <c r="L1863">
        <v>2400</v>
      </c>
      <c r="M1863">
        <v>2400</v>
      </c>
      <c r="N1863">
        <v>0</v>
      </c>
    </row>
    <row r="1864" spans="1:14" x14ac:dyDescent="0.25">
      <c r="A1864">
        <v>1664.499333</v>
      </c>
      <c r="B1864" s="1">
        <f>DATE(2014,11,20) + TIME(11,59,2)</f>
        <v>41963.499328703707</v>
      </c>
      <c r="C1864">
        <v>1017.0603638</v>
      </c>
      <c r="D1864">
        <v>890.26831055000002</v>
      </c>
      <c r="E1864">
        <v>1962.3803711</v>
      </c>
      <c r="F1864">
        <v>1770.7875977000001</v>
      </c>
      <c r="G1864">
        <v>80</v>
      </c>
      <c r="H1864">
        <v>77.783172606999997</v>
      </c>
      <c r="I1864">
        <v>50</v>
      </c>
      <c r="J1864">
        <v>49.974792479999998</v>
      </c>
      <c r="K1864">
        <v>0</v>
      </c>
      <c r="L1864">
        <v>2400</v>
      </c>
      <c r="M1864">
        <v>2400</v>
      </c>
      <c r="N1864">
        <v>0</v>
      </c>
    </row>
    <row r="1865" spans="1:14" x14ac:dyDescent="0.25">
      <c r="A1865">
        <v>1665.8644079999999</v>
      </c>
      <c r="B1865" s="1">
        <f>DATE(2014,11,21) + TIME(20,44,44)</f>
        <v>41964.864398148151</v>
      </c>
      <c r="C1865">
        <v>1016.6212769</v>
      </c>
      <c r="D1865">
        <v>889.77966308999999</v>
      </c>
      <c r="E1865">
        <v>1961.8828125</v>
      </c>
      <c r="F1865">
        <v>1770.2579346</v>
      </c>
      <c r="G1865">
        <v>80</v>
      </c>
      <c r="H1865">
        <v>77.647605896000002</v>
      </c>
      <c r="I1865">
        <v>50</v>
      </c>
      <c r="J1865">
        <v>49.974838257000002</v>
      </c>
      <c r="K1865">
        <v>0</v>
      </c>
      <c r="L1865">
        <v>2400</v>
      </c>
      <c r="M1865">
        <v>2400</v>
      </c>
      <c r="N1865">
        <v>0</v>
      </c>
    </row>
    <row r="1866" spans="1:14" x14ac:dyDescent="0.25">
      <c r="A1866">
        <v>1667.2961029999999</v>
      </c>
      <c r="B1866" s="1">
        <f>DATE(2014,11,23) + TIME(7,6,23)</f>
        <v>41966.296099537038</v>
      </c>
      <c r="C1866">
        <v>1016.168335</v>
      </c>
      <c r="D1866">
        <v>889.27435303000004</v>
      </c>
      <c r="E1866">
        <v>1961.4012451000001</v>
      </c>
      <c r="F1866">
        <v>1769.7476807</v>
      </c>
      <c r="G1866">
        <v>80</v>
      </c>
      <c r="H1866">
        <v>77.508018493999998</v>
      </c>
      <c r="I1866">
        <v>50</v>
      </c>
      <c r="J1866">
        <v>49.974880218999999</v>
      </c>
      <c r="K1866">
        <v>0</v>
      </c>
      <c r="L1866">
        <v>2400</v>
      </c>
      <c r="M1866">
        <v>2400</v>
      </c>
      <c r="N1866">
        <v>0</v>
      </c>
    </row>
    <row r="1867" spans="1:14" x14ac:dyDescent="0.25">
      <c r="A1867">
        <v>1668.8244830000001</v>
      </c>
      <c r="B1867" s="1">
        <f>DATE(2014,11,24) + TIME(19,47,15)</f>
        <v>41967.824479166666</v>
      </c>
      <c r="C1867">
        <v>1015.6920775999999</v>
      </c>
      <c r="D1867">
        <v>888.7421875</v>
      </c>
      <c r="E1867">
        <v>1960.9254149999999</v>
      </c>
      <c r="F1867">
        <v>1769.2456055</v>
      </c>
      <c r="G1867">
        <v>80</v>
      </c>
      <c r="H1867">
        <v>77.362380981000001</v>
      </c>
      <c r="I1867">
        <v>50</v>
      </c>
      <c r="J1867">
        <v>49.97492218</v>
      </c>
      <c r="K1867">
        <v>0</v>
      </c>
      <c r="L1867">
        <v>2400</v>
      </c>
      <c r="M1867">
        <v>2400</v>
      </c>
      <c r="N1867">
        <v>0</v>
      </c>
    </row>
    <row r="1868" spans="1:14" x14ac:dyDescent="0.25">
      <c r="A1868">
        <v>1670.464872</v>
      </c>
      <c r="B1868" s="1">
        <f>DATE(2014,11,26) + TIME(11,9,24)</f>
        <v>41969.464861111112</v>
      </c>
      <c r="C1868">
        <v>1015.1816406</v>
      </c>
      <c r="D1868">
        <v>888.17193603999999</v>
      </c>
      <c r="E1868">
        <v>1960.4464111</v>
      </c>
      <c r="F1868">
        <v>1768.7421875</v>
      </c>
      <c r="G1868">
        <v>80</v>
      </c>
      <c r="H1868">
        <v>77.208633422999995</v>
      </c>
      <c r="I1868">
        <v>50</v>
      </c>
      <c r="J1868">
        <v>49.974964141999997</v>
      </c>
      <c r="K1868">
        <v>0</v>
      </c>
      <c r="L1868">
        <v>2400</v>
      </c>
      <c r="M1868">
        <v>2400</v>
      </c>
      <c r="N1868">
        <v>0</v>
      </c>
    </row>
    <row r="1869" spans="1:14" x14ac:dyDescent="0.25">
      <c r="A1869">
        <v>1672.1957649999999</v>
      </c>
      <c r="B1869" s="1">
        <f>DATE(2014,11,28) + TIME(4,41,54)</f>
        <v>41971.195763888885</v>
      </c>
      <c r="C1869">
        <v>1014.6307373</v>
      </c>
      <c r="D1869">
        <v>887.55700683999999</v>
      </c>
      <c r="E1869">
        <v>1959.9613036999999</v>
      </c>
      <c r="F1869">
        <v>1768.2344971</v>
      </c>
      <c r="G1869">
        <v>80</v>
      </c>
      <c r="H1869">
        <v>77.046226501000007</v>
      </c>
      <c r="I1869">
        <v>50</v>
      </c>
      <c r="J1869">
        <v>49.975006104000002</v>
      </c>
      <c r="K1869">
        <v>0</v>
      </c>
      <c r="L1869">
        <v>2400</v>
      </c>
      <c r="M1869">
        <v>2400</v>
      </c>
      <c r="N1869">
        <v>0</v>
      </c>
    </row>
    <row r="1870" spans="1:14" x14ac:dyDescent="0.25">
      <c r="A1870">
        <v>1673.941736</v>
      </c>
      <c r="B1870" s="1">
        <f>DATE(2014,11,29) + TIME(22,36,5)</f>
        <v>41972.941724537035</v>
      </c>
      <c r="C1870">
        <v>1014.0450439</v>
      </c>
      <c r="D1870">
        <v>886.90429687999995</v>
      </c>
      <c r="E1870">
        <v>1959.4781493999999</v>
      </c>
      <c r="F1870">
        <v>1767.730957</v>
      </c>
      <c r="G1870">
        <v>80</v>
      </c>
      <c r="H1870">
        <v>76.878028869999994</v>
      </c>
      <c r="I1870">
        <v>50</v>
      </c>
      <c r="J1870">
        <v>49.975048065000003</v>
      </c>
      <c r="K1870">
        <v>0</v>
      </c>
      <c r="L1870">
        <v>2400</v>
      </c>
      <c r="M1870">
        <v>2400</v>
      </c>
      <c r="N1870">
        <v>0</v>
      </c>
    </row>
    <row r="1871" spans="1:14" x14ac:dyDescent="0.25">
      <c r="A1871">
        <v>1675</v>
      </c>
      <c r="B1871" s="1">
        <f>DATE(2014,12,1) + TIME(0,0,0)</f>
        <v>41974</v>
      </c>
      <c r="C1871">
        <v>1013.4481812</v>
      </c>
      <c r="D1871">
        <v>886.26489258000004</v>
      </c>
      <c r="E1871">
        <v>1959.0213623</v>
      </c>
      <c r="F1871">
        <v>1767.2564697</v>
      </c>
      <c r="G1871">
        <v>80</v>
      </c>
      <c r="H1871">
        <v>76.737747192</v>
      </c>
      <c r="I1871">
        <v>50</v>
      </c>
      <c r="J1871">
        <v>49.975063323999997</v>
      </c>
      <c r="K1871">
        <v>0</v>
      </c>
      <c r="L1871">
        <v>2400</v>
      </c>
      <c r="M1871">
        <v>2400</v>
      </c>
      <c r="N1871">
        <v>0</v>
      </c>
    </row>
    <row r="1872" spans="1:14" x14ac:dyDescent="0.25">
      <c r="A1872">
        <v>1676.7934949999999</v>
      </c>
      <c r="B1872" s="1">
        <f>DATE(2014,12,2) + TIME(19,2,37)</f>
        <v>41975.793483796297</v>
      </c>
      <c r="C1872">
        <v>1013.0821533</v>
      </c>
      <c r="D1872">
        <v>885.81298828000001</v>
      </c>
      <c r="E1872">
        <v>1958.7474365</v>
      </c>
      <c r="F1872">
        <v>1766.9733887</v>
      </c>
      <c r="G1872">
        <v>80</v>
      </c>
      <c r="H1872">
        <v>76.591476439999994</v>
      </c>
      <c r="I1872">
        <v>50</v>
      </c>
      <c r="J1872">
        <v>49.975120543999999</v>
      </c>
      <c r="K1872">
        <v>0</v>
      </c>
      <c r="L1872">
        <v>2400</v>
      </c>
      <c r="M1872">
        <v>2400</v>
      </c>
      <c r="N1872">
        <v>0</v>
      </c>
    </row>
    <row r="1873" spans="1:14" x14ac:dyDescent="0.25">
      <c r="A1873">
        <v>1678.7362189999999</v>
      </c>
      <c r="B1873" s="1">
        <f>DATE(2014,12,4) + TIME(17,40,9)</f>
        <v>41977.736215277779</v>
      </c>
      <c r="C1873">
        <v>1012.4674072</v>
      </c>
      <c r="D1873">
        <v>885.12591553000004</v>
      </c>
      <c r="E1873">
        <v>1958.3137207</v>
      </c>
      <c r="F1873">
        <v>1766.5255127</v>
      </c>
      <c r="G1873">
        <v>80</v>
      </c>
      <c r="H1873">
        <v>76.422080993999998</v>
      </c>
      <c r="I1873">
        <v>50</v>
      </c>
      <c r="J1873">
        <v>49.975162505999997</v>
      </c>
      <c r="K1873">
        <v>0</v>
      </c>
      <c r="L1873">
        <v>2400</v>
      </c>
      <c r="M1873">
        <v>2400</v>
      </c>
      <c r="N1873">
        <v>0</v>
      </c>
    </row>
    <row r="1874" spans="1:14" x14ac:dyDescent="0.25">
      <c r="A1874">
        <v>1680.819741</v>
      </c>
      <c r="B1874" s="1">
        <f>DATE(2014,12,6) + TIME(19,40,25)</f>
        <v>41979.819733796299</v>
      </c>
      <c r="C1874">
        <v>1011.7896729</v>
      </c>
      <c r="D1874">
        <v>884.36364746000004</v>
      </c>
      <c r="E1874">
        <v>1957.8647461</v>
      </c>
      <c r="F1874">
        <v>1766.0634766000001</v>
      </c>
      <c r="G1874">
        <v>80</v>
      </c>
      <c r="H1874">
        <v>76.236053467000005</v>
      </c>
      <c r="I1874">
        <v>50</v>
      </c>
      <c r="J1874">
        <v>49.975208281999997</v>
      </c>
      <c r="K1874">
        <v>0</v>
      </c>
      <c r="L1874">
        <v>2400</v>
      </c>
      <c r="M1874">
        <v>2400</v>
      </c>
      <c r="N1874">
        <v>0</v>
      </c>
    </row>
    <row r="1875" spans="1:14" x14ac:dyDescent="0.25">
      <c r="A1875">
        <v>1683.0142960000001</v>
      </c>
      <c r="B1875" s="1">
        <f>DATE(2014,12,9) + TIME(0,20,35)</f>
        <v>41982.014293981483</v>
      </c>
      <c r="C1875">
        <v>1011.053772</v>
      </c>
      <c r="D1875">
        <v>883.53277588000003</v>
      </c>
      <c r="E1875">
        <v>1957.4061279</v>
      </c>
      <c r="F1875">
        <v>1765.5931396000001</v>
      </c>
      <c r="G1875">
        <v>80</v>
      </c>
      <c r="H1875">
        <v>76.036727905000006</v>
      </c>
      <c r="I1875">
        <v>50</v>
      </c>
      <c r="J1875">
        <v>49.975254059000001</v>
      </c>
      <c r="K1875">
        <v>0</v>
      </c>
      <c r="L1875">
        <v>2400</v>
      </c>
      <c r="M1875">
        <v>2400</v>
      </c>
      <c r="N1875">
        <v>0</v>
      </c>
    </row>
    <row r="1876" spans="1:14" x14ac:dyDescent="0.25">
      <c r="A1876">
        <v>1685.2309990000001</v>
      </c>
      <c r="B1876" s="1">
        <f>DATE(2014,12,11) + TIME(5,32,38)</f>
        <v>41984.230995370373</v>
      </c>
      <c r="C1876">
        <v>1010.2675171</v>
      </c>
      <c r="D1876">
        <v>882.64294433999999</v>
      </c>
      <c r="E1876">
        <v>1956.9464111</v>
      </c>
      <c r="F1876">
        <v>1765.1230469</v>
      </c>
      <c r="G1876">
        <v>80</v>
      </c>
      <c r="H1876">
        <v>75.828575134000005</v>
      </c>
      <c r="I1876">
        <v>50</v>
      </c>
      <c r="J1876">
        <v>49.975299835000001</v>
      </c>
      <c r="K1876">
        <v>0</v>
      </c>
      <c r="L1876">
        <v>2400</v>
      </c>
      <c r="M1876">
        <v>2400</v>
      </c>
      <c r="N1876">
        <v>0</v>
      </c>
    </row>
    <row r="1877" spans="1:14" x14ac:dyDescent="0.25">
      <c r="A1877">
        <v>1687.510528</v>
      </c>
      <c r="B1877" s="1">
        <f>DATE(2014,12,13) + TIME(12,15,9)</f>
        <v>41986.510520833333</v>
      </c>
      <c r="C1877">
        <v>1009.4611206</v>
      </c>
      <c r="D1877">
        <v>881.72320557</v>
      </c>
      <c r="E1877">
        <v>1956.503418</v>
      </c>
      <c r="F1877">
        <v>1764.6713867000001</v>
      </c>
      <c r="G1877">
        <v>80</v>
      </c>
      <c r="H1877">
        <v>75.615547179999993</v>
      </c>
      <c r="I1877">
        <v>50</v>
      </c>
      <c r="J1877">
        <v>49.975349426000001</v>
      </c>
      <c r="K1877">
        <v>0</v>
      </c>
      <c r="L1877">
        <v>2400</v>
      </c>
      <c r="M1877">
        <v>2400</v>
      </c>
      <c r="N1877">
        <v>0</v>
      </c>
    </row>
    <row r="1878" spans="1:14" x14ac:dyDescent="0.25">
      <c r="A1878">
        <v>1689.8956700000001</v>
      </c>
      <c r="B1878" s="1">
        <f>DATE(2014,12,15) + TIME(21,29,45)</f>
        <v>41988.89565972222</v>
      </c>
      <c r="C1878">
        <v>1008.6186523</v>
      </c>
      <c r="D1878">
        <v>880.75677489999998</v>
      </c>
      <c r="E1878">
        <v>1956.0683594</v>
      </c>
      <c r="F1878">
        <v>1764.229126</v>
      </c>
      <c r="G1878">
        <v>80</v>
      </c>
      <c r="H1878">
        <v>75.395782471000004</v>
      </c>
      <c r="I1878">
        <v>50</v>
      </c>
      <c r="J1878">
        <v>49.975399017000001</v>
      </c>
      <c r="K1878">
        <v>0</v>
      </c>
      <c r="L1878">
        <v>2400</v>
      </c>
      <c r="M1878">
        <v>2400</v>
      </c>
      <c r="N1878">
        <v>0</v>
      </c>
    </row>
    <row r="1879" spans="1:14" x14ac:dyDescent="0.25">
      <c r="A1879">
        <v>1692.4247210000001</v>
      </c>
      <c r="B1879" s="1">
        <f>DATE(2014,12,18) + TIME(10,11,35)</f>
        <v>41991.424710648149</v>
      </c>
      <c r="C1879">
        <v>1007.7213135</v>
      </c>
      <c r="D1879">
        <v>879.72216796999999</v>
      </c>
      <c r="E1879">
        <v>1955.6330565999999</v>
      </c>
      <c r="F1879">
        <v>1763.7875977000001</v>
      </c>
      <c r="G1879">
        <v>80</v>
      </c>
      <c r="H1879">
        <v>75.165756225999999</v>
      </c>
      <c r="I1879">
        <v>50</v>
      </c>
      <c r="J1879">
        <v>49.975452423</v>
      </c>
      <c r="K1879">
        <v>0</v>
      </c>
      <c r="L1879">
        <v>2400</v>
      </c>
      <c r="M1879">
        <v>2400</v>
      </c>
      <c r="N1879">
        <v>0</v>
      </c>
    </row>
    <row r="1880" spans="1:14" x14ac:dyDescent="0.25">
      <c r="A1880">
        <v>1695.0972139999999</v>
      </c>
      <c r="B1880" s="1">
        <f>DATE(2014,12,21) + TIME(2,19,59)</f>
        <v>41994.097210648149</v>
      </c>
      <c r="C1880">
        <v>1006.7506714</v>
      </c>
      <c r="D1880">
        <v>878.59765625</v>
      </c>
      <c r="E1880">
        <v>1955.1911620999999</v>
      </c>
      <c r="F1880">
        <v>1763.3406981999999</v>
      </c>
      <c r="G1880">
        <v>80</v>
      </c>
      <c r="H1880">
        <v>74.922470093000001</v>
      </c>
      <c r="I1880">
        <v>50</v>
      </c>
      <c r="J1880">
        <v>49.975505828999999</v>
      </c>
      <c r="K1880">
        <v>0</v>
      </c>
      <c r="L1880">
        <v>2400</v>
      </c>
      <c r="M1880">
        <v>2400</v>
      </c>
      <c r="N1880">
        <v>0</v>
      </c>
    </row>
    <row r="1881" spans="1:14" x14ac:dyDescent="0.25">
      <c r="A1881">
        <v>1697.7942310000001</v>
      </c>
      <c r="B1881" s="1">
        <f>DATE(2014,12,23) + TIME(19,3,41)</f>
        <v>41996.794224537036</v>
      </c>
      <c r="C1881">
        <v>1005.701416</v>
      </c>
      <c r="D1881">
        <v>877.37713623000002</v>
      </c>
      <c r="E1881">
        <v>1954.7441406</v>
      </c>
      <c r="F1881">
        <v>1762.8894043</v>
      </c>
      <c r="G1881">
        <v>80</v>
      </c>
      <c r="H1881">
        <v>74.667083739999995</v>
      </c>
      <c r="I1881">
        <v>50</v>
      </c>
      <c r="J1881">
        <v>49.975559234999999</v>
      </c>
      <c r="K1881">
        <v>0</v>
      </c>
      <c r="L1881">
        <v>2400</v>
      </c>
      <c r="M1881">
        <v>2400</v>
      </c>
      <c r="N1881">
        <v>0</v>
      </c>
    </row>
    <row r="1882" spans="1:14" x14ac:dyDescent="0.25">
      <c r="A1882">
        <v>1700.5571190000001</v>
      </c>
      <c r="B1882" s="1">
        <f>DATE(2014,12,26) + TIME(13,22,15)</f>
        <v>41999.557118055556</v>
      </c>
      <c r="C1882">
        <v>1004.616272</v>
      </c>
      <c r="D1882">
        <v>876.10211182</v>
      </c>
      <c r="E1882">
        <v>1954.3111572</v>
      </c>
      <c r="F1882">
        <v>1762.4533690999999</v>
      </c>
      <c r="G1882">
        <v>80</v>
      </c>
      <c r="H1882">
        <v>74.404632567999997</v>
      </c>
      <c r="I1882">
        <v>50</v>
      </c>
      <c r="J1882">
        <v>49.975612640000001</v>
      </c>
      <c r="K1882">
        <v>0</v>
      </c>
      <c r="L1882">
        <v>2400</v>
      </c>
      <c r="M1882">
        <v>2400</v>
      </c>
      <c r="N1882">
        <v>0</v>
      </c>
    </row>
    <row r="1883" spans="1:14" x14ac:dyDescent="0.25">
      <c r="A1883">
        <v>1703.430889</v>
      </c>
      <c r="B1883" s="1">
        <f>DATE(2014,12,29) + TIME(10,20,28)</f>
        <v>42002.430879629632</v>
      </c>
      <c r="C1883">
        <v>1003.4763794</v>
      </c>
      <c r="D1883">
        <v>874.75134276999995</v>
      </c>
      <c r="E1883">
        <v>1953.8851318</v>
      </c>
      <c r="F1883">
        <v>1762.0252685999999</v>
      </c>
      <c r="G1883">
        <v>80</v>
      </c>
      <c r="H1883">
        <v>74.132759093999994</v>
      </c>
      <c r="I1883">
        <v>50</v>
      </c>
      <c r="J1883">
        <v>49.975669861</v>
      </c>
      <c r="K1883">
        <v>0</v>
      </c>
      <c r="L1883">
        <v>2400</v>
      </c>
      <c r="M1883">
        <v>2400</v>
      </c>
      <c r="N1883">
        <v>0</v>
      </c>
    </row>
    <row r="1884" spans="1:14" x14ac:dyDescent="0.25">
      <c r="A1884">
        <v>1706</v>
      </c>
      <c r="B1884" s="1">
        <f>DATE(2015,1,1) + TIME(0,0,0)</f>
        <v>42005</v>
      </c>
      <c r="C1884">
        <v>1002.2568359000001</v>
      </c>
      <c r="D1884">
        <v>873.30725098000005</v>
      </c>
      <c r="E1884">
        <v>1953.4595947</v>
      </c>
      <c r="F1884">
        <v>1761.5982666</v>
      </c>
      <c r="G1884">
        <v>80</v>
      </c>
      <c r="H1884">
        <v>73.857978821000003</v>
      </c>
      <c r="I1884">
        <v>50</v>
      </c>
      <c r="J1884">
        <v>49.975719452</v>
      </c>
      <c r="K1884">
        <v>0</v>
      </c>
      <c r="L1884">
        <v>2400</v>
      </c>
      <c r="M1884">
        <v>2400</v>
      </c>
      <c r="N1884">
        <v>0</v>
      </c>
    </row>
    <row r="1885" spans="1:14" x14ac:dyDescent="0.25">
      <c r="A1885">
        <v>1709.039548</v>
      </c>
      <c r="B1885" s="1">
        <f>DATE(2015,1,4) + TIME(0,56,56)</f>
        <v>42008.039537037039</v>
      </c>
      <c r="C1885">
        <v>1001.1362305</v>
      </c>
      <c r="D1885">
        <v>871.93835449000005</v>
      </c>
      <c r="E1885">
        <v>1953.0904541</v>
      </c>
      <c r="F1885">
        <v>1761.2285156</v>
      </c>
      <c r="G1885">
        <v>80</v>
      </c>
      <c r="H1885">
        <v>73.584335327000005</v>
      </c>
      <c r="I1885">
        <v>50</v>
      </c>
      <c r="J1885">
        <v>49.975780487000002</v>
      </c>
      <c r="K1885">
        <v>0</v>
      </c>
      <c r="L1885">
        <v>2400</v>
      </c>
      <c r="M1885">
        <v>2400</v>
      </c>
      <c r="N1885">
        <v>0</v>
      </c>
    </row>
    <row r="1886" spans="1:14" x14ac:dyDescent="0.25">
      <c r="A1886">
        <v>1712.157013</v>
      </c>
      <c r="B1886" s="1">
        <f>DATE(2015,1,7) + TIME(3,46,5)</f>
        <v>42011.157002314816</v>
      </c>
      <c r="C1886">
        <v>999.77673340000001</v>
      </c>
      <c r="D1886">
        <v>870.29370116999996</v>
      </c>
      <c r="E1886">
        <v>1952.6713867000001</v>
      </c>
      <c r="F1886">
        <v>1760.8094481999999</v>
      </c>
      <c r="G1886">
        <v>80</v>
      </c>
      <c r="H1886">
        <v>73.280685425000001</v>
      </c>
      <c r="I1886">
        <v>50</v>
      </c>
      <c r="J1886">
        <v>49.975837708</v>
      </c>
      <c r="K1886">
        <v>0</v>
      </c>
      <c r="L1886">
        <v>2400</v>
      </c>
      <c r="M1886">
        <v>2400</v>
      </c>
      <c r="N1886">
        <v>0</v>
      </c>
    </row>
    <row r="1887" spans="1:14" x14ac:dyDescent="0.25">
      <c r="A1887">
        <v>1715.2909259999999</v>
      </c>
      <c r="B1887" s="1">
        <f>DATE(2015,1,10) + TIME(6,58,56)</f>
        <v>42014.290925925925</v>
      </c>
      <c r="C1887">
        <v>998.33526611000002</v>
      </c>
      <c r="D1887">
        <v>868.52935791000004</v>
      </c>
      <c r="E1887">
        <v>1952.2557373</v>
      </c>
      <c r="F1887">
        <v>1760.3942870999999</v>
      </c>
      <c r="G1887">
        <v>80</v>
      </c>
      <c r="H1887">
        <v>72.961090088000006</v>
      </c>
      <c r="I1887">
        <v>50</v>
      </c>
      <c r="J1887">
        <v>49.975894928000002</v>
      </c>
      <c r="K1887">
        <v>0</v>
      </c>
      <c r="L1887">
        <v>2400</v>
      </c>
      <c r="M1887">
        <v>2400</v>
      </c>
      <c r="N1887">
        <v>0</v>
      </c>
    </row>
    <row r="1888" spans="1:14" x14ac:dyDescent="0.25">
      <c r="A1888">
        <v>1718.4474190000001</v>
      </c>
      <c r="B1888" s="1">
        <f>DATE(2015,1,13) + TIME(10,44,16)</f>
        <v>42017.44740740741</v>
      </c>
      <c r="C1888">
        <v>996.83776854999996</v>
      </c>
      <c r="D1888">
        <v>866.67510986000002</v>
      </c>
      <c r="E1888">
        <v>1951.8518065999999</v>
      </c>
      <c r="F1888">
        <v>1759.9912108999999</v>
      </c>
      <c r="G1888">
        <v>80</v>
      </c>
      <c r="H1888">
        <v>72.631492614999999</v>
      </c>
      <c r="I1888">
        <v>50</v>
      </c>
      <c r="J1888">
        <v>49.975952147999998</v>
      </c>
      <c r="K1888">
        <v>0</v>
      </c>
      <c r="L1888">
        <v>2400</v>
      </c>
      <c r="M1888">
        <v>2400</v>
      </c>
      <c r="N1888">
        <v>0</v>
      </c>
    </row>
    <row r="1889" spans="1:14" x14ac:dyDescent="0.25">
      <c r="A1889">
        <v>1721.6327389999999</v>
      </c>
      <c r="B1889" s="1">
        <f>DATE(2015,1,16) + TIME(15,11,8)</f>
        <v>42020.632731481484</v>
      </c>
      <c r="C1889">
        <v>995.27874756000006</v>
      </c>
      <c r="D1889">
        <v>864.72442626999998</v>
      </c>
      <c r="E1889">
        <v>1951.4581298999999</v>
      </c>
      <c r="F1889">
        <v>1759.598999</v>
      </c>
      <c r="G1889">
        <v>80</v>
      </c>
      <c r="H1889">
        <v>72.292045592999997</v>
      </c>
      <c r="I1889">
        <v>50</v>
      </c>
      <c r="J1889">
        <v>49.976009369000003</v>
      </c>
      <c r="K1889">
        <v>0</v>
      </c>
      <c r="L1889">
        <v>2400</v>
      </c>
      <c r="M1889">
        <v>2400</v>
      </c>
      <c r="N1889">
        <v>0</v>
      </c>
    </row>
    <row r="1890" spans="1:14" x14ac:dyDescent="0.25">
      <c r="A1890">
        <v>1724.854392</v>
      </c>
      <c r="B1890" s="1">
        <f>DATE(2015,1,19) + TIME(20,30,19)</f>
        <v>42023.854386574072</v>
      </c>
      <c r="C1890">
        <v>993.65222168000003</v>
      </c>
      <c r="D1890">
        <v>862.66815185999997</v>
      </c>
      <c r="E1890">
        <v>1951.0731201000001</v>
      </c>
      <c r="F1890">
        <v>1759.2159423999999</v>
      </c>
      <c r="G1890">
        <v>80</v>
      </c>
      <c r="H1890">
        <v>71.941627502000003</v>
      </c>
      <c r="I1890">
        <v>50</v>
      </c>
      <c r="J1890">
        <v>49.976070403999998</v>
      </c>
      <c r="K1890">
        <v>0</v>
      </c>
      <c r="L1890">
        <v>2400</v>
      </c>
      <c r="M1890">
        <v>2400</v>
      </c>
      <c r="N1890">
        <v>0</v>
      </c>
    </row>
    <row r="1891" spans="1:14" x14ac:dyDescent="0.25">
      <c r="A1891">
        <v>1728.1086519999999</v>
      </c>
      <c r="B1891" s="1">
        <f>DATE(2015,1,23) + TIME(2,36,27)</f>
        <v>42027.10864583333</v>
      </c>
      <c r="C1891">
        <v>991.95086670000001</v>
      </c>
      <c r="D1891">
        <v>860.49572753999996</v>
      </c>
      <c r="E1891">
        <v>1950.6955565999999</v>
      </c>
      <c r="F1891">
        <v>1758.840332</v>
      </c>
      <c r="G1891">
        <v>80</v>
      </c>
      <c r="H1891">
        <v>71.578933715999995</v>
      </c>
      <c r="I1891">
        <v>50</v>
      </c>
      <c r="J1891">
        <v>49.976127624999997</v>
      </c>
      <c r="K1891">
        <v>0</v>
      </c>
      <c r="L1891">
        <v>2400</v>
      </c>
      <c r="M1891">
        <v>2400</v>
      </c>
      <c r="N1891">
        <v>0</v>
      </c>
    </row>
    <row r="1892" spans="1:14" x14ac:dyDescent="0.25">
      <c r="A1892">
        <v>1731.3872229999999</v>
      </c>
      <c r="B1892" s="1">
        <f>DATE(2015,1,26) + TIME(9,17,36)</f>
        <v>42030.38722222222</v>
      </c>
      <c r="C1892">
        <v>990.17321776999995</v>
      </c>
      <c r="D1892">
        <v>858.20306396000001</v>
      </c>
      <c r="E1892">
        <v>1950.3249512</v>
      </c>
      <c r="F1892">
        <v>1758.472168</v>
      </c>
      <c r="G1892">
        <v>80</v>
      </c>
      <c r="H1892">
        <v>71.203498839999995</v>
      </c>
      <c r="I1892">
        <v>50</v>
      </c>
      <c r="J1892">
        <v>49.976184844999999</v>
      </c>
      <c r="K1892">
        <v>0</v>
      </c>
      <c r="L1892">
        <v>2400</v>
      </c>
      <c r="M1892">
        <v>2400</v>
      </c>
      <c r="N1892">
        <v>0</v>
      </c>
    </row>
    <row r="1893" spans="1:14" x14ac:dyDescent="0.25">
      <c r="A1893">
        <v>1734.6980599999999</v>
      </c>
      <c r="B1893" s="1">
        <f>DATE(2015,1,29) + TIME(16,45,12)</f>
        <v>42033.698055555556</v>
      </c>
      <c r="C1893">
        <v>988.32086182</v>
      </c>
      <c r="D1893">
        <v>855.78936768000005</v>
      </c>
      <c r="E1893">
        <v>1949.9619141000001</v>
      </c>
      <c r="F1893">
        <v>1758.1116943</v>
      </c>
      <c r="G1893">
        <v>80</v>
      </c>
      <c r="H1893">
        <v>70.815002441000004</v>
      </c>
      <c r="I1893">
        <v>50</v>
      </c>
      <c r="J1893">
        <v>49.976242065000001</v>
      </c>
      <c r="K1893">
        <v>0</v>
      </c>
      <c r="L1893">
        <v>2400</v>
      </c>
      <c r="M1893">
        <v>2400</v>
      </c>
      <c r="N1893">
        <v>0</v>
      </c>
    </row>
    <row r="1894" spans="1:14" x14ac:dyDescent="0.25">
      <c r="A1894">
        <v>1737</v>
      </c>
      <c r="B1894" s="1">
        <f>DATE(2015,2,1) + TIME(0,0,0)</f>
        <v>42036</v>
      </c>
      <c r="C1894">
        <v>986.38696288999995</v>
      </c>
      <c r="D1894">
        <v>853.29870604999996</v>
      </c>
      <c r="E1894">
        <v>1949.6066894999999</v>
      </c>
      <c r="F1894">
        <v>1757.7591553</v>
      </c>
      <c r="G1894">
        <v>80</v>
      </c>
      <c r="H1894">
        <v>70.447113036999994</v>
      </c>
      <c r="I1894">
        <v>50</v>
      </c>
      <c r="J1894">
        <v>49.976276398000003</v>
      </c>
      <c r="K1894">
        <v>0</v>
      </c>
      <c r="L1894">
        <v>2400</v>
      </c>
      <c r="M1894">
        <v>2400</v>
      </c>
      <c r="N1894">
        <v>0</v>
      </c>
    </row>
    <row r="1895" spans="1:14" x14ac:dyDescent="0.25">
      <c r="A1895">
        <v>1740.3497970000001</v>
      </c>
      <c r="B1895" s="1">
        <f>DATE(2015,2,4) + TIME(8,23,42)</f>
        <v>42039.349791666667</v>
      </c>
      <c r="C1895">
        <v>984.98797606999995</v>
      </c>
      <c r="D1895">
        <v>851.35668944999998</v>
      </c>
      <c r="E1895">
        <v>1949.3592529</v>
      </c>
      <c r="F1895">
        <v>1757.5137939000001</v>
      </c>
      <c r="G1895">
        <v>80</v>
      </c>
      <c r="H1895">
        <v>70.105903624999996</v>
      </c>
      <c r="I1895">
        <v>50</v>
      </c>
      <c r="J1895">
        <v>49.976341247999997</v>
      </c>
      <c r="K1895">
        <v>0</v>
      </c>
      <c r="L1895">
        <v>2400</v>
      </c>
      <c r="M1895">
        <v>2400</v>
      </c>
      <c r="N1895">
        <v>0</v>
      </c>
    </row>
    <row r="1896" spans="1:14" x14ac:dyDescent="0.25">
      <c r="A1896">
        <v>1743.7534169999999</v>
      </c>
      <c r="B1896" s="1">
        <f>DATE(2015,2,7) + TIME(18,4,55)</f>
        <v>42042.75341435185</v>
      </c>
      <c r="C1896">
        <v>982.92901611000002</v>
      </c>
      <c r="D1896">
        <v>848.62554932</v>
      </c>
      <c r="E1896">
        <v>1949.0158690999999</v>
      </c>
      <c r="F1896">
        <v>1757.1733397999999</v>
      </c>
      <c r="G1896">
        <v>80</v>
      </c>
      <c r="H1896">
        <v>69.693153381000002</v>
      </c>
      <c r="I1896">
        <v>50</v>
      </c>
      <c r="J1896">
        <v>49.976398467999999</v>
      </c>
      <c r="K1896">
        <v>0</v>
      </c>
      <c r="L1896">
        <v>2400</v>
      </c>
      <c r="M1896">
        <v>2400</v>
      </c>
      <c r="N1896">
        <v>0</v>
      </c>
    </row>
    <row r="1897" spans="1:14" x14ac:dyDescent="0.25">
      <c r="A1897">
        <v>1747.177398</v>
      </c>
      <c r="B1897" s="1">
        <f>DATE(2015,2,11) + TIME(4,15,27)</f>
        <v>42046.177395833336</v>
      </c>
      <c r="C1897">
        <v>980.75976562000005</v>
      </c>
      <c r="D1897">
        <v>845.70367432</v>
      </c>
      <c r="E1897">
        <v>1948.6727295000001</v>
      </c>
      <c r="F1897">
        <v>1756.833374</v>
      </c>
      <c r="G1897">
        <v>80</v>
      </c>
      <c r="H1897">
        <v>69.250938415999997</v>
      </c>
      <c r="I1897">
        <v>50</v>
      </c>
      <c r="J1897">
        <v>49.976455688000001</v>
      </c>
      <c r="K1897">
        <v>0</v>
      </c>
      <c r="L1897">
        <v>2400</v>
      </c>
      <c r="M1897">
        <v>2400</v>
      </c>
      <c r="N1897">
        <v>0</v>
      </c>
    </row>
    <row r="1898" spans="1:14" x14ac:dyDescent="0.25">
      <c r="A1898">
        <v>1750.6305359999999</v>
      </c>
      <c r="B1898" s="1">
        <f>DATE(2015,2,14) + TIME(15,7,58)</f>
        <v>42049.630532407406</v>
      </c>
      <c r="C1898">
        <v>978.50677489999998</v>
      </c>
      <c r="D1898">
        <v>842.63562012</v>
      </c>
      <c r="E1898">
        <v>1948.3349608999999</v>
      </c>
      <c r="F1898">
        <v>1756.4989014</v>
      </c>
      <c r="G1898">
        <v>80</v>
      </c>
      <c r="H1898">
        <v>68.790290833</v>
      </c>
      <c r="I1898">
        <v>50</v>
      </c>
      <c r="J1898">
        <v>49.976512909</v>
      </c>
      <c r="K1898">
        <v>0</v>
      </c>
      <c r="L1898">
        <v>2400</v>
      </c>
      <c r="M1898">
        <v>2400</v>
      </c>
      <c r="N1898">
        <v>0</v>
      </c>
    </row>
    <row r="1899" spans="1:14" x14ac:dyDescent="0.25">
      <c r="A1899">
        <v>1754.1195279999999</v>
      </c>
      <c r="B1899" s="1">
        <f>DATE(2015,2,18) + TIME(2,52,7)</f>
        <v>42053.119525462964</v>
      </c>
      <c r="C1899">
        <v>976.16394043000003</v>
      </c>
      <c r="D1899">
        <v>839.41558838000003</v>
      </c>
      <c r="E1899">
        <v>1948.0015868999999</v>
      </c>
      <c r="F1899">
        <v>1756.1688231999999</v>
      </c>
      <c r="G1899">
        <v>80</v>
      </c>
      <c r="H1899">
        <v>68.312156677000004</v>
      </c>
      <c r="I1899">
        <v>50</v>
      </c>
      <c r="J1899">
        <v>49.976570129000002</v>
      </c>
      <c r="K1899">
        <v>0</v>
      </c>
      <c r="L1899">
        <v>2400</v>
      </c>
      <c r="M1899">
        <v>2400</v>
      </c>
      <c r="N1899">
        <v>0</v>
      </c>
    </row>
    <row r="1900" spans="1:14" x14ac:dyDescent="0.25">
      <c r="A1900">
        <v>1757.6317610000001</v>
      </c>
      <c r="B1900" s="1">
        <f>DATE(2015,2,21) + TIME(15,9,44)</f>
        <v>42056.63175925926</v>
      </c>
      <c r="C1900">
        <v>973.72552489999998</v>
      </c>
      <c r="D1900">
        <v>836.03601074000005</v>
      </c>
      <c r="E1900">
        <v>1947.6715088000001</v>
      </c>
      <c r="F1900">
        <v>1755.8421631000001</v>
      </c>
      <c r="G1900">
        <v>80</v>
      </c>
      <c r="H1900">
        <v>67.816375731999997</v>
      </c>
      <c r="I1900">
        <v>50</v>
      </c>
      <c r="J1900">
        <v>49.976627350000001</v>
      </c>
      <c r="K1900">
        <v>0</v>
      </c>
      <c r="L1900">
        <v>2400</v>
      </c>
      <c r="M1900">
        <v>2400</v>
      </c>
      <c r="N1900">
        <v>0</v>
      </c>
    </row>
    <row r="1901" spans="1:14" x14ac:dyDescent="0.25">
      <c r="A1901">
        <v>1761.1756660000001</v>
      </c>
      <c r="B1901" s="1">
        <f>DATE(2015,2,25) + TIME(4,12,57)</f>
        <v>42060.175659722219</v>
      </c>
      <c r="C1901">
        <v>971.19915771000001</v>
      </c>
      <c r="D1901">
        <v>832.50390625</v>
      </c>
      <c r="E1901">
        <v>1947.3454589999999</v>
      </c>
      <c r="F1901">
        <v>1755.5195312000001</v>
      </c>
      <c r="G1901">
        <v>80</v>
      </c>
      <c r="H1901">
        <v>67.303451538000004</v>
      </c>
      <c r="I1901">
        <v>50</v>
      </c>
      <c r="J1901">
        <v>49.976680756</v>
      </c>
      <c r="K1901">
        <v>0</v>
      </c>
      <c r="L1901">
        <v>2400</v>
      </c>
      <c r="M1901">
        <v>2400</v>
      </c>
      <c r="N1901">
        <v>0</v>
      </c>
    </row>
    <row r="1902" spans="1:14" x14ac:dyDescent="0.25">
      <c r="A1902">
        <v>1764.7421440000001</v>
      </c>
      <c r="B1902" s="1">
        <f>DATE(2015,2,28) + TIME(17,48,41)</f>
        <v>42063.7421412037</v>
      </c>
      <c r="C1902">
        <v>968.57867432</v>
      </c>
      <c r="D1902">
        <v>828.81115723000005</v>
      </c>
      <c r="E1902">
        <v>1947.0222168</v>
      </c>
      <c r="F1902">
        <v>1755.199707</v>
      </c>
      <c r="G1902">
        <v>80</v>
      </c>
      <c r="H1902">
        <v>66.773025512999993</v>
      </c>
      <c r="I1902">
        <v>50</v>
      </c>
      <c r="J1902">
        <v>49.976737976000003</v>
      </c>
      <c r="K1902">
        <v>0</v>
      </c>
      <c r="L1902">
        <v>2400</v>
      </c>
      <c r="M1902">
        <v>2400</v>
      </c>
      <c r="N1902">
        <v>0</v>
      </c>
    </row>
    <row r="1903" spans="1:14" x14ac:dyDescent="0.25">
      <c r="A1903">
        <v>1765</v>
      </c>
      <c r="B1903" s="1">
        <f>DATE(2015,3,1) + TIME(0,0,0)</f>
        <v>42064</v>
      </c>
      <c r="C1903">
        <v>966.05969238</v>
      </c>
      <c r="D1903">
        <v>825.91650390999996</v>
      </c>
      <c r="E1903">
        <v>1946.7612305</v>
      </c>
      <c r="F1903">
        <v>1754.9420166</v>
      </c>
      <c r="G1903">
        <v>80</v>
      </c>
      <c r="H1903">
        <v>66.618186950999998</v>
      </c>
      <c r="I1903">
        <v>50</v>
      </c>
      <c r="J1903">
        <v>49.976718902999998</v>
      </c>
      <c r="K1903">
        <v>0</v>
      </c>
      <c r="L1903">
        <v>2400</v>
      </c>
      <c r="M1903">
        <v>2400</v>
      </c>
      <c r="N1903">
        <v>0</v>
      </c>
    </row>
    <row r="1904" spans="1:14" x14ac:dyDescent="0.25">
      <c r="A1904">
        <v>1768.597256</v>
      </c>
      <c r="B1904" s="1">
        <f>DATE(2015,3,4) + TIME(14,20,2)</f>
        <v>42067.597245370373</v>
      </c>
      <c r="C1904">
        <v>965.64630126999998</v>
      </c>
      <c r="D1904">
        <v>824.60186768000005</v>
      </c>
      <c r="E1904">
        <v>1946.6746826000001</v>
      </c>
      <c r="F1904">
        <v>1754.855957</v>
      </c>
      <c r="G1904">
        <v>80</v>
      </c>
      <c r="H1904">
        <v>66.162216186999999</v>
      </c>
      <c r="I1904">
        <v>50</v>
      </c>
      <c r="J1904">
        <v>49.976802825999997</v>
      </c>
      <c r="K1904">
        <v>0</v>
      </c>
      <c r="L1904">
        <v>2400</v>
      </c>
      <c r="M1904">
        <v>2400</v>
      </c>
      <c r="N1904">
        <v>0</v>
      </c>
    </row>
    <row r="1905" spans="1:14" x14ac:dyDescent="0.25">
      <c r="A1905">
        <v>1772.237155</v>
      </c>
      <c r="B1905" s="1">
        <f>DATE(2015,3,8) + TIME(5,41,30)</f>
        <v>42071.23715277778</v>
      </c>
      <c r="C1905">
        <v>962.86340331999997</v>
      </c>
      <c r="D1905">
        <v>820.64776611000002</v>
      </c>
      <c r="E1905">
        <v>1946.3610839999999</v>
      </c>
      <c r="F1905">
        <v>1754.5458983999999</v>
      </c>
      <c r="G1905">
        <v>80</v>
      </c>
      <c r="H1905">
        <v>65.614273071</v>
      </c>
      <c r="I1905">
        <v>50</v>
      </c>
      <c r="J1905">
        <v>49.976856232000003</v>
      </c>
      <c r="K1905">
        <v>0</v>
      </c>
      <c r="L1905">
        <v>2400</v>
      </c>
      <c r="M1905">
        <v>2400</v>
      </c>
      <c r="N1905">
        <v>0</v>
      </c>
    </row>
    <row r="1906" spans="1:14" x14ac:dyDescent="0.25">
      <c r="A1906">
        <v>1775.9108329999999</v>
      </c>
      <c r="B1906" s="1">
        <f>DATE(2015,3,11) + TIME(21,51,35)</f>
        <v>42074.910821759258</v>
      </c>
      <c r="C1906">
        <v>959.95855713000003</v>
      </c>
      <c r="D1906">
        <v>816.46441649999997</v>
      </c>
      <c r="E1906">
        <v>1946.0441894999999</v>
      </c>
      <c r="F1906">
        <v>1754.2325439000001</v>
      </c>
      <c r="G1906">
        <v>80</v>
      </c>
      <c r="H1906">
        <v>65.032951354999994</v>
      </c>
      <c r="I1906">
        <v>50</v>
      </c>
      <c r="J1906">
        <v>49.976913451999998</v>
      </c>
      <c r="K1906">
        <v>0</v>
      </c>
      <c r="L1906">
        <v>2400</v>
      </c>
      <c r="M1906">
        <v>2400</v>
      </c>
      <c r="N1906">
        <v>0</v>
      </c>
    </row>
    <row r="1907" spans="1:14" x14ac:dyDescent="0.25">
      <c r="A1907">
        <v>1779.6062589999999</v>
      </c>
      <c r="B1907" s="1">
        <f>DATE(2015,3,15) + TIME(14,33,0)</f>
        <v>42078.606249999997</v>
      </c>
      <c r="C1907">
        <v>956.95782470999995</v>
      </c>
      <c r="D1907">
        <v>812.10675048999997</v>
      </c>
      <c r="E1907">
        <v>1945.7276611</v>
      </c>
      <c r="F1907">
        <v>1753.9196777</v>
      </c>
      <c r="G1907">
        <v>80</v>
      </c>
      <c r="H1907">
        <v>64.431770325000002</v>
      </c>
      <c r="I1907">
        <v>50</v>
      </c>
      <c r="J1907">
        <v>49.976970672999997</v>
      </c>
      <c r="K1907">
        <v>0</v>
      </c>
      <c r="L1907">
        <v>2400</v>
      </c>
      <c r="M1907">
        <v>2400</v>
      </c>
      <c r="N1907">
        <v>0</v>
      </c>
    </row>
    <row r="1908" spans="1:14" x14ac:dyDescent="0.25">
      <c r="A1908">
        <v>1783.321326</v>
      </c>
      <c r="B1908" s="1">
        <f>DATE(2015,3,19) + TIME(7,42,42)</f>
        <v>42082.321319444447</v>
      </c>
      <c r="C1908">
        <v>953.87420654000005</v>
      </c>
      <c r="D1908">
        <v>807.59594727000001</v>
      </c>
      <c r="E1908">
        <v>1945.4125977000001</v>
      </c>
      <c r="F1908">
        <v>1753.6082764</v>
      </c>
      <c r="G1908">
        <v>80</v>
      </c>
      <c r="H1908">
        <v>63.814899445000002</v>
      </c>
      <c r="I1908">
        <v>50</v>
      </c>
      <c r="J1908">
        <v>49.977024077999999</v>
      </c>
      <c r="K1908">
        <v>0</v>
      </c>
      <c r="L1908">
        <v>2400</v>
      </c>
      <c r="M1908">
        <v>2400</v>
      </c>
      <c r="N1908">
        <v>0</v>
      </c>
    </row>
    <row r="1909" spans="1:14" x14ac:dyDescent="0.25">
      <c r="A1909">
        <v>1787.0630060000001</v>
      </c>
      <c r="B1909" s="1">
        <f>DATE(2015,3,23) + TIME(1,30,43)</f>
        <v>42086.062997685185</v>
      </c>
      <c r="C1909">
        <v>950.71234131000006</v>
      </c>
      <c r="D1909">
        <v>802.93829345999995</v>
      </c>
      <c r="E1909">
        <v>1945.0986327999999</v>
      </c>
      <c r="F1909">
        <v>1753.2978516000001</v>
      </c>
      <c r="G1909">
        <v>80</v>
      </c>
      <c r="H1909">
        <v>63.183757782000001</v>
      </c>
      <c r="I1909">
        <v>50</v>
      </c>
      <c r="J1909">
        <v>49.977081298999998</v>
      </c>
      <c r="K1909">
        <v>0</v>
      </c>
      <c r="L1909">
        <v>2400</v>
      </c>
      <c r="M1909">
        <v>2400</v>
      </c>
      <c r="N1909">
        <v>0</v>
      </c>
    </row>
    <row r="1910" spans="1:14" x14ac:dyDescent="0.25">
      <c r="A1910">
        <v>1790.840895</v>
      </c>
      <c r="B1910" s="1">
        <f>DATE(2015,3,26) + TIME(20,10,53)</f>
        <v>42089.840891203705</v>
      </c>
      <c r="C1910">
        <v>947.46893310999997</v>
      </c>
      <c r="D1910">
        <v>798.12896728999999</v>
      </c>
      <c r="E1910">
        <v>1944.7845459</v>
      </c>
      <c r="F1910">
        <v>1752.9874268000001</v>
      </c>
      <c r="G1910">
        <v>80</v>
      </c>
      <c r="H1910">
        <v>62.538398743000002</v>
      </c>
      <c r="I1910">
        <v>50</v>
      </c>
      <c r="J1910">
        <v>49.977138519</v>
      </c>
      <c r="K1910">
        <v>0</v>
      </c>
      <c r="L1910">
        <v>2400</v>
      </c>
      <c r="M1910">
        <v>2400</v>
      </c>
      <c r="N1910">
        <v>0</v>
      </c>
    </row>
    <row r="1911" spans="1:14" x14ac:dyDescent="0.25">
      <c r="A1911">
        <v>1794.6631420000001</v>
      </c>
      <c r="B1911" s="1">
        <f>DATE(2015,3,30) + TIME(15,54,55)</f>
        <v>42093.663136574076</v>
      </c>
      <c r="C1911">
        <v>944.13903808999999</v>
      </c>
      <c r="D1911">
        <v>793.16021728999999</v>
      </c>
      <c r="E1911">
        <v>1944.4693603999999</v>
      </c>
      <c r="F1911">
        <v>1752.6757812000001</v>
      </c>
      <c r="G1911">
        <v>80</v>
      </c>
      <c r="H1911">
        <v>61.878273010000001</v>
      </c>
      <c r="I1911">
        <v>50</v>
      </c>
      <c r="J1911">
        <v>49.977191925</v>
      </c>
      <c r="K1911">
        <v>0</v>
      </c>
      <c r="L1911">
        <v>2400</v>
      </c>
      <c r="M1911">
        <v>2400</v>
      </c>
      <c r="N1911">
        <v>0</v>
      </c>
    </row>
    <row r="1912" spans="1:14" x14ac:dyDescent="0.25">
      <c r="A1912">
        <v>1796</v>
      </c>
      <c r="B1912" s="1">
        <f>DATE(2015,4,1) + TIME(0,0,0)</f>
        <v>42095</v>
      </c>
      <c r="C1912">
        <v>940.75573729999996</v>
      </c>
      <c r="D1912">
        <v>788.46508788999995</v>
      </c>
      <c r="E1912">
        <v>1944.1628418</v>
      </c>
      <c r="F1912">
        <v>1752.3729248</v>
      </c>
      <c r="G1912">
        <v>80</v>
      </c>
      <c r="H1912">
        <v>61.377975464000002</v>
      </c>
      <c r="I1912">
        <v>50</v>
      </c>
      <c r="J1912">
        <v>49.977203369000001</v>
      </c>
      <c r="K1912">
        <v>0</v>
      </c>
      <c r="L1912">
        <v>2400</v>
      </c>
      <c r="M1912">
        <v>2400</v>
      </c>
      <c r="N1912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Griendt, Toon van de</dc:creator>
  <cp:lastModifiedBy>Griendt, Toon van de</cp:lastModifiedBy>
  <dcterms:created xsi:type="dcterms:W3CDTF">2022-06-22T18:41:23Z</dcterms:created>
  <dcterms:modified xsi:type="dcterms:W3CDTF">2022-06-22T18:42:05Z</dcterms:modified>
</cp:coreProperties>
</file>