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bnbv-my.sharepoint.com/personal/toon_griendt-van-de_ebn_nl/Documents/Documents/CMG MODEL/SCENARIOS/2022/Permeability/"/>
    </mc:Choice>
  </mc:AlternateContent>
  <xr:revisionPtr revIDLastSave="0" documentId="8_{5B21BD13-3656-4FA0-95DB-0F7D17CEC60D}" xr6:coauthVersionLast="47" xr6:coauthVersionMax="47" xr10:uidLastSave="{00000000-0000-0000-0000-000000000000}"/>
  <bookViews>
    <workbookView xWindow="780" yWindow="780" windowWidth="15375" windowHeight="7875" xr2:uid="{9ADAEBD5-6834-4BAB-B1ED-6F1254F1191A}"/>
  </bookViews>
  <sheets>
    <sheet name="Plot 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699" i="1" l="1"/>
  <c r="B2698" i="1"/>
  <c r="B2697" i="1"/>
  <c r="B2696" i="1"/>
  <c r="B2695" i="1"/>
  <c r="B2694" i="1"/>
  <c r="B2693" i="1"/>
  <c r="B2692" i="1"/>
  <c r="B2691" i="1"/>
  <c r="B2690" i="1"/>
  <c r="B2689" i="1"/>
  <c r="B2688" i="1"/>
  <c r="B2687" i="1"/>
  <c r="B2686" i="1"/>
  <c r="B2685" i="1"/>
  <c r="B2684" i="1"/>
  <c r="B2683" i="1"/>
  <c r="B2682" i="1"/>
  <c r="B2681" i="1"/>
  <c r="B2680" i="1"/>
  <c r="B2679" i="1"/>
  <c r="B2678" i="1"/>
  <c r="B2677" i="1"/>
  <c r="B2676" i="1"/>
  <c r="B2675" i="1"/>
  <c r="B2674" i="1"/>
  <c r="B2673" i="1"/>
  <c r="B2672" i="1"/>
  <c r="B2671" i="1"/>
  <c r="B2670" i="1"/>
  <c r="B2669" i="1"/>
  <c r="B2668" i="1"/>
  <c r="B2667" i="1"/>
  <c r="B2666" i="1"/>
  <c r="B2665" i="1"/>
  <c r="B2664" i="1"/>
  <c r="B2663" i="1"/>
  <c r="B2662" i="1"/>
  <c r="B2661" i="1"/>
  <c r="B2660" i="1"/>
  <c r="B2659" i="1"/>
  <c r="B2658" i="1"/>
  <c r="B2657" i="1"/>
  <c r="B2656" i="1"/>
  <c r="B2655" i="1"/>
  <c r="B2654" i="1"/>
  <c r="B2653" i="1"/>
  <c r="B2652" i="1"/>
  <c r="B2651" i="1"/>
  <c r="B2650" i="1"/>
  <c r="B2649" i="1"/>
  <c r="B2648" i="1"/>
  <c r="B2647" i="1"/>
  <c r="B2646" i="1"/>
  <c r="B2645" i="1"/>
  <c r="B2644" i="1"/>
  <c r="B2643" i="1"/>
  <c r="B2642" i="1"/>
  <c r="B2641" i="1"/>
  <c r="B2640" i="1"/>
  <c r="B2639" i="1"/>
  <c r="B2638" i="1"/>
  <c r="B2637" i="1"/>
  <c r="B2636" i="1"/>
  <c r="B2635" i="1"/>
  <c r="B2634" i="1"/>
  <c r="B2633" i="1"/>
  <c r="B2632" i="1"/>
  <c r="B2631" i="1"/>
  <c r="B2630" i="1"/>
  <c r="B2629" i="1"/>
  <c r="B2628" i="1"/>
  <c r="B2627" i="1"/>
  <c r="B2626" i="1"/>
  <c r="B2625" i="1"/>
  <c r="B2624" i="1"/>
  <c r="B2623" i="1"/>
  <c r="B2622" i="1"/>
  <c r="B2621" i="1"/>
  <c r="B2620" i="1"/>
  <c r="B2619" i="1"/>
  <c r="B2618" i="1"/>
  <c r="B2617" i="1"/>
  <c r="B2616" i="1"/>
  <c r="B2615" i="1"/>
  <c r="B2614" i="1"/>
  <c r="B2613" i="1"/>
  <c r="B2612" i="1"/>
  <c r="B2611" i="1"/>
  <c r="B2610" i="1"/>
  <c r="B2609" i="1"/>
  <c r="B2608" i="1"/>
  <c r="B2607" i="1"/>
  <c r="B2606" i="1"/>
  <c r="B2605" i="1"/>
  <c r="B2604" i="1"/>
  <c r="B2603" i="1"/>
  <c r="B2602" i="1"/>
  <c r="B2601" i="1"/>
  <c r="B2600" i="1"/>
  <c r="B2599" i="1"/>
  <c r="B2598" i="1"/>
  <c r="B2597" i="1"/>
  <c r="B2596" i="1"/>
  <c r="B2595" i="1"/>
  <c r="B2594" i="1"/>
  <c r="B2593" i="1"/>
  <c r="B2592" i="1"/>
  <c r="B2591" i="1"/>
  <c r="B2590" i="1"/>
  <c r="B2589" i="1"/>
  <c r="B2588" i="1"/>
  <c r="B2587" i="1"/>
  <c r="B2586" i="1"/>
  <c r="B2585" i="1"/>
  <c r="B2584" i="1"/>
  <c r="B2583" i="1"/>
  <c r="B2582" i="1"/>
  <c r="B2581" i="1"/>
  <c r="B2580" i="1"/>
  <c r="B2579" i="1"/>
  <c r="B2578" i="1"/>
  <c r="B2577" i="1"/>
  <c r="B2576" i="1"/>
  <c r="B2575" i="1"/>
  <c r="B2574" i="1"/>
  <c r="B2573" i="1"/>
  <c r="B2572" i="1"/>
  <c r="B2571" i="1"/>
  <c r="B2570" i="1"/>
  <c r="B2569" i="1"/>
  <c r="B2568" i="1"/>
  <c r="B2567" i="1"/>
  <c r="B2566" i="1"/>
  <c r="B2565" i="1"/>
  <c r="B2564" i="1"/>
  <c r="B2563" i="1"/>
  <c r="B2562" i="1"/>
  <c r="B2561" i="1"/>
  <c r="B2560" i="1"/>
  <c r="B2559" i="1"/>
  <c r="B2558" i="1"/>
  <c r="B2557" i="1"/>
  <c r="B2556" i="1"/>
  <c r="B2555" i="1"/>
  <c r="B2554" i="1"/>
  <c r="B2553" i="1"/>
  <c r="B2552" i="1"/>
  <c r="B2551" i="1"/>
  <c r="B2550" i="1"/>
  <c r="B2549" i="1"/>
  <c r="B2548" i="1"/>
  <c r="B2547" i="1"/>
  <c r="B2546" i="1"/>
  <c r="B2545" i="1"/>
  <c r="B2544" i="1"/>
  <c r="B2543" i="1"/>
  <c r="B2542" i="1"/>
  <c r="B2541" i="1"/>
  <c r="B2540" i="1"/>
  <c r="B2539" i="1"/>
  <c r="B2538" i="1"/>
  <c r="B2537" i="1"/>
  <c r="B2536" i="1"/>
  <c r="B2535" i="1"/>
  <c r="B2534" i="1"/>
  <c r="B2533" i="1"/>
  <c r="B2532" i="1"/>
  <c r="B2531" i="1"/>
  <c r="B2530" i="1"/>
  <c r="B2529" i="1"/>
  <c r="B2528" i="1"/>
  <c r="B2527" i="1"/>
  <c r="B2526" i="1"/>
  <c r="B2525" i="1"/>
  <c r="B2524" i="1"/>
  <c r="B2523" i="1"/>
  <c r="B2522" i="1"/>
  <c r="B2521" i="1"/>
  <c r="B2520" i="1"/>
  <c r="B2519" i="1"/>
  <c r="B2518" i="1"/>
  <c r="B2517" i="1"/>
  <c r="B2516" i="1"/>
  <c r="B2515" i="1"/>
  <c r="B2514" i="1"/>
  <c r="B2513" i="1"/>
  <c r="B2512" i="1"/>
  <c r="B2511" i="1"/>
  <c r="B2510" i="1"/>
  <c r="B2509" i="1"/>
  <c r="B2508" i="1"/>
  <c r="B2507" i="1"/>
  <c r="B2506" i="1"/>
  <c r="B2505" i="1"/>
  <c r="B2504" i="1"/>
  <c r="B2503" i="1"/>
  <c r="B2502" i="1"/>
  <c r="B2501" i="1"/>
  <c r="B2500" i="1"/>
  <c r="B2499" i="1"/>
  <c r="B2498" i="1"/>
  <c r="B2497" i="1"/>
  <c r="B2496" i="1"/>
  <c r="B2495" i="1"/>
  <c r="B2494" i="1"/>
  <c r="B2493" i="1"/>
  <c r="B2492" i="1"/>
  <c r="B2491" i="1"/>
  <c r="B2490" i="1"/>
  <c r="B2489" i="1"/>
  <c r="B2488" i="1"/>
  <c r="B2487" i="1"/>
  <c r="B2486" i="1"/>
  <c r="B2485" i="1"/>
  <c r="B2484" i="1"/>
  <c r="B2483" i="1"/>
  <c r="B2482" i="1"/>
  <c r="B2481" i="1"/>
  <c r="B2480" i="1"/>
  <c r="B2479" i="1"/>
  <c r="B2478" i="1"/>
  <c r="B2477" i="1"/>
  <c r="B2476" i="1"/>
  <c r="B2475" i="1"/>
  <c r="B2474" i="1"/>
  <c r="B2473" i="1"/>
  <c r="B2472" i="1"/>
  <c r="B2471" i="1"/>
  <c r="B2470" i="1"/>
  <c r="B2469" i="1"/>
  <c r="B2468" i="1"/>
  <c r="B2467" i="1"/>
  <c r="B2466" i="1"/>
  <c r="B2465" i="1"/>
  <c r="B2464" i="1"/>
  <c r="B2463" i="1"/>
  <c r="B2462" i="1"/>
  <c r="B2461" i="1"/>
  <c r="B2460" i="1"/>
  <c r="B2459" i="1"/>
  <c r="B2458" i="1"/>
  <c r="B2457" i="1"/>
  <c r="B2456" i="1"/>
  <c r="B2455" i="1"/>
  <c r="B2454" i="1"/>
  <c r="B2453" i="1"/>
  <c r="B2452" i="1"/>
  <c r="B2451" i="1"/>
  <c r="B2450" i="1"/>
  <c r="B2449" i="1"/>
  <c r="B2448" i="1"/>
  <c r="B2447" i="1"/>
  <c r="B2446" i="1"/>
  <c r="B2445" i="1"/>
  <c r="B2444" i="1"/>
  <c r="B2443" i="1"/>
  <c r="B2442" i="1"/>
  <c r="B2441" i="1"/>
  <c r="B2440" i="1"/>
  <c r="B2439" i="1"/>
  <c r="B2438" i="1"/>
  <c r="B2437" i="1"/>
  <c r="B2436" i="1"/>
  <c r="B2435" i="1"/>
  <c r="B2434" i="1"/>
  <c r="B2433" i="1"/>
  <c r="B2432" i="1"/>
  <c r="B2431" i="1"/>
  <c r="B2430" i="1"/>
  <c r="B2429" i="1"/>
  <c r="B2428" i="1"/>
  <c r="B2427" i="1"/>
  <c r="B2426" i="1"/>
  <c r="B2425" i="1"/>
  <c r="B2424" i="1"/>
  <c r="B2423" i="1"/>
  <c r="B2422" i="1"/>
  <c r="B2421" i="1"/>
  <c r="B2420" i="1"/>
  <c r="B2419" i="1"/>
  <c r="B2418" i="1"/>
  <c r="B2417" i="1"/>
  <c r="B2416" i="1"/>
  <c r="B2415" i="1"/>
  <c r="B2414" i="1"/>
  <c r="B2413" i="1"/>
  <c r="B2412" i="1"/>
  <c r="B2411" i="1"/>
  <c r="B2410" i="1"/>
  <c r="B2409" i="1"/>
  <c r="B2408" i="1"/>
  <c r="B2407" i="1"/>
  <c r="B2406" i="1"/>
  <c r="B2405" i="1"/>
  <c r="B2404" i="1"/>
  <c r="B2403" i="1"/>
  <c r="B2402" i="1"/>
  <c r="B2401" i="1"/>
  <c r="B2400" i="1"/>
  <c r="B2399" i="1"/>
  <c r="B2398" i="1"/>
  <c r="B2397" i="1"/>
  <c r="B2396" i="1"/>
  <c r="B2395" i="1"/>
  <c r="B2394" i="1"/>
  <c r="B2393" i="1"/>
  <c r="B2392" i="1"/>
  <c r="B2391" i="1"/>
  <c r="B2390" i="1"/>
  <c r="B2389" i="1"/>
  <c r="B2388" i="1"/>
  <c r="B2387" i="1"/>
  <c r="B2386" i="1"/>
  <c r="B2385" i="1"/>
  <c r="B2384" i="1"/>
  <c r="B2383" i="1"/>
  <c r="B2382" i="1"/>
  <c r="B2381" i="1"/>
  <c r="B2380" i="1"/>
  <c r="B2379" i="1"/>
  <c r="B2378" i="1"/>
  <c r="B2377" i="1"/>
  <c r="B2376" i="1"/>
  <c r="B2375" i="1"/>
  <c r="B2374" i="1"/>
  <c r="B2373" i="1"/>
  <c r="B2372" i="1"/>
  <c r="B2371" i="1"/>
  <c r="B2370" i="1"/>
  <c r="B2369" i="1"/>
  <c r="B2368" i="1"/>
  <c r="B2367" i="1"/>
  <c r="B2366" i="1"/>
  <c r="B2365" i="1"/>
  <c r="B2364" i="1"/>
  <c r="B2363" i="1"/>
  <c r="B2362" i="1"/>
  <c r="B2361" i="1"/>
  <c r="B2360" i="1"/>
  <c r="B2359" i="1"/>
  <c r="B2358" i="1"/>
  <c r="B2357" i="1"/>
  <c r="B2356" i="1"/>
  <c r="B2355" i="1"/>
  <c r="B2354" i="1"/>
  <c r="B2353" i="1"/>
  <c r="B2352" i="1"/>
  <c r="B2351" i="1"/>
  <c r="B2350" i="1"/>
  <c r="B2349" i="1"/>
  <c r="B2348" i="1"/>
  <c r="B2347" i="1"/>
  <c r="B2346" i="1"/>
  <c r="B2345" i="1"/>
  <c r="B2344" i="1"/>
  <c r="B2343" i="1"/>
  <c r="B2342" i="1"/>
  <c r="B2341" i="1"/>
  <c r="B2340" i="1"/>
  <c r="B2339" i="1"/>
  <c r="B2338" i="1"/>
  <c r="B2337" i="1"/>
  <c r="B2336" i="1"/>
  <c r="B2335" i="1"/>
  <c r="B2334" i="1"/>
  <c r="B2333" i="1"/>
  <c r="B2332" i="1"/>
  <c r="B2331" i="1"/>
  <c r="B2330" i="1"/>
  <c r="B2329" i="1"/>
  <c r="B2328" i="1"/>
  <c r="B2327" i="1"/>
  <c r="B2326" i="1"/>
  <c r="B2325" i="1"/>
  <c r="B2324" i="1"/>
  <c r="B2323" i="1"/>
  <c r="B2322" i="1"/>
  <c r="B2321" i="1"/>
  <c r="B2320" i="1"/>
  <c r="B2319" i="1"/>
  <c r="B2318" i="1"/>
  <c r="B2317" i="1"/>
  <c r="B2316" i="1"/>
  <c r="B2315" i="1"/>
  <c r="B2314" i="1"/>
  <c r="B2313" i="1"/>
  <c r="B2312" i="1"/>
  <c r="B2311" i="1"/>
  <c r="B2310" i="1"/>
  <c r="B2309" i="1"/>
  <c r="B2308" i="1"/>
  <c r="B2307" i="1"/>
  <c r="B2306" i="1"/>
  <c r="B2305" i="1"/>
  <c r="B2304" i="1"/>
  <c r="B2303" i="1"/>
  <c r="B2302" i="1"/>
  <c r="B2301" i="1"/>
  <c r="B2300" i="1"/>
  <c r="B2299" i="1"/>
  <c r="B2298" i="1"/>
  <c r="B2297" i="1"/>
  <c r="B2296" i="1"/>
  <c r="B2295" i="1"/>
  <c r="B2294" i="1"/>
  <c r="B2293" i="1"/>
  <c r="B2292" i="1"/>
  <c r="B2291" i="1"/>
  <c r="B2290" i="1"/>
  <c r="B2289" i="1"/>
  <c r="B2288" i="1"/>
  <c r="B2287" i="1"/>
  <c r="B2286" i="1"/>
  <c r="B2285" i="1"/>
  <c r="B2284" i="1"/>
  <c r="B2283" i="1"/>
  <c r="B2282" i="1"/>
  <c r="B2281" i="1"/>
  <c r="B2280" i="1"/>
  <c r="B2279" i="1"/>
  <c r="B2278" i="1"/>
  <c r="B2277" i="1"/>
  <c r="B2276" i="1"/>
  <c r="B2275" i="1"/>
  <c r="B2274" i="1"/>
  <c r="B2273" i="1"/>
  <c r="B2272" i="1"/>
  <c r="B2271" i="1"/>
  <c r="B2270" i="1"/>
  <c r="B2269" i="1"/>
  <c r="B2268" i="1"/>
  <c r="B2267" i="1"/>
  <c r="B2266" i="1"/>
  <c r="B2265" i="1"/>
  <c r="B2264" i="1"/>
  <c r="B2263" i="1"/>
  <c r="B2262" i="1"/>
  <c r="B2261" i="1"/>
  <c r="B2260" i="1"/>
  <c r="B2259" i="1"/>
  <c r="B2258" i="1"/>
  <c r="B2257" i="1"/>
  <c r="B2256" i="1"/>
  <c r="B2255" i="1"/>
  <c r="B2254" i="1"/>
  <c r="B2253" i="1"/>
  <c r="B2252" i="1"/>
  <c r="B2251" i="1"/>
  <c r="B2250" i="1"/>
  <c r="B2249" i="1"/>
  <c r="B2248" i="1"/>
  <c r="B2247" i="1"/>
  <c r="B2246" i="1"/>
  <c r="B2245" i="1"/>
  <c r="B2244" i="1"/>
  <c r="B2243" i="1"/>
  <c r="B2242" i="1"/>
  <c r="B2241" i="1"/>
  <c r="B2240" i="1"/>
  <c r="B2239" i="1"/>
  <c r="B2238" i="1"/>
  <c r="B2237" i="1"/>
  <c r="B2236" i="1"/>
  <c r="B2235" i="1"/>
  <c r="B2234" i="1"/>
  <c r="B2233" i="1"/>
  <c r="B2232" i="1"/>
  <c r="B2231" i="1"/>
  <c r="B2230" i="1"/>
  <c r="B2229" i="1"/>
  <c r="B2228" i="1"/>
  <c r="B2227" i="1"/>
  <c r="B2226" i="1"/>
  <c r="B2225" i="1"/>
  <c r="B2224" i="1"/>
  <c r="B2223" i="1"/>
  <c r="B2222" i="1"/>
  <c r="B2221" i="1"/>
  <c r="B2220" i="1"/>
  <c r="B2219" i="1"/>
  <c r="B2218" i="1"/>
  <c r="B2217" i="1"/>
  <c r="B2216" i="1"/>
  <c r="B2215" i="1"/>
  <c r="B2214" i="1"/>
  <c r="B2213" i="1"/>
  <c r="B2212" i="1"/>
  <c r="B2211" i="1"/>
  <c r="B2210" i="1"/>
  <c r="B2209" i="1"/>
  <c r="B2208" i="1"/>
  <c r="B2207" i="1"/>
  <c r="B2206" i="1"/>
  <c r="B2205" i="1"/>
  <c r="B2204" i="1"/>
  <c r="B2203" i="1"/>
  <c r="B2202" i="1"/>
  <c r="B2201" i="1"/>
  <c r="B2200" i="1"/>
  <c r="B2199" i="1"/>
  <c r="B2198" i="1"/>
  <c r="B2197" i="1"/>
  <c r="B2196" i="1"/>
  <c r="B2195" i="1"/>
  <c r="B2194" i="1"/>
  <c r="B2193" i="1"/>
  <c r="B2192" i="1"/>
  <c r="B2191" i="1"/>
  <c r="B2190" i="1"/>
  <c r="B2189" i="1"/>
  <c r="B2188" i="1"/>
  <c r="B2187" i="1"/>
  <c r="B2186" i="1"/>
  <c r="B2185" i="1"/>
  <c r="B2184" i="1"/>
  <c r="B2183" i="1"/>
  <c r="B2182" i="1"/>
  <c r="B2181" i="1"/>
  <c r="B2180" i="1"/>
  <c r="B2179" i="1"/>
  <c r="B2178" i="1"/>
  <c r="B2177" i="1"/>
  <c r="B2176" i="1"/>
  <c r="B2175" i="1"/>
  <c r="B2174" i="1"/>
  <c r="B2173" i="1"/>
  <c r="B2172" i="1"/>
  <c r="B2171" i="1"/>
  <c r="B2170" i="1"/>
  <c r="B2169" i="1"/>
  <c r="B2168" i="1"/>
  <c r="B2167" i="1"/>
  <c r="B2166" i="1"/>
  <c r="B2165" i="1"/>
  <c r="B2164" i="1"/>
  <c r="B2163" i="1"/>
  <c r="B2162" i="1"/>
  <c r="B2161" i="1"/>
  <c r="B2160" i="1"/>
  <c r="B2159" i="1"/>
  <c r="B2158" i="1"/>
  <c r="B2157" i="1"/>
  <c r="B2156" i="1"/>
  <c r="B2155" i="1"/>
  <c r="B2154" i="1"/>
  <c r="B2153" i="1"/>
  <c r="B2152" i="1"/>
  <c r="B2151" i="1"/>
  <c r="B2150" i="1"/>
  <c r="B2149" i="1"/>
  <c r="B2148" i="1"/>
  <c r="B2147" i="1"/>
  <c r="B2146" i="1"/>
  <c r="B2145" i="1"/>
  <c r="B2144" i="1"/>
  <c r="B2143" i="1"/>
  <c r="B2142" i="1"/>
  <c r="B2141" i="1"/>
  <c r="B2140" i="1"/>
  <c r="B2139" i="1"/>
  <c r="B2138" i="1"/>
  <c r="B2137" i="1"/>
  <c r="B2136" i="1"/>
  <c r="B2135" i="1"/>
  <c r="B2134" i="1"/>
  <c r="B2133" i="1"/>
  <c r="B2132" i="1"/>
  <c r="B2131" i="1"/>
  <c r="B2130" i="1"/>
  <c r="B2129" i="1"/>
  <c r="B2128" i="1"/>
  <c r="B2127" i="1"/>
  <c r="B2126" i="1"/>
  <c r="B2125" i="1"/>
  <c r="B2124" i="1"/>
  <c r="B2123" i="1"/>
  <c r="B2122" i="1"/>
  <c r="B2121" i="1"/>
  <c r="B2120" i="1"/>
  <c r="B2119" i="1"/>
  <c r="B2118" i="1"/>
  <c r="B2117" i="1"/>
  <c r="B2116" i="1"/>
  <c r="B2115" i="1"/>
  <c r="B2114" i="1"/>
  <c r="B2113" i="1"/>
  <c r="B2112" i="1"/>
  <c r="B2111" i="1"/>
  <c r="B2110" i="1"/>
  <c r="B2109" i="1"/>
  <c r="B2108" i="1"/>
  <c r="B2107" i="1"/>
  <c r="B2106" i="1"/>
  <c r="B2105" i="1"/>
  <c r="B2104" i="1"/>
  <c r="B2103" i="1"/>
  <c r="B2102" i="1"/>
  <c r="B2101" i="1"/>
  <c r="B2100" i="1"/>
  <c r="B2099" i="1"/>
  <c r="B2098" i="1"/>
  <c r="B2097" i="1"/>
  <c r="B2096" i="1"/>
  <c r="B2095" i="1"/>
  <c r="B2094" i="1"/>
  <c r="B2093" i="1"/>
  <c r="B2092" i="1"/>
  <c r="B2091" i="1"/>
  <c r="B2090" i="1"/>
  <c r="B2089" i="1"/>
  <c r="B2088" i="1"/>
  <c r="B2087" i="1"/>
  <c r="B2086" i="1"/>
  <c r="B2085" i="1"/>
  <c r="B2084" i="1"/>
  <c r="B2083" i="1"/>
  <c r="B2082" i="1"/>
  <c r="B2081" i="1"/>
  <c r="B2080" i="1"/>
  <c r="B2079" i="1"/>
  <c r="B2078" i="1"/>
  <c r="B2077" i="1"/>
  <c r="B2076" i="1"/>
  <c r="B2075" i="1"/>
  <c r="B2074" i="1"/>
  <c r="B2073" i="1"/>
  <c r="B2072" i="1"/>
  <c r="B2071" i="1"/>
  <c r="B2070" i="1"/>
  <c r="B2069" i="1"/>
  <c r="B2068" i="1"/>
  <c r="B2067" i="1"/>
  <c r="B2066" i="1"/>
  <c r="B2065" i="1"/>
  <c r="B2064" i="1"/>
  <c r="B2063" i="1"/>
  <c r="B2062" i="1"/>
  <c r="B2061" i="1"/>
  <c r="B2060" i="1"/>
  <c r="B2059" i="1"/>
  <c r="B2058" i="1"/>
  <c r="B2057" i="1"/>
  <c r="B2056" i="1"/>
  <c r="B2055" i="1"/>
  <c r="B2054" i="1"/>
  <c r="B2053" i="1"/>
  <c r="B2052" i="1"/>
  <c r="B2051" i="1"/>
  <c r="B2050" i="1"/>
  <c r="B2049" i="1"/>
  <c r="B2048" i="1"/>
  <c r="B2047" i="1"/>
  <c r="B2046" i="1"/>
  <c r="B2045" i="1"/>
  <c r="B2044" i="1"/>
  <c r="B2043" i="1"/>
  <c r="B2042" i="1"/>
  <c r="B2041" i="1"/>
  <c r="B2040" i="1"/>
  <c r="B2039" i="1"/>
  <c r="B2038" i="1"/>
  <c r="B2037" i="1"/>
  <c r="B2036" i="1"/>
  <c r="B2035" i="1"/>
  <c r="B2034" i="1"/>
  <c r="B2033" i="1"/>
  <c r="B2032" i="1"/>
  <c r="B2031" i="1"/>
  <c r="B2030" i="1"/>
  <c r="B2029" i="1"/>
  <c r="B2028" i="1"/>
  <c r="B2027" i="1"/>
  <c r="B2026" i="1"/>
  <c r="B2025" i="1"/>
  <c r="B2024" i="1"/>
  <c r="B2023" i="1"/>
  <c r="B2022" i="1"/>
  <c r="B2021" i="1"/>
  <c r="B2020" i="1"/>
  <c r="B2019" i="1"/>
  <c r="B2018" i="1"/>
  <c r="B2017" i="1"/>
  <c r="B2016" i="1"/>
  <c r="B2015" i="1"/>
  <c r="B2014" i="1"/>
  <c r="B2013" i="1"/>
  <c r="B2012" i="1"/>
  <c r="B2011" i="1"/>
  <c r="B2010" i="1"/>
  <c r="B2009" i="1"/>
  <c r="B2008" i="1"/>
  <c r="B2007" i="1"/>
  <c r="B2006" i="1"/>
  <c r="B2005" i="1"/>
  <c r="B2004" i="1"/>
  <c r="B2003" i="1"/>
  <c r="B2002" i="1"/>
  <c r="B2001" i="1"/>
  <c r="B2000" i="1"/>
  <c r="B1999" i="1"/>
  <c r="B1998" i="1"/>
  <c r="B1997" i="1"/>
  <c r="B1996" i="1"/>
  <c r="B1995" i="1"/>
  <c r="B1994" i="1"/>
  <c r="B1993" i="1"/>
  <c r="B1992" i="1"/>
  <c r="B1991" i="1"/>
  <c r="B1990" i="1"/>
  <c r="B1989" i="1"/>
  <c r="B1988" i="1"/>
  <c r="B1987" i="1"/>
  <c r="B1986" i="1"/>
  <c r="B1985" i="1"/>
  <c r="B1984" i="1"/>
  <c r="B1983" i="1"/>
  <c r="B1982" i="1"/>
  <c r="B1981" i="1"/>
  <c r="B1980" i="1"/>
  <c r="B1979" i="1"/>
  <c r="B1978" i="1"/>
  <c r="B1977" i="1"/>
  <c r="B1976" i="1"/>
  <c r="B1975" i="1"/>
  <c r="B1974" i="1"/>
  <c r="B1973" i="1"/>
  <c r="B1972" i="1"/>
  <c r="B1971" i="1"/>
  <c r="B1970" i="1"/>
  <c r="B1969" i="1"/>
  <c r="B1968" i="1"/>
  <c r="B1967" i="1"/>
  <c r="B1966" i="1"/>
  <c r="B1965" i="1"/>
  <c r="B1964" i="1"/>
  <c r="B1963" i="1"/>
  <c r="B1962" i="1"/>
  <c r="B1961" i="1"/>
  <c r="B1960" i="1"/>
  <c r="B1959" i="1"/>
  <c r="B1958" i="1"/>
  <c r="B1957" i="1"/>
  <c r="B1956" i="1"/>
  <c r="B1955" i="1"/>
  <c r="B1954" i="1"/>
  <c r="B1953" i="1"/>
  <c r="B1952" i="1"/>
  <c r="B1951" i="1"/>
  <c r="B1950" i="1"/>
  <c r="B1949" i="1"/>
  <c r="B1948" i="1"/>
  <c r="B1947" i="1"/>
  <c r="B1946" i="1"/>
  <c r="B1945" i="1"/>
  <c r="B1944" i="1"/>
  <c r="B1943" i="1"/>
  <c r="B1942" i="1"/>
  <c r="B1941" i="1"/>
  <c r="B1940" i="1"/>
  <c r="B1939" i="1"/>
  <c r="B1938" i="1"/>
  <c r="B1937" i="1"/>
  <c r="B1936" i="1"/>
  <c r="B1935" i="1"/>
  <c r="B1934" i="1"/>
  <c r="B1933" i="1"/>
  <c r="B1932" i="1"/>
  <c r="B1931" i="1"/>
  <c r="B1930" i="1"/>
  <c r="B1929" i="1"/>
  <c r="B1928" i="1"/>
  <c r="B1927" i="1"/>
  <c r="B1926" i="1"/>
  <c r="B1925" i="1"/>
  <c r="B1924" i="1"/>
  <c r="B1923" i="1"/>
  <c r="B1922" i="1"/>
  <c r="B1921" i="1"/>
  <c r="B1920" i="1"/>
  <c r="B1919" i="1"/>
  <c r="B1918" i="1"/>
  <c r="B1917" i="1"/>
  <c r="B1916" i="1"/>
  <c r="B1915" i="1"/>
  <c r="B1914" i="1"/>
  <c r="B1913" i="1"/>
  <c r="B1912" i="1"/>
  <c r="B1911" i="1"/>
  <c r="B1910" i="1"/>
  <c r="B1909" i="1"/>
  <c r="B1908" i="1"/>
  <c r="B1907" i="1"/>
  <c r="B1906" i="1"/>
  <c r="B1905" i="1"/>
  <c r="B1904" i="1"/>
  <c r="B1903" i="1"/>
  <c r="B1902" i="1"/>
  <c r="B1901" i="1"/>
  <c r="B1900" i="1"/>
  <c r="B1899" i="1"/>
  <c r="B1898" i="1"/>
  <c r="B1897" i="1"/>
  <c r="B1896" i="1"/>
  <c r="B1895" i="1"/>
  <c r="B1894" i="1"/>
  <c r="B1893" i="1"/>
  <c r="B1892" i="1"/>
  <c r="B1891" i="1"/>
  <c r="B1890" i="1"/>
  <c r="B1889" i="1"/>
  <c r="B1888" i="1"/>
  <c r="B1887" i="1"/>
  <c r="B1886" i="1"/>
  <c r="B1885" i="1"/>
  <c r="B1884" i="1"/>
  <c r="B1883" i="1"/>
  <c r="B1882" i="1"/>
  <c r="B1881" i="1"/>
  <c r="B1880" i="1"/>
  <c r="B1879" i="1"/>
  <c r="B1878" i="1"/>
  <c r="B1877" i="1"/>
  <c r="B1876" i="1"/>
  <c r="B1875" i="1"/>
  <c r="B1874" i="1"/>
  <c r="B1873" i="1"/>
  <c r="B1872" i="1"/>
  <c r="B1871" i="1"/>
  <c r="B1870" i="1"/>
  <c r="B1869" i="1"/>
  <c r="B1868" i="1"/>
  <c r="B1867" i="1"/>
  <c r="B1866" i="1"/>
  <c r="B1865" i="1"/>
  <c r="B1864" i="1"/>
  <c r="B1863" i="1"/>
  <c r="B1862" i="1"/>
  <c r="B1861" i="1"/>
  <c r="B1860" i="1"/>
  <c r="B1859" i="1"/>
  <c r="B1858" i="1"/>
  <c r="B1857" i="1"/>
  <c r="B1856" i="1"/>
  <c r="B1855" i="1"/>
  <c r="B1854" i="1"/>
  <c r="B1853" i="1"/>
  <c r="B1852" i="1"/>
  <c r="B1851" i="1"/>
  <c r="B1850" i="1"/>
  <c r="B1849" i="1"/>
  <c r="B1848" i="1"/>
  <c r="B1847" i="1"/>
  <c r="B1846" i="1"/>
  <c r="B1845" i="1"/>
  <c r="B1844" i="1"/>
  <c r="B1843" i="1"/>
  <c r="B1842" i="1"/>
  <c r="B1841" i="1"/>
  <c r="B1840" i="1"/>
  <c r="B1839" i="1"/>
  <c r="B1838" i="1"/>
  <c r="B1837" i="1"/>
  <c r="B1836" i="1"/>
  <c r="B1835" i="1"/>
  <c r="B1834" i="1"/>
  <c r="B1833" i="1"/>
  <c r="B1832" i="1"/>
  <c r="B1831" i="1"/>
  <c r="B1830" i="1"/>
  <c r="B1829" i="1"/>
  <c r="B1828" i="1"/>
  <c r="B1827" i="1"/>
  <c r="B1826" i="1"/>
  <c r="B1825" i="1"/>
  <c r="B1824" i="1"/>
  <c r="B1823" i="1"/>
  <c r="B1822" i="1"/>
  <c r="B1821" i="1"/>
  <c r="B1820" i="1"/>
  <c r="B1819" i="1"/>
  <c r="B1818" i="1"/>
  <c r="B1817" i="1"/>
  <c r="B1816" i="1"/>
  <c r="B1815" i="1"/>
  <c r="B1814" i="1"/>
  <c r="B1813" i="1"/>
  <c r="B1812" i="1"/>
  <c r="B1811" i="1"/>
  <c r="B1810" i="1"/>
  <c r="B1809" i="1"/>
  <c r="B1808" i="1"/>
  <c r="B1807" i="1"/>
  <c r="B1806" i="1"/>
  <c r="B1805" i="1"/>
  <c r="B1804" i="1"/>
  <c r="B1803" i="1"/>
  <c r="B1802" i="1"/>
  <c r="B1801" i="1"/>
  <c r="B1800" i="1"/>
  <c r="B1799" i="1"/>
  <c r="B1798" i="1"/>
  <c r="B1797" i="1"/>
  <c r="B1796" i="1"/>
  <c r="B1795" i="1"/>
  <c r="B1794" i="1"/>
  <c r="B1793" i="1"/>
  <c r="B1792" i="1"/>
  <c r="B1791" i="1"/>
  <c r="B1790" i="1"/>
  <c r="B1789" i="1"/>
  <c r="B1788" i="1"/>
  <c r="B1787" i="1"/>
  <c r="B1786" i="1"/>
  <c r="B1785" i="1"/>
  <c r="B1784" i="1"/>
  <c r="B1783" i="1"/>
  <c r="B1782" i="1"/>
  <c r="B1781" i="1"/>
  <c r="B1780" i="1"/>
  <c r="B1779" i="1"/>
  <c r="B1778" i="1"/>
  <c r="B1777" i="1"/>
  <c r="B1776" i="1"/>
  <c r="B1775" i="1"/>
  <c r="B1774" i="1"/>
  <c r="B1773" i="1"/>
  <c r="B1772" i="1"/>
  <c r="B1771" i="1"/>
  <c r="B1770" i="1"/>
  <c r="B1769" i="1"/>
  <c r="B1768" i="1"/>
  <c r="B1767" i="1"/>
  <c r="B1766" i="1"/>
  <c r="B1765" i="1"/>
  <c r="B1764" i="1"/>
  <c r="B1763" i="1"/>
  <c r="B1762" i="1"/>
  <c r="B1761" i="1"/>
  <c r="B1760" i="1"/>
  <c r="B1759" i="1"/>
  <c r="B1758" i="1"/>
  <c r="B1757" i="1"/>
  <c r="B1756" i="1"/>
  <c r="B1755" i="1"/>
  <c r="B1754" i="1"/>
  <c r="B1753" i="1"/>
  <c r="B1752" i="1"/>
  <c r="B1751" i="1"/>
  <c r="B1750" i="1"/>
  <c r="B1749" i="1"/>
  <c r="B1748" i="1"/>
  <c r="B1747" i="1"/>
  <c r="B1746" i="1"/>
  <c r="B1745" i="1"/>
  <c r="B1744" i="1"/>
  <c r="B1743" i="1"/>
  <c r="B1742" i="1"/>
  <c r="B1741" i="1"/>
  <c r="B1740" i="1"/>
  <c r="B1739" i="1"/>
  <c r="B1738" i="1"/>
  <c r="B1737" i="1"/>
  <c r="B1736" i="1"/>
  <c r="B1735" i="1"/>
  <c r="B1734" i="1"/>
  <c r="B1733" i="1"/>
  <c r="B1732" i="1"/>
  <c r="B1731" i="1"/>
  <c r="B1730" i="1"/>
  <c r="B1729" i="1"/>
  <c r="B1728" i="1"/>
  <c r="B1727" i="1"/>
  <c r="B1726" i="1"/>
  <c r="B1725" i="1"/>
  <c r="B1724" i="1"/>
  <c r="B1723" i="1"/>
  <c r="B1722" i="1"/>
  <c r="B1721" i="1"/>
  <c r="B1720" i="1"/>
  <c r="B1719" i="1"/>
  <c r="B1718" i="1"/>
  <c r="B1717" i="1"/>
  <c r="B1716" i="1"/>
  <c r="B1715" i="1"/>
  <c r="B1714" i="1"/>
  <c r="B1713" i="1"/>
  <c r="B1712" i="1"/>
  <c r="B1711" i="1"/>
  <c r="B1710" i="1"/>
  <c r="B1709" i="1"/>
  <c r="B1708" i="1"/>
  <c r="B1707" i="1"/>
  <c r="B1706" i="1"/>
  <c r="B1705" i="1"/>
  <c r="B1704" i="1"/>
  <c r="B1703" i="1"/>
  <c r="B1702" i="1"/>
  <c r="B1701" i="1"/>
  <c r="B1700" i="1"/>
  <c r="B1699" i="1"/>
  <c r="B1698" i="1"/>
  <c r="B1697" i="1"/>
  <c r="B1696" i="1"/>
  <c r="B1695" i="1"/>
  <c r="B1694" i="1"/>
  <c r="B1693" i="1"/>
  <c r="B1692" i="1"/>
  <c r="B1691" i="1"/>
  <c r="B1690" i="1"/>
  <c r="B1689" i="1"/>
  <c r="B1688" i="1"/>
  <c r="B1687" i="1"/>
  <c r="B1686" i="1"/>
  <c r="B1685" i="1"/>
  <c r="B1684" i="1"/>
  <c r="B1683" i="1"/>
  <c r="B1682" i="1"/>
  <c r="B1681" i="1"/>
  <c r="B1680" i="1"/>
  <c r="B1679" i="1"/>
  <c r="B1678" i="1"/>
  <c r="B1677" i="1"/>
  <c r="B1676" i="1"/>
  <c r="B1675" i="1"/>
  <c r="B1674" i="1"/>
  <c r="B1673" i="1"/>
  <c r="B1672" i="1"/>
  <c r="B1671" i="1"/>
  <c r="B1670" i="1"/>
  <c r="B1669" i="1"/>
  <c r="B1668" i="1"/>
  <c r="B1667" i="1"/>
  <c r="B1666" i="1"/>
  <c r="B1665" i="1"/>
  <c r="B1664" i="1"/>
  <c r="B1663" i="1"/>
  <c r="B1662" i="1"/>
  <c r="B1661" i="1"/>
  <c r="B1660" i="1"/>
  <c r="B1659" i="1"/>
  <c r="B1658" i="1"/>
  <c r="B1657" i="1"/>
  <c r="B1656" i="1"/>
  <c r="B1655" i="1"/>
  <c r="B1654" i="1"/>
  <c r="B1653" i="1"/>
  <c r="B1652" i="1"/>
  <c r="B1651" i="1"/>
  <c r="B1650" i="1"/>
  <c r="B1649" i="1"/>
  <c r="B1648" i="1"/>
  <c r="B1647" i="1"/>
  <c r="B1646" i="1"/>
  <c r="B1645" i="1"/>
  <c r="B1644" i="1"/>
  <c r="B1643" i="1"/>
  <c r="B1642" i="1"/>
  <c r="B1641" i="1"/>
  <c r="B1640" i="1"/>
  <c r="B1639" i="1"/>
  <c r="B1638" i="1"/>
  <c r="B1637" i="1"/>
  <c r="B1636" i="1"/>
  <c r="B1635" i="1"/>
  <c r="B1634" i="1"/>
  <c r="B1633" i="1"/>
  <c r="B1632" i="1"/>
  <c r="B1631" i="1"/>
  <c r="B1630" i="1"/>
  <c r="B1629" i="1"/>
  <c r="B1628" i="1"/>
  <c r="B1627" i="1"/>
  <c r="B1626" i="1"/>
  <c r="B1625" i="1"/>
  <c r="B1624" i="1"/>
  <c r="B1623" i="1"/>
  <c r="B1622" i="1"/>
  <c r="B1621" i="1"/>
  <c r="B1620" i="1"/>
  <c r="B1619" i="1"/>
  <c r="B1618" i="1"/>
  <c r="B1617" i="1"/>
  <c r="B1616" i="1"/>
  <c r="B1615" i="1"/>
  <c r="B1614" i="1"/>
  <c r="B1613" i="1"/>
  <c r="B1612" i="1"/>
  <c r="B1611" i="1"/>
  <c r="B1610" i="1"/>
  <c r="B1609" i="1"/>
  <c r="B1608" i="1"/>
  <c r="B1607" i="1"/>
  <c r="B1606" i="1"/>
  <c r="B1605" i="1"/>
  <c r="B1604" i="1"/>
  <c r="B1603" i="1"/>
  <c r="B1602" i="1"/>
  <c r="B1601" i="1"/>
  <c r="B1600" i="1"/>
  <c r="B1599" i="1"/>
  <c r="B1598" i="1"/>
  <c r="B1597" i="1"/>
  <c r="B1596" i="1"/>
  <c r="B1595" i="1"/>
  <c r="B1594" i="1"/>
  <c r="B1593" i="1"/>
  <c r="B1592" i="1"/>
  <c r="B1591" i="1"/>
  <c r="B1590" i="1"/>
  <c r="B1589" i="1"/>
  <c r="B1588" i="1"/>
  <c r="B1587" i="1"/>
  <c r="B1586" i="1"/>
  <c r="B1585" i="1"/>
  <c r="B1584" i="1"/>
  <c r="B1583" i="1"/>
  <c r="B1582" i="1"/>
  <c r="B1581" i="1"/>
  <c r="B1580" i="1"/>
  <c r="B1579" i="1"/>
  <c r="B1578" i="1"/>
  <c r="B1577" i="1"/>
  <c r="B1576" i="1"/>
  <c r="B1575" i="1"/>
  <c r="B1574" i="1"/>
  <c r="B1573" i="1"/>
  <c r="B1572" i="1"/>
  <c r="B1571" i="1"/>
  <c r="B1570" i="1"/>
  <c r="B1569" i="1"/>
  <c r="B1568" i="1"/>
  <c r="B1567" i="1"/>
  <c r="B1566" i="1"/>
  <c r="B1565" i="1"/>
  <c r="B1564" i="1"/>
  <c r="B1563" i="1"/>
  <c r="B1562" i="1"/>
  <c r="B1561" i="1"/>
  <c r="B1560" i="1"/>
  <c r="B1559" i="1"/>
  <c r="B1558" i="1"/>
  <c r="B1557" i="1"/>
  <c r="B1556" i="1"/>
  <c r="B1555" i="1"/>
  <c r="B1554" i="1"/>
  <c r="B1553" i="1"/>
  <c r="B1552" i="1"/>
  <c r="B1551" i="1"/>
  <c r="B1550" i="1"/>
  <c r="B1549" i="1"/>
  <c r="B1548" i="1"/>
  <c r="B1547" i="1"/>
  <c r="B1546" i="1"/>
  <c r="B1545" i="1"/>
  <c r="B1544" i="1"/>
  <c r="B1543" i="1"/>
  <c r="B1542" i="1"/>
  <c r="B1541" i="1"/>
  <c r="B1540" i="1"/>
  <c r="B1539" i="1"/>
  <c r="B1538" i="1"/>
  <c r="B1537" i="1"/>
  <c r="B1536" i="1"/>
  <c r="B1535" i="1"/>
  <c r="B1534" i="1"/>
  <c r="B1533" i="1"/>
  <c r="B1532" i="1"/>
  <c r="B1531" i="1"/>
  <c r="B1530" i="1"/>
  <c r="B1529" i="1"/>
  <c r="B1528" i="1"/>
  <c r="B1527" i="1"/>
  <c r="B1526" i="1"/>
  <c r="B1525" i="1"/>
  <c r="B1524" i="1"/>
  <c r="B1523" i="1"/>
  <c r="B1522" i="1"/>
  <c r="B1521" i="1"/>
  <c r="B1520" i="1"/>
  <c r="B1519" i="1"/>
  <c r="B1518" i="1"/>
  <c r="B1517" i="1"/>
  <c r="B1516" i="1"/>
  <c r="B1515" i="1"/>
  <c r="B1514" i="1"/>
  <c r="B1513" i="1"/>
  <c r="B1512" i="1"/>
  <c r="B1511" i="1"/>
  <c r="B1510" i="1"/>
  <c r="B1509" i="1"/>
  <c r="B1508" i="1"/>
  <c r="B1507" i="1"/>
  <c r="B1506" i="1"/>
  <c r="B1505" i="1"/>
  <c r="B1504" i="1"/>
  <c r="B1503" i="1"/>
  <c r="B1502" i="1"/>
  <c r="B1501" i="1"/>
  <c r="B1500" i="1"/>
  <c r="B1499" i="1"/>
  <c r="B1498" i="1"/>
  <c r="B1497" i="1"/>
  <c r="B1496" i="1"/>
  <c r="B1495" i="1"/>
  <c r="B1494" i="1"/>
  <c r="B1493" i="1"/>
  <c r="B1492" i="1"/>
  <c r="B1491" i="1"/>
  <c r="B1490" i="1"/>
  <c r="B1489" i="1"/>
  <c r="B1488" i="1"/>
  <c r="B1487" i="1"/>
  <c r="B1486" i="1"/>
  <c r="B1485" i="1"/>
  <c r="B1484" i="1"/>
  <c r="B1483" i="1"/>
  <c r="B1482" i="1"/>
  <c r="B1481" i="1"/>
  <c r="B1480" i="1"/>
  <c r="B1479" i="1"/>
  <c r="B1478" i="1"/>
  <c r="B1477" i="1"/>
  <c r="B1476" i="1"/>
  <c r="B1475" i="1"/>
  <c r="B1474" i="1"/>
  <c r="B1473" i="1"/>
  <c r="B1472" i="1"/>
  <c r="B1471" i="1"/>
  <c r="B1470" i="1"/>
  <c r="B1469" i="1"/>
  <c r="B1468" i="1"/>
  <c r="B1467" i="1"/>
  <c r="B1466" i="1"/>
  <c r="B1465" i="1"/>
  <c r="B1464" i="1"/>
  <c r="B1463" i="1"/>
  <c r="B1462" i="1"/>
  <c r="B1461" i="1"/>
  <c r="B1460" i="1"/>
  <c r="B1459" i="1"/>
  <c r="B1458" i="1"/>
  <c r="B1457" i="1"/>
  <c r="B1456" i="1"/>
  <c r="B1455" i="1"/>
  <c r="B1454" i="1"/>
  <c r="B1453" i="1"/>
  <c r="B1452" i="1"/>
  <c r="B1451" i="1"/>
  <c r="B1450" i="1"/>
  <c r="B1449" i="1"/>
  <c r="B1448" i="1"/>
  <c r="B1447" i="1"/>
  <c r="B1446" i="1"/>
  <c r="B1445" i="1"/>
  <c r="B1444" i="1"/>
  <c r="B1443" i="1"/>
  <c r="B1442" i="1"/>
  <c r="B1441" i="1"/>
  <c r="B1440" i="1"/>
  <c r="B1439" i="1"/>
  <c r="B1438" i="1"/>
  <c r="B1437" i="1"/>
  <c r="B1436" i="1"/>
  <c r="B1435" i="1"/>
  <c r="B1434" i="1"/>
  <c r="B1433" i="1"/>
  <c r="B1432" i="1"/>
  <c r="B1431" i="1"/>
  <c r="B1430" i="1"/>
  <c r="B1429" i="1"/>
  <c r="B1428" i="1"/>
  <c r="B1427" i="1"/>
  <c r="B1426" i="1"/>
  <c r="B1425" i="1"/>
  <c r="B1424" i="1"/>
  <c r="B1423" i="1"/>
  <c r="B1422" i="1"/>
  <c r="B1421" i="1"/>
  <c r="B1420" i="1"/>
  <c r="B1419" i="1"/>
  <c r="B1418" i="1"/>
  <c r="B1417" i="1"/>
  <c r="B1416" i="1"/>
  <c r="B1415" i="1"/>
  <c r="B1414" i="1"/>
  <c r="B1413" i="1"/>
  <c r="B1412" i="1"/>
  <c r="B1411" i="1"/>
  <c r="B1410" i="1"/>
  <c r="B1409" i="1"/>
  <c r="B1408" i="1"/>
  <c r="B1407" i="1"/>
  <c r="B1406" i="1"/>
  <c r="B1405" i="1"/>
  <c r="B1404" i="1"/>
  <c r="B1403" i="1"/>
  <c r="B1402" i="1"/>
  <c r="B1401" i="1"/>
  <c r="B1400" i="1"/>
  <c r="B1399" i="1"/>
  <c r="B1398" i="1"/>
  <c r="B1397" i="1"/>
  <c r="B1396" i="1"/>
  <c r="B1395" i="1"/>
  <c r="B1394" i="1"/>
  <c r="B1393" i="1"/>
  <c r="B1392" i="1"/>
  <c r="B1391" i="1"/>
  <c r="B1390" i="1"/>
  <c r="B1389" i="1"/>
  <c r="B1388" i="1"/>
  <c r="B1387" i="1"/>
  <c r="B1386" i="1"/>
  <c r="B1385" i="1"/>
  <c r="B1384" i="1"/>
  <c r="B1383" i="1"/>
  <c r="B1382" i="1"/>
  <c r="B1381" i="1"/>
  <c r="B1380" i="1"/>
  <c r="B1379" i="1"/>
  <c r="B1378" i="1"/>
  <c r="B1377" i="1"/>
  <c r="B1376" i="1"/>
  <c r="B1375" i="1"/>
  <c r="B1374" i="1"/>
  <c r="B1373" i="1"/>
  <c r="B1372" i="1"/>
  <c r="B1371" i="1"/>
  <c r="B1370" i="1"/>
  <c r="B1369" i="1"/>
  <c r="B1368" i="1"/>
  <c r="B1367" i="1"/>
  <c r="B1366" i="1"/>
  <c r="B1365" i="1"/>
  <c r="B1364" i="1"/>
  <c r="B1363" i="1"/>
  <c r="B1362" i="1"/>
  <c r="B1361" i="1"/>
  <c r="B1360" i="1"/>
  <c r="B1359" i="1"/>
  <c r="B1358" i="1"/>
  <c r="B1357" i="1"/>
  <c r="B1356" i="1"/>
  <c r="B1355" i="1"/>
  <c r="B1354" i="1"/>
  <c r="B1353" i="1"/>
  <c r="B1352" i="1"/>
  <c r="B1351" i="1"/>
  <c r="B1350" i="1"/>
  <c r="B1349" i="1"/>
  <c r="B1348" i="1"/>
  <c r="B1347" i="1"/>
  <c r="B1346" i="1"/>
  <c r="B1345" i="1"/>
  <c r="B1344" i="1"/>
  <c r="B1343" i="1"/>
  <c r="B1342" i="1"/>
  <c r="B1341" i="1"/>
  <c r="B1340" i="1"/>
  <c r="B1339" i="1"/>
  <c r="B1338" i="1"/>
  <c r="B1337" i="1"/>
  <c r="B1336" i="1"/>
  <c r="B1335" i="1"/>
  <c r="B1334" i="1"/>
  <c r="B1333" i="1"/>
  <c r="B1332" i="1"/>
  <c r="B1331" i="1"/>
  <c r="B1330" i="1"/>
  <c r="B1329" i="1"/>
  <c r="B1328" i="1"/>
  <c r="B1327" i="1"/>
  <c r="B1326" i="1"/>
  <c r="B1325" i="1"/>
  <c r="B1324" i="1"/>
  <c r="B1323" i="1"/>
  <c r="B1322" i="1"/>
  <c r="B1321" i="1"/>
  <c r="B1320" i="1"/>
  <c r="B1319" i="1"/>
  <c r="B1318" i="1"/>
  <c r="B1317" i="1"/>
  <c r="B1316" i="1"/>
  <c r="B1315" i="1"/>
  <c r="B1314" i="1"/>
  <c r="B1313" i="1"/>
  <c r="B1312" i="1"/>
  <c r="B1311" i="1"/>
  <c r="B1310" i="1"/>
  <c r="B1309" i="1"/>
  <c r="B1308" i="1"/>
  <c r="B1307" i="1"/>
  <c r="B1306" i="1"/>
  <c r="B1305" i="1"/>
  <c r="B1304" i="1"/>
  <c r="B1303" i="1"/>
  <c r="B1302" i="1"/>
  <c r="B1301" i="1"/>
  <c r="B1300" i="1"/>
  <c r="B1299" i="1"/>
  <c r="B1298" i="1"/>
  <c r="B1297" i="1"/>
  <c r="B1296" i="1"/>
  <c r="B1295" i="1"/>
  <c r="B1294" i="1"/>
  <c r="B1293" i="1"/>
  <c r="B1292" i="1"/>
  <c r="B1291" i="1"/>
  <c r="B1290" i="1"/>
  <c r="B1289" i="1"/>
  <c r="B1288" i="1"/>
  <c r="B1287" i="1"/>
  <c r="B1286" i="1"/>
  <c r="B1285" i="1"/>
  <c r="B1284" i="1"/>
  <c r="B1283" i="1"/>
  <c r="B1282" i="1"/>
  <c r="B1281" i="1"/>
  <c r="B1280" i="1"/>
  <c r="B1279" i="1"/>
  <c r="B1278" i="1"/>
  <c r="B1277" i="1"/>
  <c r="B1276" i="1"/>
  <c r="B1275" i="1"/>
  <c r="B1274" i="1"/>
  <c r="B1273" i="1"/>
  <c r="B1272" i="1"/>
  <c r="B1271" i="1"/>
  <c r="B1270" i="1"/>
  <c r="B1269" i="1"/>
  <c r="B1268" i="1"/>
  <c r="B1267" i="1"/>
  <c r="B1266" i="1"/>
  <c r="B1265" i="1"/>
  <c r="B1264" i="1"/>
  <c r="B1263" i="1"/>
  <c r="B1262" i="1"/>
  <c r="B1261" i="1"/>
  <c r="B1260" i="1"/>
  <c r="B1259" i="1"/>
  <c r="B1258" i="1"/>
  <c r="B1257" i="1"/>
  <c r="B1256" i="1"/>
  <c r="B1255" i="1"/>
  <c r="B1254" i="1"/>
  <c r="B1253" i="1"/>
  <c r="B1252" i="1"/>
  <c r="B1251" i="1"/>
  <c r="B1250" i="1"/>
  <c r="B1249" i="1"/>
  <c r="B1248" i="1"/>
  <c r="B1247" i="1"/>
  <c r="B1246" i="1"/>
  <c r="B1245" i="1"/>
  <c r="B1244" i="1"/>
  <c r="B1243" i="1"/>
  <c r="B1242" i="1"/>
  <c r="B1241" i="1"/>
  <c r="B1240" i="1"/>
  <c r="B1239" i="1"/>
  <c r="B1238" i="1"/>
  <c r="B1237" i="1"/>
  <c r="B1236" i="1"/>
  <c r="B1235" i="1"/>
  <c r="B1234" i="1"/>
  <c r="B1233" i="1"/>
  <c r="B1232" i="1"/>
  <c r="B1231" i="1"/>
  <c r="B1230" i="1"/>
  <c r="B1229" i="1"/>
  <c r="B1228" i="1"/>
  <c r="B1227" i="1"/>
  <c r="B1226" i="1"/>
  <c r="B1225" i="1"/>
  <c r="B1224" i="1"/>
  <c r="B1223" i="1"/>
  <c r="B1222" i="1"/>
  <c r="B1221" i="1"/>
  <c r="B1220" i="1"/>
  <c r="B1219" i="1"/>
  <c r="B1218" i="1"/>
  <c r="B1217" i="1"/>
  <c r="B1216" i="1"/>
  <c r="B1215" i="1"/>
  <c r="B1214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7" i="1"/>
  <c r="B1176" i="1"/>
  <c r="B1175" i="1"/>
  <c r="B1174" i="1"/>
  <c r="B1173" i="1"/>
  <c r="B1172" i="1"/>
  <c r="B1171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5" i="1"/>
  <c r="B1114" i="1"/>
  <c r="B1113" i="1"/>
  <c r="B1112" i="1"/>
  <c r="B1111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<sst xmlns="http://schemas.openxmlformats.org/spreadsheetml/2006/main" count="15" uniqueCount="15">
  <si>
    <t>C:\Users\924224\OneDrive - EBN BV\Documents\CMG MODEL\SCENARIOS\2022\Permeability\Perm200Darcy.sr3</t>
  </si>
  <si>
    <t>Time (day)</t>
  </si>
  <si>
    <t>Date</t>
  </si>
  <si>
    <t>Hot well INJ-Well bottom hole temperature (C)</t>
  </si>
  <si>
    <t>Hot well PROD-Well bottom hole temperature (C)</t>
  </si>
  <si>
    <t>Warm well INJ-Well bottom hole temperature (C)</t>
  </si>
  <si>
    <t>Warm well PROD-Well bottom hole temperature (C)</t>
  </si>
  <si>
    <t>Hot well INJ-Well Bottom-hole Pressure (kPa)</t>
  </si>
  <si>
    <t>Hot well PROD-Well Bottom-hole Pressure (kPa)</t>
  </si>
  <si>
    <t>Warm well INJ-Well Bottom-hole Pressure (kPa)</t>
  </si>
  <si>
    <t>Warm well PROD-Well Bottom-hole Pressure (kPa)</t>
  </si>
  <si>
    <t>Hot well INJ-Fluid Rate SC (m³/day)</t>
  </si>
  <si>
    <t>Hot well PROD-Fluid Rate SC (m³/day)</t>
  </si>
  <si>
    <t>Warm well INJ-Fluid Rate SC (m³/day)</t>
  </si>
  <si>
    <t>Warm well PROD-Fluid Rate SC (m³/day)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</si>
</sst>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y\y\y\y\-mmm/dd\ \h\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">
    <dxf>
      <numFmt numFmtId="164" formatCode="\y\y\y\y\-mmm/dd\ \h\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84E280B-A366-4ACB-93F2-39435D49D7C6}" name="Table1" displayName="Table1" ref="A3:N2699" totalsRowShown="0">
  <autoFilter ref="A3:N2699" xr:uid="{B84E280B-A366-4ACB-93F2-39435D49D7C6}"/>
  <tableColumns count="14">
    <tableColumn id="1" xr3:uid="{2EEEC8B2-3844-420E-B6C8-B5A93CF3F556}" name="Time (day)"/>
    <tableColumn id="2" xr3:uid="{F0DE747E-24AF-4C27-87CB-EBF27E42DE7B}" name="Date" dataDxfId="0"/>
    <tableColumn id="3" xr3:uid="{45A46868-B06E-4B90-8C4D-A5ADDDE28467}" name="Hot well INJ-Well bottom hole temperature (C)"/>
    <tableColumn id="4" xr3:uid="{EE304FF5-9AD8-4AD8-8B67-3FE0B6E92FE6}" name="Hot well PROD-Well bottom hole temperature (C)"/>
    <tableColumn id="5" xr3:uid="{21BF827C-CE87-41B9-9490-15C95756B743}" name="Warm well INJ-Well bottom hole temperature (C)"/>
    <tableColumn id="6" xr3:uid="{7CB0DC0C-0244-41F8-ADEA-2D3D5C477EE6}" name="Warm well PROD-Well bottom hole temperature (C)"/>
    <tableColumn id="7" xr3:uid="{D5F90DE7-CC54-4538-824D-CF88BB4EB9BA}" name="Hot well INJ-Well Bottom-hole Pressure (kPa)"/>
    <tableColumn id="8" xr3:uid="{B39A5330-B95D-4E7B-B70F-5C2542DE791D}" name="Hot well PROD-Well Bottom-hole Pressure (kPa)"/>
    <tableColumn id="9" xr3:uid="{6AFA93DC-5F15-473E-AE4F-5B5A9130B2B0}" name="Warm well INJ-Well Bottom-hole Pressure (kPa)"/>
    <tableColumn id="10" xr3:uid="{E3F19FA4-A1E7-45F0-9084-A6BE58B06216}" name="Warm well PROD-Well Bottom-hole Pressure (kPa)"/>
    <tableColumn id="11" xr3:uid="{3C0CE138-8A59-4462-A8CD-D44191CF1398}" name="Hot well INJ-Fluid Rate SC (m³/day)"/>
    <tableColumn id="12" xr3:uid="{072BDDAD-58EC-4B33-A29C-54BE3E7D24C0}" name="Hot well PROD-Fluid Rate SC (m³/day)"/>
    <tableColumn id="13" xr3:uid="{EE0D095E-5307-4601-B769-9E221D259CBF}" name="Warm well INJ-Fluid Rate SC (m³/day)"/>
    <tableColumn id="14" xr3:uid="{F3F31EAD-8E19-450D-B87C-C240AC1ABF4B}" name="Warm well PROD-Fluid Rate SC (m³/day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2C614-1141-4523-AC00-8D61AB5BDC84}">
  <dimension ref="A1:N2699"/>
  <sheetViews>
    <sheetView tabSelected="1" workbookViewId="0"/>
  </sheetViews>
  <sheetFormatPr defaultRowHeight="15" x14ac:dyDescent="0.25"/>
  <cols>
    <col min="1" max="1" width="12.5703125" customWidth="1"/>
    <col min="2" max="2" width="20" bestFit="1" customWidth="1"/>
    <col min="3" max="3" width="44.85546875" customWidth="1"/>
    <col min="4" max="5" width="47.140625" customWidth="1"/>
    <col min="6" max="6" width="49.42578125" customWidth="1"/>
    <col min="7" max="7" width="43.5703125" customWidth="1"/>
    <col min="8" max="9" width="45.85546875" customWidth="1"/>
    <col min="10" max="10" width="48.140625" customWidth="1"/>
    <col min="11" max="11" width="34.140625" customWidth="1"/>
    <col min="12" max="13" width="36.42578125" customWidth="1"/>
    <col min="14" max="14" width="38.7109375" customWidth="1"/>
  </cols>
  <sheetData>
    <row r="1" spans="1:14" x14ac:dyDescent="0.25">
      <c r="A1" t="s">
        <v>0</v>
      </c>
    </row>
    <row r="3" spans="1:14" x14ac:dyDescent="0.25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11</v>
      </c>
      <c r="L3" t="s">
        <v>12</v>
      </c>
      <c r="M3" t="s">
        <v>13</v>
      </c>
      <c r="N3" t="s">
        <v>14</v>
      </c>
    </row>
    <row r="4" spans="1:14" x14ac:dyDescent="0.25">
      <c r="A4">
        <v>9.9999999999999995E-7</v>
      </c>
      <c r="B4" s="1">
        <f>DATE(2010,5,1) + TIME(0,0,0)</f>
        <v>40299</v>
      </c>
      <c r="C4">
        <v>80</v>
      </c>
      <c r="D4">
        <v>15.000106812</v>
      </c>
      <c r="E4">
        <v>50</v>
      </c>
      <c r="F4">
        <v>14.999966621</v>
      </c>
      <c r="G4">
        <v>1331.7067870999999</v>
      </c>
      <c r="H4">
        <v>1329.7354736</v>
      </c>
      <c r="I4">
        <v>1329.0852050999999</v>
      </c>
      <c r="J4">
        <v>1327.1131591999999</v>
      </c>
      <c r="K4">
        <v>2400</v>
      </c>
      <c r="L4">
        <v>0</v>
      </c>
      <c r="M4">
        <v>0</v>
      </c>
      <c r="N4">
        <v>2400</v>
      </c>
    </row>
    <row r="5" spans="1:14" x14ac:dyDescent="0.25">
      <c r="A5">
        <v>3.9999999999999998E-6</v>
      </c>
      <c r="B5" s="1">
        <f>DATE(2010,5,1) + TIME(0,0,0)</f>
        <v>40299</v>
      </c>
      <c r="C5">
        <v>80</v>
      </c>
      <c r="D5">
        <v>15.000380516</v>
      </c>
      <c r="E5">
        <v>50</v>
      </c>
      <c r="F5">
        <v>14.999913215999999</v>
      </c>
      <c r="G5">
        <v>1332.2247314000001</v>
      </c>
      <c r="H5">
        <v>1330.253418</v>
      </c>
      <c r="I5">
        <v>1328.5694579999999</v>
      </c>
      <c r="J5">
        <v>1326.5975341999999</v>
      </c>
      <c r="K5">
        <v>2400</v>
      </c>
      <c r="L5">
        <v>0</v>
      </c>
      <c r="M5">
        <v>0</v>
      </c>
      <c r="N5">
        <v>2400</v>
      </c>
    </row>
    <row r="6" spans="1:14" x14ac:dyDescent="0.25">
      <c r="A6">
        <v>1.2999999999999999E-5</v>
      </c>
      <c r="B6" s="1">
        <f>DATE(2010,5,1) + TIME(0,0,1)</f>
        <v>40299.000011574077</v>
      </c>
      <c r="C6">
        <v>80</v>
      </c>
      <c r="D6">
        <v>15.001101494</v>
      </c>
      <c r="E6">
        <v>50</v>
      </c>
      <c r="F6">
        <v>14.99985218</v>
      </c>
      <c r="G6">
        <v>1332.8199463000001</v>
      </c>
      <c r="H6">
        <v>1330.8485106999999</v>
      </c>
      <c r="I6">
        <v>1327.9766846</v>
      </c>
      <c r="J6">
        <v>1326.0048827999999</v>
      </c>
      <c r="K6">
        <v>2400</v>
      </c>
      <c r="L6">
        <v>0</v>
      </c>
      <c r="M6">
        <v>0</v>
      </c>
      <c r="N6">
        <v>2400</v>
      </c>
    </row>
    <row r="7" spans="1:14" x14ac:dyDescent="0.25">
      <c r="A7">
        <v>4.0000000000000003E-5</v>
      </c>
      <c r="B7" s="1">
        <f>DATE(2010,5,1) + TIME(0,0,3)</f>
        <v>40299.000034722223</v>
      </c>
      <c r="C7">
        <v>80</v>
      </c>
      <c r="D7">
        <v>15.003141403000001</v>
      </c>
      <c r="E7">
        <v>50</v>
      </c>
      <c r="F7">
        <v>14.999793052999999</v>
      </c>
      <c r="G7">
        <v>1333.4046631000001</v>
      </c>
      <c r="H7">
        <v>1331.4334716999999</v>
      </c>
      <c r="I7">
        <v>1327.3942870999999</v>
      </c>
      <c r="J7">
        <v>1325.4226074000001</v>
      </c>
      <c r="K7">
        <v>2400</v>
      </c>
      <c r="L7">
        <v>0</v>
      </c>
      <c r="M7">
        <v>0</v>
      </c>
      <c r="N7">
        <v>2400</v>
      </c>
    </row>
    <row r="8" spans="1:14" x14ac:dyDescent="0.25">
      <c r="A8">
        <v>1.21E-4</v>
      </c>
      <c r="B8" s="1">
        <f>DATE(2010,5,1) + TIME(0,0,10)</f>
        <v>40299.000115740739</v>
      </c>
      <c r="C8">
        <v>80</v>
      </c>
      <c r="D8">
        <v>15.009140015</v>
      </c>
      <c r="E8">
        <v>50</v>
      </c>
      <c r="F8">
        <v>14.999733924999999</v>
      </c>
      <c r="G8">
        <v>1333.9746094</v>
      </c>
      <c r="H8">
        <v>1332.0036620999999</v>
      </c>
      <c r="I8">
        <v>1326.8264160000001</v>
      </c>
      <c r="J8">
        <v>1324.8547363</v>
      </c>
      <c r="K8">
        <v>2400</v>
      </c>
      <c r="L8">
        <v>0</v>
      </c>
      <c r="M8">
        <v>0</v>
      </c>
      <c r="N8">
        <v>2400</v>
      </c>
    </row>
    <row r="9" spans="1:14" x14ac:dyDescent="0.25">
      <c r="A9">
        <v>3.6400000000000001E-4</v>
      </c>
      <c r="B9" s="1">
        <f>DATE(2010,5,1) + TIME(0,0,31)</f>
        <v>40299.000358796293</v>
      </c>
      <c r="C9">
        <v>80</v>
      </c>
      <c r="D9">
        <v>15.027012825</v>
      </c>
      <c r="E9">
        <v>50</v>
      </c>
      <c r="F9">
        <v>14.999677658</v>
      </c>
      <c r="G9">
        <v>1334.5275879000001</v>
      </c>
      <c r="H9">
        <v>1332.5574951000001</v>
      </c>
      <c r="I9">
        <v>1326.2746582</v>
      </c>
      <c r="J9">
        <v>1324.3031006000001</v>
      </c>
      <c r="K9">
        <v>2400</v>
      </c>
      <c r="L9">
        <v>0</v>
      </c>
      <c r="M9">
        <v>0</v>
      </c>
      <c r="N9">
        <v>2400</v>
      </c>
    </row>
    <row r="10" spans="1:14" x14ac:dyDescent="0.25">
      <c r="A10">
        <v>1.093E-3</v>
      </c>
      <c r="B10" s="1">
        <f>DATE(2010,5,1) + TIME(0,1,34)</f>
        <v>40299.001087962963</v>
      </c>
      <c r="C10">
        <v>80</v>
      </c>
      <c r="D10">
        <v>15.080472946</v>
      </c>
      <c r="E10">
        <v>50</v>
      </c>
      <c r="F10">
        <v>14.999629021000001</v>
      </c>
      <c r="G10">
        <v>1335.0007324000001</v>
      </c>
      <c r="H10">
        <v>1333.0332031</v>
      </c>
      <c r="I10">
        <v>1325.8035889</v>
      </c>
      <c r="J10">
        <v>1323.8320312000001</v>
      </c>
      <c r="K10">
        <v>2400</v>
      </c>
      <c r="L10">
        <v>0</v>
      </c>
      <c r="M10">
        <v>0</v>
      </c>
      <c r="N10">
        <v>2400</v>
      </c>
    </row>
    <row r="11" spans="1:14" x14ac:dyDescent="0.25">
      <c r="A11">
        <v>3.2799999999999999E-3</v>
      </c>
      <c r="B11" s="1">
        <f>DATE(2010,5,1) + TIME(0,4,43)</f>
        <v>40299.003275462965</v>
      </c>
      <c r="C11">
        <v>80</v>
      </c>
      <c r="D11">
        <v>15.240413666</v>
      </c>
      <c r="E11">
        <v>50</v>
      </c>
      <c r="F11">
        <v>14.999601364</v>
      </c>
      <c r="G11">
        <v>1335.2845459</v>
      </c>
      <c r="H11">
        <v>1333.3244629000001</v>
      </c>
      <c r="I11">
        <v>1325.5313721</v>
      </c>
      <c r="J11">
        <v>1323.5598144999999</v>
      </c>
      <c r="K11">
        <v>2400</v>
      </c>
      <c r="L11">
        <v>0</v>
      </c>
      <c r="M11">
        <v>0</v>
      </c>
      <c r="N11">
        <v>2400</v>
      </c>
    </row>
    <row r="12" spans="1:14" x14ac:dyDescent="0.25">
      <c r="A12">
        <v>9.8410000000000008E-3</v>
      </c>
      <c r="B12" s="1">
        <f>DATE(2010,5,1) + TIME(0,14,10)</f>
        <v>40299.009837962964</v>
      </c>
      <c r="C12">
        <v>80</v>
      </c>
      <c r="D12">
        <v>15.717563629000001</v>
      </c>
      <c r="E12">
        <v>50</v>
      </c>
      <c r="F12">
        <v>14.999594688</v>
      </c>
      <c r="G12">
        <v>1335.3555908000001</v>
      </c>
      <c r="H12">
        <v>1333.4179687999999</v>
      </c>
      <c r="I12">
        <v>1325.4573975000001</v>
      </c>
      <c r="J12">
        <v>1323.4857178</v>
      </c>
      <c r="K12">
        <v>2400</v>
      </c>
      <c r="L12">
        <v>0</v>
      </c>
      <c r="M12">
        <v>0</v>
      </c>
      <c r="N12">
        <v>2400</v>
      </c>
    </row>
    <row r="13" spans="1:14" x14ac:dyDescent="0.25">
      <c r="A13">
        <v>2.3591000000000001E-2</v>
      </c>
      <c r="B13" s="1">
        <f>DATE(2010,5,1) + TIME(0,33,58)</f>
        <v>40299.023587962962</v>
      </c>
      <c r="C13">
        <v>80</v>
      </c>
      <c r="D13">
        <v>16.706998824999999</v>
      </c>
      <c r="E13">
        <v>50</v>
      </c>
      <c r="F13">
        <v>14.999595641999999</v>
      </c>
      <c r="G13">
        <v>1335.3138428</v>
      </c>
      <c r="H13">
        <v>1333.4187012</v>
      </c>
      <c r="I13">
        <v>1325.4514160000001</v>
      </c>
      <c r="J13">
        <v>1323.4798584</v>
      </c>
      <c r="K13">
        <v>2400</v>
      </c>
      <c r="L13">
        <v>0</v>
      </c>
      <c r="M13">
        <v>0</v>
      </c>
      <c r="N13">
        <v>2400</v>
      </c>
    </row>
    <row r="14" spans="1:14" x14ac:dyDescent="0.25">
      <c r="A14">
        <v>3.7489000000000001E-2</v>
      </c>
      <c r="B14" s="1">
        <f>DATE(2010,5,1) + TIME(0,53,59)</f>
        <v>40299.037488425929</v>
      </c>
      <c r="C14">
        <v>80</v>
      </c>
      <c r="D14">
        <v>17.701219558999998</v>
      </c>
      <c r="E14">
        <v>50</v>
      </c>
      <c r="F14">
        <v>14.999597549000001</v>
      </c>
      <c r="G14">
        <v>1335.2801514</v>
      </c>
      <c r="H14">
        <v>1333.4178466999999</v>
      </c>
      <c r="I14">
        <v>1325.4516602000001</v>
      </c>
      <c r="J14">
        <v>1323.4799805</v>
      </c>
      <c r="K14">
        <v>2400</v>
      </c>
      <c r="L14">
        <v>0</v>
      </c>
      <c r="M14">
        <v>0</v>
      </c>
      <c r="N14">
        <v>2400</v>
      </c>
    </row>
    <row r="15" spans="1:14" x14ac:dyDescent="0.25">
      <c r="A15">
        <v>5.1466999999999999E-2</v>
      </c>
      <c r="B15" s="1">
        <f>DATE(2010,5,1) + TIME(1,14,6)</f>
        <v>40299.051458333335</v>
      </c>
      <c r="C15">
        <v>80</v>
      </c>
      <c r="D15">
        <v>18.695917130000002</v>
      </c>
      <c r="E15">
        <v>50</v>
      </c>
      <c r="F15">
        <v>14.999599457</v>
      </c>
      <c r="G15">
        <v>1335.2509766000001</v>
      </c>
      <c r="H15">
        <v>1333.4185791</v>
      </c>
      <c r="I15">
        <v>1325.4519043</v>
      </c>
      <c r="J15">
        <v>1323.4802245999999</v>
      </c>
      <c r="K15">
        <v>2400</v>
      </c>
      <c r="L15">
        <v>0</v>
      </c>
      <c r="M15">
        <v>0</v>
      </c>
      <c r="N15">
        <v>2400</v>
      </c>
    </row>
    <row r="16" spans="1:14" x14ac:dyDescent="0.25">
      <c r="A16">
        <v>6.5518999999999994E-2</v>
      </c>
      <c r="B16" s="1">
        <f>DATE(2010,5,1) + TIME(1,34,20)</f>
        <v>40299.065509259257</v>
      </c>
      <c r="C16">
        <v>80</v>
      </c>
      <c r="D16">
        <v>19.691034317</v>
      </c>
      <c r="E16">
        <v>50</v>
      </c>
      <c r="F16">
        <v>14.999601364</v>
      </c>
      <c r="G16">
        <v>1335.2266846</v>
      </c>
      <c r="H16">
        <v>1333.4219971</v>
      </c>
      <c r="I16">
        <v>1325.4520264</v>
      </c>
      <c r="J16">
        <v>1323.4803466999999</v>
      </c>
      <c r="K16">
        <v>2400</v>
      </c>
      <c r="L16">
        <v>0</v>
      </c>
      <c r="M16">
        <v>0</v>
      </c>
      <c r="N16">
        <v>2400</v>
      </c>
    </row>
    <row r="17" spans="1:14" x14ac:dyDescent="0.25">
      <c r="A17">
        <v>7.9641000000000003E-2</v>
      </c>
      <c r="B17" s="1">
        <f>DATE(2010,5,1) + TIME(1,54,40)</f>
        <v>40299.079629629632</v>
      </c>
      <c r="C17">
        <v>80</v>
      </c>
      <c r="D17">
        <v>20.687147141000001</v>
      </c>
      <c r="E17">
        <v>50</v>
      </c>
      <c r="F17">
        <v>14.999602318000001</v>
      </c>
      <c r="G17">
        <v>1335.2075195</v>
      </c>
      <c r="H17">
        <v>1333.4278564000001</v>
      </c>
      <c r="I17">
        <v>1325.4522704999999</v>
      </c>
      <c r="J17">
        <v>1323.4805908000001</v>
      </c>
      <c r="K17">
        <v>2400</v>
      </c>
      <c r="L17">
        <v>0</v>
      </c>
      <c r="M17">
        <v>0</v>
      </c>
      <c r="N17">
        <v>2400</v>
      </c>
    </row>
    <row r="18" spans="1:14" x14ac:dyDescent="0.25">
      <c r="A18">
        <v>9.3816999999999998E-2</v>
      </c>
      <c r="B18" s="1">
        <f>DATE(2010,5,1) + TIME(2,15,5)</f>
        <v>40299.093807870369</v>
      </c>
      <c r="C18">
        <v>80</v>
      </c>
      <c r="D18">
        <v>21.683298110999999</v>
      </c>
      <c r="E18">
        <v>50</v>
      </c>
      <c r="F18">
        <v>14.999604225000001</v>
      </c>
      <c r="G18">
        <v>1335.1928711</v>
      </c>
      <c r="H18">
        <v>1333.4362793</v>
      </c>
      <c r="I18">
        <v>1325.4525146000001</v>
      </c>
      <c r="J18">
        <v>1323.4807129000001</v>
      </c>
      <c r="K18">
        <v>2400</v>
      </c>
      <c r="L18">
        <v>0</v>
      </c>
      <c r="M18">
        <v>0</v>
      </c>
      <c r="N18">
        <v>2400</v>
      </c>
    </row>
    <row r="19" spans="1:14" x14ac:dyDescent="0.25">
      <c r="A19">
        <v>0.10804800000000001</v>
      </c>
      <c r="B19" s="1">
        <f>DATE(2010,5,1) + TIME(2,35,35)</f>
        <v>40299.108043981483</v>
      </c>
      <c r="C19">
        <v>80</v>
      </c>
      <c r="D19">
        <v>22.679487227999999</v>
      </c>
      <c r="E19">
        <v>50</v>
      </c>
      <c r="F19">
        <v>14.999606133</v>
      </c>
      <c r="G19">
        <v>1335.1827393000001</v>
      </c>
      <c r="H19">
        <v>1333.4470214999999</v>
      </c>
      <c r="I19">
        <v>1325.4526367000001</v>
      </c>
      <c r="J19">
        <v>1323.4808350000001</v>
      </c>
      <c r="K19">
        <v>2400</v>
      </c>
      <c r="L19">
        <v>0</v>
      </c>
      <c r="M19">
        <v>0</v>
      </c>
      <c r="N19">
        <v>2400</v>
      </c>
    </row>
    <row r="20" spans="1:14" x14ac:dyDescent="0.25">
      <c r="A20">
        <v>0.122334</v>
      </c>
      <c r="B20" s="1">
        <f>DATE(2010,5,1) + TIME(2,56,9)</f>
        <v>40299.12232638889</v>
      </c>
      <c r="C20">
        <v>80</v>
      </c>
      <c r="D20">
        <v>23.675935745</v>
      </c>
      <c r="E20">
        <v>50</v>
      </c>
      <c r="F20">
        <v>14.99960804</v>
      </c>
      <c r="G20">
        <v>1335.1767577999999</v>
      </c>
      <c r="H20">
        <v>1333.4600829999999</v>
      </c>
      <c r="I20">
        <v>1325.4528809000001</v>
      </c>
      <c r="J20">
        <v>1323.480957</v>
      </c>
      <c r="K20">
        <v>2400</v>
      </c>
      <c r="L20">
        <v>0</v>
      </c>
      <c r="M20">
        <v>0</v>
      </c>
      <c r="N20">
        <v>2400</v>
      </c>
    </row>
    <row r="21" spans="1:14" x14ac:dyDescent="0.25">
      <c r="A21">
        <v>0.13667099999999999</v>
      </c>
      <c r="B21" s="1">
        <f>DATE(2010,5,1) + TIME(3,16,48)</f>
        <v>40299.136666666665</v>
      </c>
      <c r="C21">
        <v>80</v>
      </c>
      <c r="D21">
        <v>24.672603606999999</v>
      </c>
      <c r="E21">
        <v>50</v>
      </c>
      <c r="F21">
        <v>14.999608994000001</v>
      </c>
      <c r="G21">
        <v>1335.1746826000001</v>
      </c>
      <c r="H21">
        <v>1333.4753418</v>
      </c>
      <c r="I21">
        <v>1325.4530029</v>
      </c>
      <c r="J21">
        <v>1323.4810791</v>
      </c>
      <c r="K21">
        <v>2400</v>
      </c>
      <c r="L21">
        <v>0</v>
      </c>
      <c r="M21">
        <v>0</v>
      </c>
      <c r="N21">
        <v>2400</v>
      </c>
    </row>
    <row r="22" spans="1:14" x14ac:dyDescent="0.25">
      <c r="A22">
        <v>0.151056</v>
      </c>
      <c r="B22" s="1">
        <f>DATE(2010,5,1) + TIME(3,37,31)</f>
        <v>40299.151053240741</v>
      </c>
      <c r="C22">
        <v>80</v>
      </c>
      <c r="D22">
        <v>25.669898987</v>
      </c>
      <c r="E22">
        <v>50</v>
      </c>
      <c r="F22">
        <v>14.999610901</v>
      </c>
      <c r="G22">
        <v>1335.1762695</v>
      </c>
      <c r="H22">
        <v>1333.4925536999999</v>
      </c>
      <c r="I22">
        <v>1325.4532471</v>
      </c>
      <c r="J22">
        <v>1323.4812012</v>
      </c>
      <c r="K22">
        <v>2400</v>
      </c>
      <c r="L22">
        <v>0</v>
      </c>
      <c r="M22">
        <v>0</v>
      </c>
      <c r="N22">
        <v>2400</v>
      </c>
    </row>
    <row r="23" spans="1:14" x14ac:dyDescent="0.25">
      <c r="A23">
        <v>0.16547899999999999</v>
      </c>
      <c r="B23" s="1">
        <f>DATE(2010,5,1) + TIME(3,58,17)</f>
        <v>40299.16547453704</v>
      </c>
      <c r="C23">
        <v>80</v>
      </c>
      <c r="D23">
        <v>26.667108536000001</v>
      </c>
      <c r="E23">
        <v>50</v>
      </c>
      <c r="F23">
        <v>14.999612808</v>
      </c>
      <c r="G23">
        <v>1335.1813964999999</v>
      </c>
      <c r="H23">
        <v>1333.5117187999999</v>
      </c>
      <c r="I23">
        <v>1325.4533690999999</v>
      </c>
      <c r="J23">
        <v>1323.4813231999999</v>
      </c>
      <c r="K23">
        <v>2400</v>
      </c>
      <c r="L23">
        <v>0</v>
      </c>
      <c r="M23">
        <v>0</v>
      </c>
      <c r="N23">
        <v>2400</v>
      </c>
    </row>
    <row r="24" spans="1:14" x14ac:dyDescent="0.25">
      <c r="A24">
        <v>0.17994299999999999</v>
      </c>
      <c r="B24" s="1">
        <f>DATE(2010,5,1) + TIME(4,19,7)</f>
        <v>40299.179942129631</v>
      </c>
      <c r="C24">
        <v>80</v>
      </c>
      <c r="D24">
        <v>27.66418457</v>
      </c>
      <c r="E24">
        <v>50</v>
      </c>
      <c r="F24">
        <v>14.999613761999999</v>
      </c>
      <c r="G24">
        <v>1335.1898193</v>
      </c>
      <c r="H24">
        <v>1333.5328368999999</v>
      </c>
      <c r="I24">
        <v>1325.4534911999999</v>
      </c>
      <c r="J24">
        <v>1323.4814452999999</v>
      </c>
      <c r="K24">
        <v>2400</v>
      </c>
      <c r="L24">
        <v>0</v>
      </c>
      <c r="M24">
        <v>0</v>
      </c>
      <c r="N24">
        <v>2400</v>
      </c>
    </row>
    <row r="25" spans="1:14" x14ac:dyDescent="0.25">
      <c r="A25">
        <v>0.19445000000000001</v>
      </c>
      <c r="B25" s="1">
        <f>DATE(2010,5,1) + TIME(4,40,0)</f>
        <v>40299.194444444445</v>
      </c>
      <c r="C25">
        <v>80</v>
      </c>
      <c r="D25">
        <v>28.661289215</v>
      </c>
      <c r="E25">
        <v>50</v>
      </c>
      <c r="F25">
        <v>14.999615669000001</v>
      </c>
      <c r="G25">
        <v>1335.2012939000001</v>
      </c>
      <c r="H25">
        <v>1333.5555420000001</v>
      </c>
      <c r="I25">
        <v>1325.4537353999999</v>
      </c>
      <c r="J25">
        <v>1323.4815673999999</v>
      </c>
      <c r="K25">
        <v>2400</v>
      </c>
      <c r="L25">
        <v>0</v>
      </c>
      <c r="M25">
        <v>0</v>
      </c>
      <c r="N25">
        <v>2400</v>
      </c>
    </row>
    <row r="26" spans="1:14" x14ac:dyDescent="0.25">
      <c r="A26">
        <v>0.20899799999999999</v>
      </c>
      <c r="B26" s="1">
        <f>DATE(2010,5,1) + TIME(5,0,57)</f>
        <v>40299.208993055552</v>
      </c>
      <c r="C26">
        <v>80</v>
      </c>
      <c r="D26">
        <v>29.658378600999999</v>
      </c>
      <c r="E26">
        <v>50</v>
      </c>
      <c r="F26">
        <v>14.999616623</v>
      </c>
      <c r="G26">
        <v>1335.2156981999999</v>
      </c>
      <c r="H26">
        <v>1333.5800781</v>
      </c>
      <c r="I26">
        <v>1325.4538574000001</v>
      </c>
      <c r="J26">
        <v>1323.4816894999999</v>
      </c>
      <c r="K26">
        <v>2400</v>
      </c>
      <c r="L26">
        <v>0</v>
      </c>
      <c r="M26">
        <v>0</v>
      </c>
      <c r="N26">
        <v>2400</v>
      </c>
    </row>
    <row r="27" spans="1:14" x14ac:dyDescent="0.25">
      <c r="A27">
        <v>0.22358900000000001</v>
      </c>
      <c r="B27" s="1">
        <f>DATE(2010,5,1) + TIME(5,21,58)</f>
        <v>40299.223587962966</v>
      </c>
      <c r="C27">
        <v>80</v>
      </c>
      <c r="D27">
        <v>30.655555724999999</v>
      </c>
      <c r="E27">
        <v>50</v>
      </c>
      <c r="F27">
        <v>14.999618529999999</v>
      </c>
      <c r="G27">
        <v>1335.2327881000001</v>
      </c>
      <c r="H27">
        <v>1333.6060791</v>
      </c>
      <c r="I27">
        <v>1325.4539795000001</v>
      </c>
      <c r="J27">
        <v>1323.4816894999999</v>
      </c>
      <c r="K27">
        <v>2400</v>
      </c>
      <c r="L27">
        <v>0</v>
      </c>
      <c r="M27">
        <v>0</v>
      </c>
      <c r="N27">
        <v>2400</v>
      </c>
    </row>
    <row r="28" spans="1:14" x14ac:dyDescent="0.25">
      <c r="A28">
        <v>0.23822099999999999</v>
      </c>
      <c r="B28" s="1">
        <f>DATE(2010,5,1) + TIME(5,43,2)</f>
        <v>40299.238217592596</v>
      </c>
      <c r="C28">
        <v>80</v>
      </c>
      <c r="D28">
        <v>31.652557373</v>
      </c>
      <c r="E28">
        <v>50</v>
      </c>
      <c r="F28">
        <v>14.999620438000001</v>
      </c>
      <c r="G28">
        <v>1335.2524414</v>
      </c>
      <c r="H28">
        <v>1333.6335449000001</v>
      </c>
      <c r="I28">
        <v>1325.4541016000001</v>
      </c>
      <c r="J28">
        <v>1323.4818115</v>
      </c>
      <c r="K28">
        <v>2400</v>
      </c>
      <c r="L28">
        <v>0</v>
      </c>
      <c r="M28">
        <v>0</v>
      </c>
      <c r="N28">
        <v>2400</v>
      </c>
    </row>
    <row r="29" spans="1:14" x14ac:dyDescent="0.25">
      <c r="A29">
        <v>0.25289800000000001</v>
      </c>
      <c r="B29" s="1">
        <f>DATE(2010,5,1) + TIME(6,4,10)</f>
        <v>40299.252893518518</v>
      </c>
      <c r="C29">
        <v>80</v>
      </c>
      <c r="D29">
        <v>32.649330139</v>
      </c>
      <c r="E29">
        <v>50</v>
      </c>
      <c r="F29">
        <v>14.999621391</v>
      </c>
      <c r="G29">
        <v>1335.2744141000001</v>
      </c>
      <c r="H29">
        <v>1333.6624756000001</v>
      </c>
      <c r="I29">
        <v>1325.4543457</v>
      </c>
      <c r="J29">
        <v>1323.4819336</v>
      </c>
      <c r="K29">
        <v>2400</v>
      </c>
      <c r="L29">
        <v>0</v>
      </c>
      <c r="M29">
        <v>0</v>
      </c>
      <c r="N29">
        <v>2400</v>
      </c>
    </row>
    <row r="30" spans="1:14" x14ac:dyDescent="0.25">
      <c r="A30">
        <v>0.267621</v>
      </c>
      <c r="B30" s="1">
        <f>DATE(2010,5,1) + TIME(6,25,22)</f>
        <v>40299.26761574074</v>
      </c>
      <c r="C30">
        <v>80</v>
      </c>
      <c r="D30">
        <v>33.645896911999998</v>
      </c>
      <c r="E30">
        <v>50</v>
      </c>
      <c r="F30">
        <v>14.999623299</v>
      </c>
      <c r="G30">
        <v>1335.2987060999999</v>
      </c>
      <c r="H30">
        <v>1333.692749</v>
      </c>
      <c r="I30">
        <v>1325.4544678</v>
      </c>
      <c r="J30">
        <v>1323.4819336</v>
      </c>
      <c r="K30">
        <v>2400</v>
      </c>
      <c r="L30">
        <v>0</v>
      </c>
      <c r="M30">
        <v>0</v>
      </c>
      <c r="N30">
        <v>2400</v>
      </c>
    </row>
    <row r="31" spans="1:14" x14ac:dyDescent="0.25">
      <c r="A31">
        <v>0.28239599999999998</v>
      </c>
      <c r="B31" s="1">
        <f>DATE(2010,5,1) + TIME(6,46,39)</f>
        <v>40299.282395833332</v>
      </c>
      <c r="C31">
        <v>80</v>
      </c>
      <c r="D31">
        <v>34.642219543000003</v>
      </c>
      <c r="E31">
        <v>50</v>
      </c>
      <c r="F31">
        <v>14.999624252</v>
      </c>
      <c r="G31">
        <v>1335.3251952999999</v>
      </c>
      <c r="H31">
        <v>1333.7242432</v>
      </c>
      <c r="I31">
        <v>1325.4545897999999</v>
      </c>
      <c r="J31">
        <v>1323.4820557</v>
      </c>
      <c r="K31">
        <v>2400</v>
      </c>
      <c r="L31">
        <v>0</v>
      </c>
      <c r="M31">
        <v>0</v>
      </c>
      <c r="N31">
        <v>2400</v>
      </c>
    </row>
    <row r="32" spans="1:14" x14ac:dyDescent="0.25">
      <c r="A32">
        <v>0.29722500000000002</v>
      </c>
      <c r="B32" s="1">
        <f>DATE(2010,5,1) + TIME(7,8,0)</f>
        <v>40299.297222222223</v>
      </c>
      <c r="C32">
        <v>80</v>
      </c>
      <c r="D32">
        <v>35.638252258000001</v>
      </c>
      <c r="E32">
        <v>50</v>
      </c>
      <c r="F32">
        <v>14.99962616</v>
      </c>
      <c r="G32">
        <v>1335.3535156</v>
      </c>
      <c r="H32">
        <v>1333.7569579999999</v>
      </c>
      <c r="I32">
        <v>1325.4547118999999</v>
      </c>
      <c r="J32">
        <v>1323.4821777</v>
      </c>
      <c r="K32">
        <v>2400</v>
      </c>
      <c r="L32">
        <v>0</v>
      </c>
      <c r="M32">
        <v>0</v>
      </c>
      <c r="N32">
        <v>2400</v>
      </c>
    </row>
    <row r="33" spans="1:14" x14ac:dyDescent="0.25">
      <c r="A33">
        <v>0.31211299999999997</v>
      </c>
      <c r="B33" s="1">
        <f>DATE(2010,5,1) + TIME(7,29,26)</f>
        <v>40299.312106481484</v>
      </c>
      <c r="C33">
        <v>80</v>
      </c>
      <c r="D33">
        <v>36.633945464999996</v>
      </c>
      <c r="E33">
        <v>50</v>
      </c>
      <c r="F33">
        <v>14.999627113000001</v>
      </c>
      <c r="G33">
        <v>1335.3837891000001</v>
      </c>
      <c r="H33">
        <v>1333.7907714999999</v>
      </c>
      <c r="I33">
        <v>1325.4548339999999</v>
      </c>
      <c r="J33">
        <v>1323.4821777</v>
      </c>
      <c r="K33">
        <v>2400</v>
      </c>
      <c r="L33">
        <v>0</v>
      </c>
      <c r="M33">
        <v>0</v>
      </c>
      <c r="N33">
        <v>2400</v>
      </c>
    </row>
    <row r="34" spans="1:14" x14ac:dyDescent="0.25">
      <c r="A34">
        <v>0.32706600000000002</v>
      </c>
      <c r="B34" s="1">
        <f>DATE(2010,5,1) + TIME(7,50,58)</f>
        <v>40299.327060185184</v>
      </c>
      <c r="C34">
        <v>80</v>
      </c>
      <c r="D34">
        <v>37.629261016999997</v>
      </c>
      <c r="E34">
        <v>50</v>
      </c>
      <c r="F34">
        <v>14.999629021000001</v>
      </c>
      <c r="G34">
        <v>1335.4156493999999</v>
      </c>
      <c r="H34">
        <v>1333.8255615</v>
      </c>
      <c r="I34">
        <v>1325.4549560999999</v>
      </c>
      <c r="J34">
        <v>1323.4822998</v>
      </c>
      <c r="K34">
        <v>2400</v>
      </c>
      <c r="L34">
        <v>0</v>
      </c>
      <c r="M34">
        <v>0</v>
      </c>
      <c r="N34">
        <v>2400</v>
      </c>
    </row>
    <row r="35" spans="1:14" x14ac:dyDescent="0.25">
      <c r="A35">
        <v>0.34208899999999998</v>
      </c>
      <c r="B35" s="1">
        <f>DATE(2010,5,1) + TIME(8,12,36)</f>
        <v>40299.342083333337</v>
      </c>
      <c r="C35">
        <v>80</v>
      </c>
      <c r="D35">
        <v>38.624149322999997</v>
      </c>
      <c r="E35">
        <v>50</v>
      </c>
      <c r="F35">
        <v>14.999629973999999</v>
      </c>
      <c r="G35">
        <v>1335.4493408000001</v>
      </c>
      <c r="H35">
        <v>1333.8614502</v>
      </c>
      <c r="I35">
        <v>1325.4550781</v>
      </c>
      <c r="J35">
        <v>1323.4822998</v>
      </c>
      <c r="K35">
        <v>2400</v>
      </c>
      <c r="L35">
        <v>0</v>
      </c>
      <c r="M35">
        <v>0</v>
      </c>
      <c r="N35">
        <v>2400</v>
      </c>
    </row>
    <row r="36" spans="1:14" x14ac:dyDescent="0.25">
      <c r="A36">
        <v>0.35718899999999998</v>
      </c>
      <c r="B36" s="1">
        <f>DATE(2010,5,1) + TIME(8,34,21)</f>
        <v>40299.357187499998</v>
      </c>
      <c r="C36">
        <v>80</v>
      </c>
      <c r="D36">
        <v>39.618576050000001</v>
      </c>
      <c r="E36">
        <v>50</v>
      </c>
      <c r="F36">
        <v>14.999630928</v>
      </c>
      <c r="G36">
        <v>1335.4844971</v>
      </c>
      <c r="H36">
        <v>1333.8981934000001</v>
      </c>
      <c r="I36">
        <v>1325.4552002</v>
      </c>
      <c r="J36">
        <v>1323.4822998</v>
      </c>
      <c r="K36">
        <v>2400</v>
      </c>
      <c r="L36">
        <v>0</v>
      </c>
      <c r="M36">
        <v>0</v>
      </c>
      <c r="N36">
        <v>2400</v>
      </c>
    </row>
    <row r="37" spans="1:14" x14ac:dyDescent="0.25">
      <c r="A37">
        <v>0.37237399999999998</v>
      </c>
      <c r="B37" s="1">
        <f>DATE(2010,5,1) + TIME(8,56,13)</f>
        <v>40299.372372685182</v>
      </c>
      <c r="C37">
        <v>80</v>
      </c>
      <c r="D37">
        <v>40.612632751</v>
      </c>
      <c r="E37">
        <v>50</v>
      </c>
      <c r="F37">
        <v>14.999632835</v>
      </c>
      <c r="G37">
        <v>1335.5209961</v>
      </c>
      <c r="H37">
        <v>1333.9359131000001</v>
      </c>
      <c r="I37">
        <v>1325.4553223</v>
      </c>
      <c r="J37">
        <v>1323.4824219</v>
      </c>
      <c r="K37">
        <v>2400</v>
      </c>
      <c r="L37">
        <v>0</v>
      </c>
      <c r="M37">
        <v>0</v>
      </c>
      <c r="N37">
        <v>2400</v>
      </c>
    </row>
    <row r="38" spans="1:14" x14ac:dyDescent="0.25">
      <c r="A38">
        <v>0.38764900000000002</v>
      </c>
      <c r="B38" s="1">
        <f>DATE(2010,5,1) + TIME(9,18,12)</f>
        <v>40299.387638888889</v>
      </c>
      <c r="C38">
        <v>80</v>
      </c>
      <c r="D38">
        <v>41.606086730999998</v>
      </c>
      <c r="E38">
        <v>50</v>
      </c>
      <c r="F38">
        <v>14.999633789000001</v>
      </c>
      <c r="G38">
        <v>1335.559082</v>
      </c>
      <c r="H38">
        <v>1333.9743652</v>
      </c>
      <c r="I38">
        <v>1325.4554443</v>
      </c>
      <c r="J38">
        <v>1323.4824219</v>
      </c>
      <c r="K38">
        <v>2400</v>
      </c>
      <c r="L38">
        <v>0</v>
      </c>
      <c r="M38">
        <v>0</v>
      </c>
      <c r="N38">
        <v>2400</v>
      </c>
    </row>
    <row r="39" spans="1:14" x14ac:dyDescent="0.25">
      <c r="A39">
        <v>0.40302500000000002</v>
      </c>
      <c r="B39" s="1">
        <f>DATE(2010,5,1) + TIME(9,40,21)</f>
        <v>40299.403020833335</v>
      </c>
      <c r="C39">
        <v>80</v>
      </c>
      <c r="D39">
        <v>42.598857879999997</v>
      </c>
      <c r="E39">
        <v>50</v>
      </c>
      <c r="F39">
        <v>14.999635696</v>
      </c>
      <c r="G39">
        <v>1335.5982666</v>
      </c>
      <c r="H39">
        <v>1334.0136719</v>
      </c>
      <c r="I39">
        <v>1325.4555664</v>
      </c>
      <c r="J39">
        <v>1323.4825439000001</v>
      </c>
      <c r="K39">
        <v>2400</v>
      </c>
      <c r="L39">
        <v>0</v>
      </c>
      <c r="M39">
        <v>0</v>
      </c>
      <c r="N39">
        <v>2400</v>
      </c>
    </row>
    <row r="40" spans="1:14" x14ac:dyDescent="0.25">
      <c r="A40">
        <v>0.41851300000000002</v>
      </c>
      <c r="B40" s="1">
        <f>DATE(2010,5,1) + TIME(10,2,39)</f>
        <v>40299.418506944443</v>
      </c>
      <c r="C40">
        <v>80</v>
      </c>
      <c r="D40">
        <v>43.590984343999999</v>
      </c>
      <c r="E40">
        <v>50</v>
      </c>
      <c r="F40">
        <v>14.999636649999999</v>
      </c>
      <c r="G40">
        <v>1335.6387939000001</v>
      </c>
      <c r="H40">
        <v>1334.0535889</v>
      </c>
      <c r="I40">
        <v>1325.4556885</v>
      </c>
      <c r="J40">
        <v>1323.4825439000001</v>
      </c>
      <c r="K40">
        <v>2400</v>
      </c>
      <c r="L40">
        <v>0</v>
      </c>
      <c r="M40">
        <v>0</v>
      </c>
      <c r="N40">
        <v>2400</v>
      </c>
    </row>
    <row r="41" spans="1:14" x14ac:dyDescent="0.25">
      <c r="A41">
        <v>0.43412400000000001</v>
      </c>
      <c r="B41" s="1">
        <f>DATE(2010,5,1) + TIME(10,25,8)</f>
        <v>40299.434120370373</v>
      </c>
      <c r="C41">
        <v>80</v>
      </c>
      <c r="D41">
        <v>44.582420349000003</v>
      </c>
      <c r="E41">
        <v>50</v>
      </c>
      <c r="F41">
        <v>14.999638557000001</v>
      </c>
      <c r="G41">
        <v>1335.6804199000001</v>
      </c>
      <c r="H41">
        <v>1334.0943603999999</v>
      </c>
      <c r="I41">
        <v>1325.4558105000001</v>
      </c>
      <c r="J41">
        <v>1323.4825439000001</v>
      </c>
      <c r="K41">
        <v>2400</v>
      </c>
      <c r="L41">
        <v>0</v>
      </c>
      <c r="M41">
        <v>0</v>
      </c>
      <c r="N41">
        <v>2400</v>
      </c>
    </row>
    <row r="42" spans="1:14" x14ac:dyDescent="0.25">
      <c r="A42">
        <v>0.44986999999999999</v>
      </c>
      <c r="B42" s="1">
        <f>DATE(2010,5,1) + TIME(10,47,48)</f>
        <v>40299.449861111112</v>
      </c>
      <c r="C42">
        <v>80</v>
      </c>
      <c r="D42">
        <v>45.573112488</v>
      </c>
      <c r="E42">
        <v>50</v>
      </c>
      <c r="F42">
        <v>14.999639511</v>
      </c>
      <c r="G42">
        <v>1335.7231445</v>
      </c>
      <c r="H42">
        <v>1334.1357422000001</v>
      </c>
      <c r="I42">
        <v>1325.4559326000001</v>
      </c>
      <c r="J42">
        <v>1323.4825439000001</v>
      </c>
      <c r="K42">
        <v>2400</v>
      </c>
      <c r="L42">
        <v>0</v>
      </c>
      <c r="M42">
        <v>0</v>
      </c>
      <c r="N42">
        <v>2400</v>
      </c>
    </row>
    <row r="43" spans="1:14" x14ac:dyDescent="0.25">
      <c r="A43">
        <v>0.46576400000000001</v>
      </c>
      <c r="B43" s="1">
        <f>DATE(2010,5,1) + TIME(11,10,42)</f>
        <v>40299.465763888889</v>
      </c>
      <c r="C43">
        <v>80</v>
      </c>
      <c r="D43">
        <v>46.563018798999998</v>
      </c>
      <c r="E43">
        <v>50</v>
      </c>
      <c r="F43">
        <v>14.999640465000001</v>
      </c>
      <c r="G43">
        <v>1335.7668457</v>
      </c>
      <c r="H43">
        <v>1334.1777344</v>
      </c>
      <c r="I43">
        <v>1325.4560547000001</v>
      </c>
      <c r="J43">
        <v>1323.4826660000001</v>
      </c>
      <c r="K43">
        <v>2400</v>
      </c>
      <c r="L43">
        <v>0</v>
      </c>
      <c r="M43">
        <v>0</v>
      </c>
      <c r="N43">
        <v>2400</v>
      </c>
    </row>
    <row r="44" spans="1:14" x14ac:dyDescent="0.25">
      <c r="A44">
        <v>0.48182000000000003</v>
      </c>
      <c r="B44" s="1">
        <f>DATE(2010,5,1) + TIME(11,33,49)</f>
        <v>40299.481817129628</v>
      </c>
      <c r="C44">
        <v>80</v>
      </c>
      <c r="D44">
        <v>47.552078246999997</v>
      </c>
      <c r="E44">
        <v>50</v>
      </c>
      <c r="F44">
        <v>14.999642372</v>
      </c>
      <c r="G44">
        <v>1335.8116454999999</v>
      </c>
      <c r="H44">
        <v>1334.2204589999999</v>
      </c>
      <c r="I44">
        <v>1325.4561768000001</v>
      </c>
      <c r="J44">
        <v>1323.4826660000001</v>
      </c>
      <c r="K44">
        <v>2400</v>
      </c>
      <c r="L44">
        <v>0</v>
      </c>
      <c r="M44">
        <v>0</v>
      </c>
      <c r="N44">
        <v>2400</v>
      </c>
    </row>
    <row r="45" spans="1:14" x14ac:dyDescent="0.25">
      <c r="A45">
        <v>0.498054</v>
      </c>
      <c r="B45" s="1">
        <f>DATE(2010,5,1) + TIME(11,57,11)</f>
        <v>40299.498043981483</v>
      </c>
      <c r="C45">
        <v>80</v>
      </c>
      <c r="D45">
        <v>48.540241240999997</v>
      </c>
      <c r="E45">
        <v>50</v>
      </c>
      <c r="F45">
        <v>14.999643325999999</v>
      </c>
      <c r="G45">
        <v>1335.8572998</v>
      </c>
      <c r="H45">
        <v>1334.2635498</v>
      </c>
      <c r="I45">
        <v>1325.4562988</v>
      </c>
      <c r="J45">
        <v>1323.4826660000001</v>
      </c>
      <c r="K45">
        <v>2400</v>
      </c>
      <c r="L45">
        <v>0</v>
      </c>
      <c r="M45">
        <v>0</v>
      </c>
      <c r="N45">
        <v>2400</v>
      </c>
    </row>
    <row r="46" spans="1:14" x14ac:dyDescent="0.25">
      <c r="A46">
        <v>0.51448199999999999</v>
      </c>
      <c r="B46" s="1">
        <f>DATE(2010,5,1) + TIME(12,20,51)</f>
        <v>40299.514479166668</v>
      </c>
      <c r="C46">
        <v>80</v>
      </c>
      <c r="D46">
        <v>49.527446746999999</v>
      </c>
      <c r="E46">
        <v>50</v>
      </c>
      <c r="F46">
        <v>14.999644279</v>
      </c>
      <c r="G46">
        <v>1335.9039307</v>
      </c>
      <c r="H46">
        <v>1334.3073730000001</v>
      </c>
      <c r="I46">
        <v>1325.4564209</v>
      </c>
      <c r="J46">
        <v>1323.4827881000001</v>
      </c>
      <c r="K46">
        <v>2400</v>
      </c>
      <c r="L46">
        <v>0</v>
      </c>
      <c r="M46">
        <v>0</v>
      </c>
      <c r="N46">
        <v>2400</v>
      </c>
    </row>
    <row r="47" spans="1:14" x14ac:dyDescent="0.25">
      <c r="A47">
        <v>0.53112199999999998</v>
      </c>
      <c r="B47" s="1">
        <f>DATE(2010,5,1) + TIME(12,44,48)</f>
        <v>40299.531111111108</v>
      </c>
      <c r="C47">
        <v>80</v>
      </c>
      <c r="D47">
        <v>50.513385773000003</v>
      </c>
      <c r="E47">
        <v>50</v>
      </c>
      <c r="F47">
        <v>14.999646187</v>
      </c>
      <c r="G47">
        <v>1335.9514160000001</v>
      </c>
      <c r="H47">
        <v>1334.3515625</v>
      </c>
      <c r="I47">
        <v>1325.456543</v>
      </c>
      <c r="J47">
        <v>1323.4827881000001</v>
      </c>
      <c r="K47">
        <v>2400</v>
      </c>
      <c r="L47">
        <v>0</v>
      </c>
      <c r="M47">
        <v>0</v>
      </c>
      <c r="N47">
        <v>2400</v>
      </c>
    </row>
    <row r="48" spans="1:14" x14ac:dyDescent="0.25">
      <c r="A48">
        <v>0.54800099999999996</v>
      </c>
      <c r="B48" s="1">
        <f>DATE(2010,5,1) + TIME(13,9,7)</f>
        <v>40299.547997685186</v>
      </c>
      <c r="C48">
        <v>80</v>
      </c>
      <c r="D48">
        <v>51.498241425000003</v>
      </c>
      <c r="E48">
        <v>50</v>
      </c>
      <c r="F48">
        <v>14.999647141000001</v>
      </c>
      <c r="G48">
        <v>1335.9997559000001</v>
      </c>
      <c r="H48">
        <v>1334.3963623</v>
      </c>
      <c r="I48">
        <v>1325.4566649999999</v>
      </c>
      <c r="J48">
        <v>1323.4827881000001</v>
      </c>
      <c r="K48">
        <v>2400</v>
      </c>
      <c r="L48">
        <v>0</v>
      </c>
      <c r="M48">
        <v>0</v>
      </c>
      <c r="N48">
        <v>2400</v>
      </c>
    </row>
    <row r="49" spans="1:14" x14ac:dyDescent="0.25">
      <c r="A49">
        <v>0.56513800000000003</v>
      </c>
      <c r="B49" s="1">
        <f>DATE(2010,5,1) + TIME(13,33,47)</f>
        <v>40299.565127314818</v>
      </c>
      <c r="C49">
        <v>80</v>
      </c>
      <c r="D49">
        <v>52.482143401999998</v>
      </c>
      <c r="E49">
        <v>50</v>
      </c>
      <c r="F49">
        <v>14.999649048</v>
      </c>
      <c r="G49">
        <v>1336.0488281</v>
      </c>
      <c r="H49">
        <v>1334.4416504000001</v>
      </c>
      <c r="I49">
        <v>1325.4567870999999</v>
      </c>
      <c r="J49">
        <v>1323.4827881000001</v>
      </c>
      <c r="K49">
        <v>2400</v>
      </c>
      <c r="L49">
        <v>0</v>
      </c>
      <c r="M49">
        <v>0</v>
      </c>
      <c r="N49">
        <v>2400</v>
      </c>
    </row>
    <row r="50" spans="1:14" x14ac:dyDescent="0.25">
      <c r="A50">
        <v>0.58255699999999999</v>
      </c>
      <c r="B50" s="1">
        <f>DATE(2010,5,1) + TIME(13,58,52)</f>
        <v>40299.582546296297</v>
      </c>
      <c r="C50">
        <v>80</v>
      </c>
      <c r="D50">
        <v>53.464809418000002</v>
      </c>
      <c r="E50">
        <v>50</v>
      </c>
      <c r="F50">
        <v>14.999650001999999</v>
      </c>
      <c r="G50">
        <v>1336.0987548999999</v>
      </c>
      <c r="H50">
        <v>1334.4873047000001</v>
      </c>
      <c r="I50">
        <v>1325.4569091999999</v>
      </c>
      <c r="J50">
        <v>1323.4827881000001</v>
      </c>
      <c r="K50">
        <v>2400</v>
      </c>
      <c r="L50">
        <v>0</v>
      </c>
      <c r="M50">
        <v>0</v>
      </c>
      <c r="N50">
        <v>2400</v>
      </c>
    </row>
    <row r="51" spans="1:14" x14ac:dyDescent="0.25">
      <c r="A51">
        <v>0.60028199999999998</v>
      </c>
      <c r="B51" s="1">
        <f>DATE(2010,5,1) + TIME(14,24,24)</f>
        <v>40299.600277777776</v>
      </c>
      <c r="C51">
        <v>80</v>
      </c>
      <c r="D51">
        <v>54.446147918999998</v>
      </c>
      <c r="E51">
        <v>50</v>
      </c>
      <c r="F51">
        <v>14.999650955</v>
      </c>
      <c r="G51">
        <v>1336.1495361</v>
      </c>
      <c r="H51">
        <v>1334.5334473</v>
      </c>
      <c r="I51">
        <v>1325.4570312000001</v>
      </c>
      <c r="J51">
        <v>1323.4829102000001</v>
      </c>
      <c r="K51">
        <v>2400</v>
      </c>
      <c r="L51">
        <v>0</v>
      </c>
      <c r="M51">
        <v>0</v>
      </c>
      <c r="N51">
        <v>2400</v>
      </c>
    </row>
    <row r="52" spans="1:14" x14ac:dyDescent="0.25">
      <c r="A52">
        <v>0.618344</v>
      </c>
      <c r="B52" s="1">
        <f>DATE(2010,5,1) + TIME(14,50,24)</f>
        <v>40299.618333333332</v>
      </c>
      <c r="C52">
        <v>80</v>
      </c>
      <c r="D52">
        <v>55.426059723000002</v>
      </c>
      <c r="E52">
        <v>50</v>
      </c>
      <c r="F52">
        <v>14.999652863</v>
      </c>
      <c r="G52">
        <v>1336.2010498</v>
      </c>
      <c r="H52">
        <v>1334.5800781</v>
      </c>
      <c r="I52">
        <v>1325.4571533000001</v>
      </c>
      <c r="J52">
        <v>1323.4829102000001</v>
      </c>
      <c r="K52">
        <v>2400</v>
      </c>
      <c r="L52">
        <v>0</v>
      </c>
      <c r="M52">
        <v>0</v>
      </c>
      <c r="N52">
        <v>2400</v>
      </c>
    </row>
    <row r="53" spans="1:14" x14ac:dyDescent="0.25">
      <c r="A53">
        <v>0.63677700000000004</v>
      </c>
      <c r="B53" s="1">
        <f>DATE(2010,5,1) + TIME(15,16,57)</f>
        <v>40299.636770833335</v>
      </c>
      <c r="C53">
        <v>80</v>
      </c>
      <c r="D53">
        <v>56.404445647999999</v>
      </c>
      <c r="E53">
        <v>50</v>
      </c>
      <c r="F53">
        <v>14.999653816</v>
      </c>
      <c r="G53">
        <v>1336.2531738</v>
      </c>
      <c r="H53">
        <v>1334.6270752</v>
      </c>
      <c r="I53">
        <v>1325.4572754000001</v>
      </c>
      <c r="J53">
        <v>1323.4829102000001</v>
      </c>
      <c r="K53">
        <v>2400</v>
      </c>
      <c r="L53">
        <v>0</v>
      </c>
      <c r="M53">
        <v>0</v>
      </c>
      <c r="N53">
        <v>2400</v>
      </c>
    </row>
    <row r="54" spans="1:14" x14ac:dyDescent="0.25">
      <c r="A54">
        <v>0.65561700000000001</v>
      </c>
      <c r="B54" s="1">
        <f>DATE(2010,5,1) + TIME(15,44,5)</f>
        <v>40299.655613425923</v>
      </c>
      <c r="C54">
        <v>80</v>
      </c>
      <c r="D54">
        <v>57.381191254000001</v>
      </c>
      <c r="E54">
        <v>50</v>
      </c>
      <c r="F54">
        <v>14.999654769999999</v>
      </c>
      <c r="G54">
        <v>1336.3061522999999</v>
      </c>
      <c r="H54">
        <v>1334.6745605000001</v>
      </c>
      <c r="I54">
        <v>1325.4573975000001</v>
      </c>
      <c r="J54">
        <v>1323.4829102000001</v>
      </c>
      <c r="K54">
        <v>2400</v>
      </c>
      <c r="L54">
        <v>0</v>
      </c>
      <c r="M54">
        <v>0</v>
      </c>
      <c r="N54">
        <v>2400</v>
      </c>
    </row>
    <row r="55" spans="1:14" x14ac:dyDescent="0.25">
      <c r="A55">
        <v>0.67490600000000001</v>
      </c>
      <c r="B55" s="1">
        <f>DATE(2010,5,1) + TIME(16,11,51)</f>
        <v>40299.674895833334</v>
      </c>
      <c r="C55">
        <v>80</v>
      </c>
      <c r="D55">
        <v>58.356159210000001</v>
      </c>
      <c r="E55">
        <v>50</v>
      </c>
      <c r="F55">
        <v>14.999656677000001</v>
      </c>
      <c r="G55">
        <v>1336.3598632999999</v>
      </c>
      <c r="H55">
        <v>1334.7222899999999</v>
      </c>
      <c r="I55">
        <v>1325.4575195</v>
      </c>
      <c r="J55">
        <v>1323.4829102000001</v>
      </c>
      <c r="K55">
        <v>2400</v>
      </c>
      <c r="L55">
        <v>0</v>
      </c>
      <c r="M55">
        <v>0</v>
      </c>
      <c r="N55">
        <v>2400</v>
      </c>
    </row>
    <row r="56" spans="1:14" x14ac:dyDescent="0.25">
      <c r="A56">
        <v>0.694689</v>
      </c>
      <c r="B56" s="1">
        <f>DATE(2010,5,1) + TIME(16,40,21)</f>
        <v>40299.694687499999</v>
      </c>
      <c r="C56">
        <v>80</v>
      </c>
      <c r="D56">
        <v>59.329212189000003</v>
      </c>
      <c r="E56">
        <v>50</v>
      </c>
      <c r="F56">
        <v>14.999657631</v>
      </c>
      <c r="G56">
        <v>1336.4143065999999</v>
      </c>
      <c r="H56">
        <v>1334.7705077999999</v>
      </c>
      <c r="I56">
        <v>1325.4576416</v>
      </c>
      <c r="J56">
        <v>1323.4829102000001</v>
      </c>
      <c r="K56">
        <v>2400</v>
      </c>
      <c r="L56">
        <v>0</v>
      </c>
      <c r="M56">
        <v>0</v>
      </c>
      <c r="N56">
        <v>2400</v>
      </c>
    </row>
    <row r="57" spans="1:14" x14ac:dyDescent="0.25">
      <c r="A57">
        <v>0.71502100000000002</v>
      </c>
      <c r="B57" s="1">
        <f>DATE(2010,5,1) + TIME(17,9,37)</f>
        <v>40299.715011574073</v>
      </c>
      <c r="C57">
        <v>80</v>
      </c>
      <c r="D57">
        <v>60.299961089999996</v>
      </c>
      <c r="E57">
        <v>50</v>
      </c>
      <c r="F57">
        <v>14.999659538</v>
      </c>
      <c r="G57">
        <v>1336.4696045000001</v>
      </c>
      <c r="H57">
        <v>1334.8192139</v>
      </c>
      <c r="I57">
        <v>1325.4577637</v>
      </c>
      <c r="J57">
        <v>1323.4830322</v>
      </c>
      <c r="K57">
        <v>2400</v>
      </c>
      <c r="L57">
        <v>0</v>
      </c>
      <c r="M57">
        <v>0</v>
      </c>
      <c r="N57">
        <v>2400</v>
      </c>
    </row>
    <row r="58" spans="1:14" x14ac:dyDescent="0.25">
      <c r="A58">
        <v>0.73596499999999998</v>
      </c>
      <c r="B58" s="1">
        <f>DATE(2010,5,1) + TIME(17,39,47)</f>
        <v>40299.735960648148</v>
      </c>
      <c r="C58">
        <v>80</v>
      </c>
      <c r="D58">
        <v>61.268146514999998</v>
      </c>
      <c r="E58">
        <v>50</v>
      </c>
      <c r="F58">
        <v>14.999660492</v>
      </c>
      <c r="G58">
        <v>1336.5255127</v>
      </c>
      <c r="H58">
        <v>1334.8681641000001</v>
      </c>
      <c r="I58">
        <v>1325.4578856999999</v>
      </c>
      <c r="J58">
        <v>1323.4830322</v>
      </c>
      <c r="K58">
        <v>2400</v>
      </c>
      <c r="L58">
        <v>0</v>
      </c>
      <c r="M58">
        <v>0</v>
      </c>
      <c r="N58">
        <v>2400</v>
      </c>
    </row>
    <row r="59" spans="1:14" x14ac:dyDescent="0.25">
      <c r="A59">
        <v>0.75759799999999999</v>
      </c>
      <c r="B59" s="1">
        <f>DATE(2010,5,1) + TIME(18,10,56)</f>
        <v>40299.757592592592</v>
      </c>
      <c r="C59">
        <v>80</v>
      </c>
      <c r="D59">
        <v>62.234287262000002</v>
      </c>
      <c r="E59">
        <v>50</v>
      </c>
      <c r="F59">
        <v>14.999662399</v>
      </c>
      <c r="G59">
        <v>1336.5822754000001</v>
      </c>
      <c r="H59">
        <v>1334.9176024999999</v>
      </c>
      <c r="I59">
        <v>1325.4580077999999</v>
      </c>
      <c r="J59">
        <v>1323.4830322</v>
      </c>
      <c r="K59">
        <v>2400</v>
      </c>
      <c r="L59">
        <v>0</v>
      </c>
      <c r="M59">
        <v>0</v>
      </c>
      <c r="N59">
        <v>2400</v>
      </c>
    </row>
    <row r="60" spans="1:14" x14ac:dyDescent="0.25">
      <c r="A60">
        <v>0.77998800000000001</v>
      </c>
      <c r="B60" s="1">
        <f>DATE(2010,5,1) + TIME(18,43,10)</f>
        <v>40299.779976851853</v>
      </c>
      <c r="C60">
        <v>80</v>
      </c>
      <c r="D60">
        <v>63.197708130000002</v>
      </c>
      <c r="E60">
        <v>50</v>
      </c>
      <c r="F60">
        <v>14.999663353000001</v>
      </c>
      <c r="G60">
        <v>1336.6397704999999</v>
      </c>
      <c r="H60">
        <v>1334.9675293</v>
      </c>
      <c r="I60">
        <v>1325.4581298999999</v>
      </c>
      <c r="J60">
        <v>1323.4830322</v>
      </c>
      <c r="K60">
        <v>2400</v>
      </c>
      <c r="L60">
        <v>0</v>
      </c>
      <c r="M60">
        <v>0</v>
      </c>
      <c r="N60">
        <v>2400</v>
      </c>
    </row>
    <row r="61" spans="1:14" x14ac:dyDescent="0.25">
      <c r="A61">
        <v>0.80322899999999997</v>
      </c>
      <c r="B61" s="1">
        <f>DATE(2010,5,1) + TIME(19,16,38)</f>
        <v>40299.803217592591</v>
      </c>
      <c r="C61">
        <v>80</v>
      </c>
      <c r="D61">
        <v>64.158111571999996</v>
      </c>
      <c r="E61">
        <v>50</v>
      </c>
      <c r="F61">
        <v>14.99966526</v>
      </c>
      <c r="G61">
        <v>1336.6981201000001</v>
      </c>
      <c r="H61">
        <v>1335.0178223</v>
      </c>
      <c r="I61">
        <v>1325.4582519999999</v>
      </c>
      <c r="J61">
        <v>1323.4830322</v>
      </c>
      <c r="K61">
        <v>2400</v>
      </c>
      <c r="L61">
        <v>0</v>
      </c>
      <c r="M61">
        <v>0</v>
      </c>
      <c r="N61">
        <v>2400</v>
      </c>
    </row>
    <row r="62" spans="1:14" x14ac:dyDescent="0.25">
      <c r="A62">
        <v>0.82742800000000005</v>
      </c>
      <c r="B62" s="1">
        <f>DATE(2010,5,1) + TIME(19,51,29)</f>
        <v>40299.827418981484</v>
      </c>
      <c r="C62">
        <v>80</v>
      </c>
      <c r="D62">
        <v>65.115203856999997</v>
      </c>
      <c r="E62">
        <v>50</v>
      </c>
      <c r="F62">
        <v>14.999666213999999</v>
      </c>
      <c r="G62">
        <v>1336.7573242000001</v>
      </c>
      <c r="H62">
        <v>1335.0684814000001</v>
      </c>
      <c r="I62">
        <v>1325.458374</v>
      </c>
      <c r="J62">
        <v>1323.4830322</v>
      </c>
      <c r="K62">
        <v>2400</v>
      </c>
      <c r="L62">
        <v>0</v>
      </c>
      <c r="M62">
        <v>0</v>
      </c>
      <c r="N62">
        <v>2400</v>
      </c>
    </row>
    <row r="63" spans="1:14" x14ac:dyDescent="0.25">
      <c r="A63">
        <v>0.85271200000000003</v>
      </c>
      <c r="B63" s="1">
        <f>DATE(2010,5,1) + TIME(20,27,54)</f>
        <v>40299.852708333332</v>
      </c>
      <c r="C63">
        <v>80</v>
      </c>
      <c r="D63">
        <v>66.068756104000002</v>
      </c>
      <c r="E63">
        <v>50</v>
      </c>
      <c r="F63">
        <v>14.999668120999999</v>
      </c>
      <c r="G63">
        <v>1336.8175048999999</v>
      </c>
      <c r="H63">
        <v>1335.1196289</v>
      </c>
      <c r="I63">
        <v>1325.4584961</v>
      </c>
      <c r="J63">
        <v>1323.4830322</v>
      </c>
      <c r="K63">
        <v>2400</v>
      </c>
      <c r="L63">
        <v>0</v>
      </c>
      <c r="M63">
        <v>0</v>
      </c>
      <c r="N63">
        <v>2400</v>
      </c>
    </row>
    <row r="64" spans="1:14" x14ac:dyDescent="0.25">
      <c r="A64">
        <v>0.86596899999999999</v>
      </c>
      <c r="B64" s="1">
        <f>DATE(2010,5,1) + TIME(20,46,59)</f>
        <v>40299.865960648145</v>
      </c>
      <c r="C64">
        <v>80</v>
      </c>
      <c r="D64">
        <v>66.560043335000003</v>
      </c>
      <c r="E64">
        <v>50</v>
      </c>
      <c r="F64">
        <v>14.999668120999999</v>
      </c>
      <c r="G64">
        <v>1336.8854980000001</v>
      </c>
      <c r="H64">
        <v>1335.168457</v>
      </c>
      <c r="I64">
        <v>1325.4586182</v>
      </c>
      <c r="J64">
        <v>1323.4831543</v>
      </c>
      <c r="K64">
        <v>2400</v>
      </c>
      <c r="L64">
        <v>0</v>
      </c>
      <c r="M64">
        <v>0</v>
      </c>
      <c r="N64">
        <v>2400</v>
      </c>
    </row>
    <row r="65" spans="1:14" x14ac:dyDescent="0.25">
      <c r="A65">
        <v>0.87922699999999998</v>
      </c>
      <c r="B65" s="1">
        <f>DATE(2010,5,1) + TIME(21,6,5)</f>
        <v>40299.879224537035</v>
      </c>
      <c r="C65">
        <v>80</v>
      </c>
      <c r="D65">
        <v>67.038352966000005</v>
      </c>
      <c r="E65">
        <v>50</v>
      </c>
      <c r="F65">
        <v>14.999669075</v>
      </c>
      <c r="G65">
        <v>1336.9173584</v>
      </c>
      <c r="H65">
        <v>1335.1951904</v>
      </c>
      <c r="I65">
        <v>1325.4586182</v>
      </c>
      <c r="J65">
        <v>1323.4831543</v>
      </c>
      <c r="K65">
        <v>2400</v>
      </c>
      <c r="L65">
        <v>0</v>
      </c>
      <c r="M65">
        <v>0</v>
      </c>
      <c r="N65">
        <v>2400</v>
      </c>
    </row>
    <row r="66" spans="1:14" x14ac:dyDescent="0.25">
      <c r="A66">
        <v>0.89248499999999997</v>
      </c>
      <c r="B66" s="1">
        <f>DATE(2010,5,1) + TIME(21,25,10)</f>
        <v>40299.892476851855</v>
      </c>
      <c r="C66">
        <v>80</v>
      </c>
      <c r="D66">
        <v>67.503768921000002</v>
      </c>
      <c r="E66">
        <v>50</v>
      </c>
      <c r="F66">
        <v>14.999670029000001</v>
      </c>
      <c r="G66">
        <v>1336.9486084</v>
      </c>
      <c r="H66">
        <v>1335.2211914</v>
      </c>
      <c r="I66">
        <v>1325.4587402</v>
      </c>
      <c r="J66">
        <v>1323.4831543</v>
      </c>
      <c r="K66">
        <v>2400</v>
      </c>
      <c r="L66">
        <v>0</v>
      </c>
      <c r="M66">
        <v>0</v>
      </c>
      <c r="N66">
        <v>2400</v>
      </c>
    </row>
    <row r="67" spans="1:14" x14ac:dyDescent="0.25">
      <c r="A67">
        <v>0.90569299999999997</v>
      </c>
      <c r="B67" s="1">
        <f>DATE(2010,5,1) + TIME(21,44,11)</f>
        <v>40299.905682870369</v>
      </c>
      <c r="C67">
        <v>80</v>
      </c>
      <c r="D67">
        <v>67.954757689999994</v>
      </c>
      <c r="E67">
        <v>50</v>
      </c>
      <c r="F67">
        <v>14.999670982</v>
      </c>
      <c r="G67">
        <v>1336.9793701000001</v>
      </c>
      <c r="H67">
        <v>1335.2468262</v>
      </c>
      <c r="I67">
        <v>1325.4588623</v>
      </c>
      <c r="J67">
        <v>1323.4831543</v>
      </c>
      <c r="K67">
        <v>2400</v>
      </c>
      <c r="L67">
        <v>0</v>
      </c>
      <c r="M67">
        <v>0</v>
      </c>
      <c r="N67">
        <v>2400</v>
      </c>
    </row>
    <row r="68" spans="1:14" x14ac:dyDescent="0.25">
      <c r="A68">
        <v>0.91878899999999997</v>
      </c>
      <c r="B68" s="1">
        <f>DATE(2010,5,1) + TIME(22,3,3)</f>
        <v>40299.91878472222</v>
      </c>
      <c r="C68">
        <v>80</v>
      </c>
      <c r="D68">
        <v>68.389587402000004</v>
      </c>
      <c r="E68">
        <v>50</v>
      </c>
      <c r="F68">
        <v>14.999671936</v>
      </c>
      <c r="G68">
        <v>1337.0096435999999</v>
      </c>
      <c r="H68">
        <v>1335.2717285000001</v>
      </c>
      <c r="I68">
        <v>1325.4588623</v>
      </c>
      <c r="J68">
        <v>1323.4831543</v>
      </c>
      <c r="K68">
        <v>2400</v>
      </c>
      <c r="L68">
        <v>0</v>
      </c>
      <c r="M68">
        <v>0</v>
      </c>
      <c r="N68">
        <v>2400</v>
      </c>
    </row>
    <row r="69" spans="1:14" x14ac:dyDescent="0.25">
      <c r="A69">
        <v>0.93178499999999997</v>
      </c>
      <c r="B69" s="1">
        <f>DATE(2010,5,1) + TIME(22,21,46)</f>
        <v>40299.93178240741</v>
      </c>
      <c r="C69">
        <v>80</v>
      </c>
      <c r="D69">
        <v>68.809013367000006</v>
      </c>
      <c r="E69">
        <v>50</v>
      </c>
      <c r="F69">
        <v>14.999671936</v>
      </c>
      <c r="G69">
        <v>1337.0390625</v>
      </c>
      <c r="H69">
        <v>1335.2960204999999</v>
      </c>
      <c r="I69">
        <v>1325.4589844</v>
      </c>
      <c r="J69">
        <v>1323.4831543</v>
      </c>
      <c r="K69">
        <v>2400</v>
      </c>
      <c r="L69">
        <v>0</v>
      </c>
      <c r="M69">
        <v>0</v>
      </c>
      <c r="N69">
        <v>2400</v>
      </c>
    </row>
    <row r="70" spans="1:14" x14ac:dyDescent="0.25">
      <c r="A70">
        <v>0.94469000000000003</v>
      </c>
      <c r="B70" s="1">
        <f>DATE(2010,5,1) + TIME(22,40,21)</f>
        <v>40299.944687499999</v>
      </c>
      <c r="C70">
        <v>80</v>
      </c>
      <c r="D70">
        <v>69.213737488000007</v>
      </c>
      <c r="E70">
        <v>50</v>
      </c>
      <c r="F70">
        <v>14.999672889999999</v>
      </c>
      <c r="G70">
        <v>1337.067749</v>
      </c>
      <c r="H70">
        <v>1335.3194579999999</v>
      </c>
      <c r="I70">
        <v>1325.4589844</v>
      </c>
      <c r="J70">
        <v>1323.4831543</v>
      </c>
      <c r="K70">
        <v>2400</v>
      </c>
      <c r="L70">
        <v>0</v>
      </c>
      <c r="M70">
        <v>0</v>
      </c>
      <c r="N70">
        <v>2400</v>
      </c>
    </row>
    <row r="71" spans="1:14" x14ac:dyDescent="0.25">
      <c r="A71">
        <v>0.95751399999999998</v>
      </c>
      <c r="B71" s="1">
        <f>DATE(2010,5,1) + TIME(22,58,49)</f>
        <v>40299.957511574074</v>
      </c>
      <c r="C71">
        <v>80</v>
      </c>
      <c r="D71">
        <v>69.604431152000004</v>
      </c>
      <c r="E71">
        <v>50</v>
      </c>
      <c r="F71">
        <v>14.999673843</v>
      </c>
      <c r="G71">
        <v>1337.0957031</v>
      </c>
      <c r="H71">
        <v>1335.3424072</v>
      </c>
      <c r="I71">
        <v>1325.4591064000001</v>
      </c>
      <c r="J71">
        <v>1323.4831543</v>
      </c>
      <c r="K71">
        <v>2400</v>
      </c>
      <c r="L71">
        <v>0</v>
      </c>
      <c r="M71">
        <v>0</v>
      </c>
      <c r="N71">
        <v>2400</v>
      </c>
    </row>
    <row r="72" spans="1:14" x14ac:dyDescent="0.25">
      <c r="A72">
        <v>0.97026599999999996</v>
      </c>
      <c r="B72" s="1">
        <f>DATE(2010,5,1) + TIME(23,17,11)</f>
        <v>40299.970266203702</v>
      </c>
      <c r="C72">
        <v>80</v>
      </c>
      <c r="D72">
        <v>69.981704711999996</v>
      </c>
      <c r="E72">
        <v>50</v>
      </c>
      <c r="F72">
        <v>14.999674797000001</v>
      </c>
      <c r="G72">
        <v>1337.1229248</v>
      </c>
      <c r="H72">
        <v>1335.3645019999999</v>
      </c>
      <c r="I72">
        <v>1325.4591064000001</v>
      </c>
      <c r="J72">
        <v>1323.4831543</v>
      </c>
      <c r="K72">
        <v>2400</v>
      </c>
      <c r="L72">
        <v>0</v>
      </c>
      <c r="M72">
        <v>0</v>
      </c>
      <c r="N72">
        <v>2400</v>
      </c>
    </row>
    <row r="73" spans="1:14" x14ac:dyDescent="0.25">
      <c r="A73">
        <v>0.98295500000000002</v>
      </c>
      <c r="B73" s="1">
        <f>DATE(2010,5,1) + TIME(23,35,27)</f>
        <v>40299.982951388891</v>
      </c>
      <c r="C73">
        <v>80</v>
      </c>
      <c r="D73">
        <v>70.345878600999995</v>
      </c>
      <c r="E73">
        <v>50</v>
      </c>
      <c r="F73">
        <v>14.999674797000001</v>
      </c>
      <c r="G73">
        <v>1337.1494141000001</v>
      </c>
      <c r="H73">
        <v>1335.3861084</v>
      </c>
      <c r="I73">
        <v>1325.4592285000001</v>
      </c>
      <c r="J73">
        <v>1323.4831543</v>
      </c>
      <c r="K73">
        <v>2400</v>
      </c>
      <c r="L73">
        <v>0</v>
      </c>
      <c r="M73">
        <v>0</v>
      </c>
      <c r="N73">
        <v>2400</v>
      </c>
    </row>
    <row r="74" spans="1:14" x14ac:dyDescent="0.25">
      <c r="A74">
        <v>0.99558800000000003</v>
      </c>
      <c r="B74" s="1">
        <f>DATE(2010,5,1) + TIME(23,53,38)</f>
        <v>40299.995578703703</v>
      </c>
      <c r="C74">
        <v>80</v>
      </c>
      <c r="D74">
        <v>70.697723389000004</v>
      </c>
      <c r="E74">
        <v>50</v>
      </c>
      <c r="F74">
        <v>14.999675751</v>
      </c>
      <c r="G74">
        <v>1337.175293</v>
      </c>
      <c r="H74">
        <v>1335.4069824000001</v>
      </c>
      <c r="I74">
        <v>1325.4592285000001</v>
      </c>
      <c r="J74">
        <v>1323.4832764</v>
      </c>
      <c r="K74">
        <v>2400</v>
      </c>
      <c r="L74">
        <v>0</v>
      </c>
      <c r="M74">
        <v>0</v>
      </c>
      <c r="N74">
        <v>2400</v>
      </c>
    </row>
    <row r="75" spans="1:14" x14ac:dyDescent="0.25">
      <c r="A75">
        <v>1.0081739999999999</v>
      </c>
      <c r="B75" s="1">
        <f>DATE(2010,5,2) + TIME(0,11,46)</f>
        <v>40300.008171296293</v>
      </c>
      <c r="C75">
        <v>80</v>
      </c>
      <c r="D75">
        <v>71.037765503000003</v>
      </c>
      <c r="E75">
        <v>50</v>
      </c>
      <c r="F75">
        <v>14.999676704000001</v>
      </c>
      <c r="G75">
        <v>1337.2006836</v>
      </c>
      <c r="H75">
        <v>1335.4274902</v>
      </c>
      <c r="I75">
        <v>1325.4593506000001</v>
      </c>
      <c r="J75">
        <v>1323.4832764</v>
      </c>
      <c r="K75">
        <v>2400</v>
      </c>
      <c r="L75">
        <v>0</v>
      </c>
      <c r="M75">
        <v>0</v>
      </c>
      <c r="N75">
        <v>2400</v>
      </c>
    </row>
    <row r="76" spans="1:14" x14ac:dyDescent="0.25">
      <c r="A76">
        <v>1.0207189999999999</v>
      </c>
      <c r="B76" s="1">
        <f>DATE(2010,5,2) + TIME(0,29,50)</f>
        <v>40300.02071759259</v>
      </c>
      <c r="C76">
        <v>80</v>
      </c>
      <c r="D76">
        <v>71.366470336999996</v>
      </c>
      <c r="E76">
        <v>50</v>
      </c>
      <c r="F76">
        <v>14.999676704000001</v>
      </c>
      <c r="G76">
        <v>1337.2253418</v>
      </c>
      <c r="H76">
        <v>1335.4472656</v>
      </c>
      <c r="I76">
        <v>1325.4593506000001</v>
      </c>
      <c r="J76">
        <v>1323.4832764</v>
      </c>
      <c r="K76">
        <v>2400</v>
      </c>
      <c r="L76">
        <v>0</v>
      </c>
      <c r="M76">
        <v>0</v>
      </c>
      <c r="N76">
        <v>2400</v>
      </c>
    </row>
    <row r="77" spans="1:14" x14ac:dyDescent="0.25">
      <c r="A77">
        <v>1.033231</v>
      </c>
      <c r="B77" s="1">
        <f>DATE(2010,5,2) + TIME(0,47,51)</f>
        <v>40300.033229166664</v>
      </c>
      <c r="C77">
        <v>80</v>
      </c>
      <c r="D77">
        <v>71.684288025000001</v>
      </c>
      <c r="E77">
        <v>50</v>
      </c>
      <c r="F77">
        <v>14.999677658</v>
      </c>
      <c r="G77">
        <v>1337.2493896000001</v>
      </c>
      <c r="H77">
        <v>1335.4665527</v>
      </c>
      <c r="I77">
        <v>1325.4594727000001</v>
      </c>
      <c r="J77">
        <v>1323.4832764</v>
      </c>
      <c r="K77">
        <v>2400</v>
      </c>
      <c r="L77">
        <v>0</v>
      </c>
      <c r="M77">
        <v>0</v>
      </c>
      <c r="N77">
        <v>2400</v>
      </c>
    </row>
    <row r="78" spans="1:14" x14ac:dyDescent="0.25">
      <c r="A78">
        <v>1.0457179999999999</v>
      </c>
      <c r="B78" s="1">
        <f>DATE(2010,5,2) + TIME(1,5,50)</f>
        <v>40300.045717592591</v>
      </c>
      <c r="C78">
        <v>80</v>
      </c>
      <c r="D78">
        <v>71.991630553999997</v>
      </c>
      <c r="E78">
        <v>50</v>
      </c>
      <c r="F78">
        <v>14.999678612</v>
      </c>
      <c r="G78">
        <v>1337.2729492000001</v>
      </c>
      <c r="H78">
        <v>1335.4853516000001</v>
      </c>
      <c r="I78">
        <v>1325.4594727000001</v>
      </c>
      <c r="J78">
        <v>1323.4832764</v>
      </c>
      <c r="K78">
        <v>2400</v>
      </c>
      <c r="L78">
        <v>0</v>
      </c>
      <c r="M78">
        <v>0</v>
      </c>
      <c r="N78">
        <v>2400</v>
      </c>
    </row>
    <row r="79" spans="1:14" x14ac:dyDescent="0.25">
      <c r="A79">
        <v>1.0581849999999999</v>
      </c>
      <c r="B79" s="1">
        <f>DATE(2010,5,2) + TIME(1,23,47)</f>
        <v>40300.058182870373</v>
      </c>
      <c r="C79">
        <v>80</v>
      </c>
      <c r="D79">
        <v>72.288856506000002</v>
      </c>
      <c r="E79">
        <v>50</v>
      </c>
      <c r="F79">
        <v>14.999679564999999</v>
      </c>
      <c r="G79">
        <v>1337.2947998</v>
      </c>
      <c r="H79">
        <v>1335.5026855000001</v>
      </c>
      <c r="I79">
        <v>1325.4594727000001</v>
      </c>
      <c r="J79">
        <v>1323.4832764</v>
      </c>
      <c r="K79">
        <v>2400</v>
      </c>
      <c r="L79">
        <v>0</v>
      </c>
      <c r="M79">
        <v>0</v>
      </c>
      <c r="N79">
        <v>2400</v>
      </c>
    </row>
    <row r="80" spans="1:14" x14ac:dyDescent="0.25">
      <c r="A80">
        <v>1.070641</v>
      </c>
      <c r="B80" s="1">
        <f>DATE(2010,5,2) + TIME(1,41,43)</f>
        <v>40300.070636574077</v>
      </c>
      <c r="C80">
        <v>80</v>
      </c>
      <c r="D80">
        <v>72.576370238999999</v>
      </c>
      <c r="E80">
        <v>50</v>
      </c>
      <c r="F80">
        <v>14.999679564999999</v>
      </c>
      <c r="G80">
        <v>1337.3157959</v>
      </c>
      <c r="H80">
        <v>1335.5192870999999</v>
      </c>
      <c r="I80">
        <v>1325.4595947</v>
      </c>
      <c r="J80">
        <v>1323.4832764</v>
      </c>
      <c r="K80">
        <v>2400</v>
      </c>
      <c r="L80">
        <v>0</v>
      </c>
      <c r="M80">
        <v>0</v>
      </c>
      <c r="N80">
        <v>2400</v>
      </c>
    </row>
    <row r="81" spans="1:14" x14ac:dyDescent="0.25">
      <c r="A81">
        <v>1.0830930000000001</v>
      </c>
      <c r="B81" s="1">
        <f>DATE(2010,5,2) + TIME(1,59,39)</f>
        <v>40300.083090277774</v>
      </c>
      <c r="C81">
        <v>80</v>
      </c>
      <c r="D81">
        <v>72.854537964000002</v>
      </c>
      <c r="E81">
        <v>50</v>
      </c>
      <c r="F81">
        <v>14.999680519</v>
      </c>
      <c r="G81">
        <v>1337.3363036999999</v>
      </c>
      <c r="H81">
        <v>1335.5355225000001</v>
      </c>
      <c r="I81">
        <v>1325.4595947</v>
      </c>
      <c r="J81">
        <v>1323.4832764</v>
      </c>
      <c r="K81">
        <v>2400</v>
      </c>
      <c r="L81">
        <v>0</v>
      </c>
      <c r="M81">
        <v>0</v>
      </c>
      <c r="N81">
        <v>2400</v>
      </c>
    </row>
    <row r="82" spans="1:14" x14ac:dyDescent="0.25">
      <c r="A82">
        <v>1.0955440000000001</v>
      </c>
      <c r="B82" s="1">
        <f>DATE(2010,5,2) + TIME(2,17,35)</f>
        <v>40300.095543981479</v>
      </c>
      <c r="C82">
        <v>80</v>
      </c>
      <c r="D82">
        <v>73.123649596999996</v>
      </c>
      <c r="E82">
        <v>50</v>
      </c>
      <c r="F82">
        <v>14.999680519</v>
      </c>
      <c r="G82">
        <v>1337.3563231999999</v>
      </c>
      <c r="H82">
        <v>1335.5513916</v>
      </c>
      <c r="I82">
        <v>1325.4597168</v>
      </c>
      <c r="J82">
        <v>1323.4832764</v>
      </c>
      <c r="K82">
        <v>2400</v>
      </c>
      <c r="L82">
        <v>0</v>
      </c>
      <c r="M82">
        <v>0</v>
      </c>
      <c r="N82">
        <v>2400</v>
      </c>
    </row>
    <row r="83" spans="1:14" x14ac:dyDescent="0.25">
      <c r="A83">
        <v>1.107996</v>
      </c>
      <c r="B83" s="1">
        <f>DATE(2010,5,2) + TIME(2,35,30)</f>
        <v>40300.107986111114</v>
      </c>
      <c r="C83">
        <v>80</v>
      </c>
      <c r="D83">
        <v>73.383918761999993</v>
      </c>
      <c r="E83">
        <v>50</v>
      </c>
      <c r="F83">
        <v>14.999681473000001</v>
      </c>
      <c r="G83">
        <v>1337.3759766000001</v>
      </c>
      <c r="H83">
        <v>1335.5667725000001</v>
      </c>
      <c r="I83">
        <v>1325.4597168</v>
      </c>
      <c r="J83">
        <v>1323.4832764</v>
      </c>
      <c r="K83">
        <v>2400</v>
      </c>
      <c r="L83">
        <v>0</v>
      </c>
      <c r="M83">
        <v>0</v>
      </c>
      <c r="N83">
        <v>2400</v>
      </c>
    </row>
    <row r="84" spans="1:14" x14ac:dyDescent="0.25">
      <c r="A84">
        <v>1.120447</v>
      </c>
      <c r="B84" s="1">
        <f>DATE(2010,5,2) + TIME(2,53,26)</f>
        <v>40300.120439814818</v>
      </c>
      <c r="C84">
        <v>80</v>
      </c>
      <c r="D84">
        <v>73.635543823000006</v>
      </c>
      <c r="E84">
        <v>50</v>
      </c>
      <c r="F84">
        <v>14.999682426</v>
      </c>
      <c r="G84">
        <v>1337.3952637</v>
      </c>
      <c r="H84">
        <v>1335.5817870999999</v>
      </c>
      <c r="I84">
        <v>1325.4598389</v>
      </c>
      <c r="J84">
        <v>1323.4832764</v>
      </c>
      <c r="K84">
        <v>2400</v>
      </c>
      <c r="L84">
        <v>0</v>
      </c>
      <c r="M84">
        <v>0</v>
      </c>
      <c r="N84">
        <v>2400</v>
      </c>
    </row>
    <row r="85" spans="1:14" x14ac:dyDescent="0.25">
      <c r="A85">
        <v>1.1328990000000001</v>
      </c>
      <c r="B85" s="1">
        <f>DATE(2010,5,2) + TIME(3,11,22)</f>
        <v>40300.132893518516</v>
      </c>
      <c r="C85">
        <v>80</v>
      </c>
      <c r="D85">
        <v>73.878730774000005</v>
      </c>
      <c r="E85">
        <v>50</v>
      </c>
      <c r="F85">
        <v>14.999682426</v>
      </c>
      <c r="G85">
        <v>1337.4140625</v>
      </c>
      <c r="H85">
        <v>1335.5964355000001</v>
      </c>
      <c r="I85">
        <v>1325.4598389</v>
      </c>
      <c r="J85">
        <v>1323.4832764</v>
      </c>
      <c r="K85">
        <v>2400</v>
      </c>
      <c r="L85">
        <v>0</v>
      </c>
      <c r="M85">
        <v>0</v>
      </c>
      <c r="N85">
        <v>2400</v>
      </c>
    </row>
    <row r="86" spans="1:14" x14ac:dyDescent="0.25">
      <c r="A86">
        <v>1.1453500000000001</v>
      </c>
      <c r="B86" s="1">
        <f>DATE(2010,5,2) + TIME(3,29,18)</f>
        <v>40300.14534722222</v>
      </c>
      <c r="C86">
        <v>80</v>
      </c>
      <c r="D86">
        <v>74.113670349000003</v>
      </c>
      <c r="E86">
        <v>50</v>
      </c>
      <c r="F86">
        <v>14.99968338</v>
      </c>
      <c r="G86">
        <v>1337.4324951000001</v>
      </c>
      <c r="H86">
        <v>1335.6107178</v>
      </c>
      <c r="I86">
        <v>1325.4598389</v>
      </c>
      <c r="J86">
        <v>1323.4832764</v>
      </c>
      <c r="K86">
        <v>2400</v>
      </c>
      <c r="L86">
        <v>0</v>
      </c>
      <c r="M86">
        <v>0</v>
      </c>
      <c r="N86">
        <v>2400</v>
      </c>
    </row>
    <row r="87" spans="1:14" x14ac:dyDescent="0.25">
      <c r="A87">
        <v>1.157802</v>
      </c>
      <c r="B87" s="1">
        <f>DATE(2010,5,2) + TIME(3,47,14)</f>
        <v>40300.157800925925</v>
      </c>
      <c r="C87">
        <v>80</v>
      </c>
      <c r="D87">
        <v>74.340576171999999</v>
      </c>
      <c r="E87">
        <v>50</v>
      </c>
      <c r="F87">
        <v>14.999684333999999</v>
      </c>
      <c r="G87">
        <v>1337.4504394999999</v>
      </c>
      <c r="H87">
        <v>1335.6245117000001</v>
      </c>
      <c r="I87">
        <v>1325.4599608999999</v>
      </c>
      <c r="J87">
        <v>1323.4833983999999</v>
      </c>
      <c r="K87">
        <v>2400</v>
      </c>
      <c r="L87">
        <v>0</v>
      </c>
      <c r="M87">
        <v>0</v>
      </c>
      <c r="N87">
        <v>2400</v>
      </c>
    </row>
    <row r="88" spans="1:14" x14ac:dyDescent="0.25">
      <c r="A88">
        <v>1.1702539999999999</v>
      </c>
      <c r="B88" s="1">
        <f>DATE(2010,5,2) + TIME(4,5,9)</f>
        <v>40300.170243055552</v>
      </c>
      <c r="C88">
        <v>80</v>
      </c>
      <c r="D88">
        <v>74.559654236</v>
      </c>
      <c r="E88">
        <v>50</v>
      </c>
      <c r="F88">
        <v>14.999684333999999</v>
      </c>
      <c r="G88">
        <v>1337.4680175999999</v>
      </c>
      <c r="H88">
        <v>1335.6380615</v>
      </c>
      <c r="I88">
        <v>1325.4599608999999</v>
      </c>
      <c r="J88">
        <v>1323.4833983999999</v>
      </c>
      <c r="K88">
        <v>2400</v>
      </c>
      <c r="L88">
        <v>0</v>
      </c>
      <c r="M88">
        <v>0</v>
      </c>
      <c r="N88">
        <v>2400</v>
      </c>
    </row>
    <row r="89" spans="1:14" x14ac:dyDescent="0.25">
      <c r="A89">
        <v>1.1827049999999999</v>
      </c>
      <c r="B89" s="1">
        <f>DATE(2010,5,2) + TIME(4,23,5)</f>
        <v>40300.182696759257</v>
      </c>
      <c r="C89">
        <v>80</v>
      </c>
      <c r="D89">
        <v>74.771102905000006</v>
      </c>
      <c r="E89">
        <v>50</v>
      </c>
      <c r="F89">
        <v>14.999685287</v>
      </c>
      <c r="G89">
        <v>1337.4852295000001</v>
      </c>
      <c r="H89">
        <v>1335.6511230000001</v>
      </c>
      <c r="I89">
        <v>1325.4600829999999</v>
      </c>
      <c r="J89">
        <v>1323.4833983999999</v>
      </c>
      <c r="K89">
        <v>2400</v>
      </c>
      <c r="L89">
        <v>0</v>
      </c>
      <c r="M89">
        <v>0</v>
      </c>
      <c r="N89">
        <v>2400</v>
      </c>
    </row>
    <row r="90" spans="1:14" x14ac:dyDescent="0.25">
      <c r="A90">
        <v>1.207608</v>
      </c>
      <c r="B90" s="1">
        <f>DATE(2010,5,2) + TIME(4,58,57)</f>
        <v>40300.207604166666</v>
      </c>
      <c r="C90">
        <v>80</v>
      </c>
      <c r="D90">
        <v>75.163299561000002</v>
      </c>
      <c r="E90">
        <v>50</v>
      </c>
      <c r="F90">
        <v>14.999686240999999</v>
      </c>
      <c r="G90">
        <v>1337.4989014</v>
      </c>
      <c r="H90">
        <v>1335.6652832</v>
      </c>
      <c r="I90">
        <v>1325.4600829999999</v>
      </c>
      <c r="J90">
        <v>1323.4833983999999</v>
      </c>
      <c r="K90">
        <v>2400</v>
      </c>
      <c r="L90">
        <v>0</v>
      </c>
      <c r="M90">
        <v>0</v>
      </c>
      <c r="N90">
        <v>2400</v>
      </c>
    </row>
    <row r="91" spans="1:14" x14ac:dyDescent="0.25">
      <c r="A91">
        <v>1.232513</v>
      </c>
      <c r="B91" s="1">
        <f>DATE(2010,5,2) + TIME(5,34,49)</f>
        <v>40300.232511574075</v>
      </c>
      <c r="C91">
        <v>80</v>
      </c>
      <c r="D91">
        <v>75.528465271000002</v>
      </c>
      <c r="E91">
        <v>50</v>
      </c>
      <c r="F91">
        <v>14.999687195</v>
      </c>
      <c r="G91">
        <v>1337.5308838000001</v>
      </c>
      <c r="H91">
        <v>1335.6892089999999</v>
      </c>
      <c r="I91">
        <v>1325.4602050999999</v>
      </c>
      <c r="J91">
        <v>1323.4833983999999</v>
      </c>
      <c r="K91">
        <v>2400</v>
      </c>
      <c r="L91">
        <v>0</v>
      </c>
      <c r="M91">
        <v>0</v>
      </c>
      <c r="N91">
        <v>2400</v>
      </c>
    </row>
    <row r="92" spans="1:14" x14ac:dyDescent="0.25">
      <c r="A92">
        <v>1.257681</v>
      </c>
      <c r="B92" s="1">
        <f>DATE(2010,5,2) + TIME(6,11,3)</f>
        <v>40300.257673611108</v>
      </c>
      <c r="C92">
        <v>80</v>
      </c>
      <c r="D92">
        <v>75.871505737000007</v>
      </c>
      <c r="E92">
        <v>50</v>
      </c>
      <c r="F92">
        <v>14.999688148000001</v>
      </c>
      <c r="G92">
        <v>1337.5612793</v>
      </c>
      <c r="H92">
        <v>1335.7117920000001</v>
      </c>
      <c r="I92">
        <v>1325.4602050999999</v>
      </c>
      <c r="J92">
        <v>1323.4833983999999</v>
      </c>
      <c r="K92">
        <v>2400</v>
      </c>
      <c r="L92">
        <v>0</v>
      </c>
      <c r="M92">
        <v>0</v>
      </c>
      <c r="N92">
        <v>2400</v>
      </c>
    </row>
    <row r="93" spans="1:14" x14ac:dyDescent="0.25">
      <c r="A93">
        <v>1.283148</v>
      </c>
      <c r="B93" s="1">
        <f>DATE(2010,5,2) + TIME(6,47,43)</f>
        <v>40300.283136574071</v>
      </c>
      <c r="C93">
        <v>80</v>
      </c>
      <c r="D93">
        <v>76.193496703999998</v>
      </c>
      <c r="E93">
        <v>50</v>
      </c>
      <c r="F93">
        <v>14.999689102</v>
      </c>
      <c r="G93">
        <v>1337.588501</v>
      </c>
      <c r="H93">
        <v>1335.7316894999999</v>
      </c>
      <c r="I93">
        <v>1325.4603271000001</v>
      </c>
      <c r="J93">
        <v>1323.4833983999999</v>
      </c>
      <c r="K93">
        <v>2400</v>
      </c>
      <c r="L93">
        <v>0</v>
      </c>
      <c r="M93">
        <v>0</v>
      </c>
      <c r="N93">
        <v>2400</v>
      </c>
    </row>
    <row r="94" spans="1:14" x14ac:dyDescent="0.25">
      <c r="A94">
        <v>1.308964</v>
      </c>
      <c r="B94" s="1">
        <f>DATE(2010,5,2) + TIME(7,24,54)</f>
        <v>40300.308958333335</v>
      </c>
      <c r="C94">
        <v>80</v>
      </c>
      <c r="D94">
        <v>76.495628357000001</v>
      </c>
      <c r="E94">
        <v>50</v>
      </c>
      <c r="F94">
        <v>14.999691009999999</v>
      </c>
      <c r="G94">
        <v>1337.6131591999999</v>
      </c>
      <c r="H94">
        <v>1335.7495117000001</v>
      </c>
      <c r="I94">
        <v>1325.4604492000001</v>
      </c>
      <c r="J94">
        <v>1323.4835204999999</v>
      </c>
      <c r="K94">
        <v>2400</v>
      </c>
      <c r="L94">
        <v>0</v>
      </c>
      <c r="M94">
        <v>0</v>
      </c>
      <c r="N94">
        <v>2400</v>
      </c>
    </row>
    <row r="95" spans="1:14" x14ac:dyDescent="0.25">
      <c r="A95">
        <v>1.3351770000000001</v>
      </c>
      <c r="B95" s="1">
        <f>DATE(2010,5,2) + TIME(8,2,39)</f>
        <v>40300.335173611114</v>
      </c>
      <c r="C95">
        <v>80</v>
      </c>
      <c r="D95">
        <v>76.778991699000002</v>
      </c>
      <c r="E95">
        <v>50</v>
      </c>
      <c r="F95">
        <v>14.999691963</v>
      </c>
      <c r="G95">
        <v>1337.6367187999999</v>
      </c>
      <c r="H95">
        <v>1335.7663574000001</v>
      </c>
      <c r="I95">
        <v>1325.4604492000001</v>
      </c>
      <c r="J95">
        <v>1323.4835204999999</v>
      </c>
      <c r="K95">
        <v>2400</v>
      </c>
      <c r="L95">
        <v>0</v>
      </c>
      <c r="M95">
        <v>0</v>
      </c>
      <c r="N95">
        <v>2400</v>
      </c>
    </row>
    <row r="96" spans="1:14" x14ac:dyDescent="0.25">
      <c r="A96">
        <v>1.361834</v>
      </c>
      <c r="B96" s="1">
        <f>DATE(2010,5,2) + TIME(8,41,2)</f>
        <v>40300.361828703702</v>
      </c>
      <c r="C96">
        <v>80</v>
      </c>
      <c r="D96">
        <v>77.044578552000004</v>
      </c>
      <c r="E96">
        <v>50</v>
      </c>
      <c r="F96">
        <v>14.999692917000001</v>
      </c>
      <c r="G96">
        <v>1337.6594238</v>
      </c>
      <c r="H96">
        <v>1335.7824707</v>
      </c>
      <c r="I96">
        <v>1325.4605713000001</v>
      </c>
      <c r="J96">
        <v>1323.4835204999999</v>
      </c>
      <c r="K96">
        <v>2400</v>
      </c>
      <c r="L96">
        <v>0</v>
      </c>
      <c r="M96">
        <v>0</v>
      </c>
      <c r="N96">
        <v>2400</v>
      </c>
    </row>
    <row r="97" spans="1:14" x14ac:dyDescent="0.25">
      <c r="A97">
        <v>1.388989</v>
      </c>
      <c r="B97" s="1">
        <f>DATE(2010,5,2) + TIME(9,20,8)</f>
        <v>40300.388981481483</v>
      </c>
      <c r="C97">
        <v>80</v>
      </c>
      <c r="D97">
        <v>77.293350219999994</v>
      </c>
      <c r="E97">
        <v>50</v>
      </c>
      <c r="F97">
        <v>14.999693871</v>
      </c>
      <c r="G97">
        <v>1337.6812743999999</v>
      </c>
      <c r="H97">
        <v>1335.7976074000001</v>
      </c>
      <c r="I97">
        <v>1325.4606934000001</v>
      </c>
      <c r="J97">
        <v>1323.4835204999999</v>
      </c>
      <c r="K97">
        <v>2400</v>
      </c>
      <c r="L97">
        <v>0</v>
      </c>
      <c r="M97">
        <v>0</v>
      </c>
      <c r="N97">
        <v>2400</v>
      </c>
    </row>
    <row r="98" spans="1:14" x14ac:dyDescent="0.25">
      <c r="A98">
        <v>1.416698</v>
      </c>
      <c r="B98" s="1">
        <f>DATE(2010,5,2) + TIME(10,0,2)</f>
        <v>40300.416689814818</v>
      </c>
      <c r="C98">
        <v>80</v>
      </c>
      <c r="D98">
        <v>77.526184082</v>
      </c>
      <c r="E98">
        <v>50</v>
      </c>
      <c r="F98">
        <v>14.999694824000001</v>
      </c>
      <c r="G98">
        <v>1337.7021483999999</v>
      </c>
      <c r="H98">
        <v>1335.8121338000001</v>
      </c>
      <c r="I98">
        <v>1325.4606934000001</v>
      </c>
      <c r="J98">
        <v>1323.4835204999999</v>
      </c>
      <c r="K98">
        <v>2400</v>
      </c>
      <c r="L98">
        <v>0</v>
      </c>
      <c r="M98">
        <v>0</v>
      </c>
      <c r="N98">
        <v>2400</v>
      </c>
    </row>
    <row r="99" spans="1:14" x14ac:dyDescent="0.25">
      <c r="A99">
        <v>1.4450099999999999</v>
      </c>
      <c r="B99" s="1">
        <f>DATE(2010,5,2) + TIME(10,40,48)</f>
        <v>40300.445</v>
      </c>
      <c r="C99">
        <v>80</v>
      </c>
      <c r="D99">
        <v>77.743812560999999</v>
      </c>
      <c r="E99">
        <v>50</v>
      </c>
      <c r="F99">
        <v>14.999695778</v>
      </c>
      <c r="G99">
        <v>1337.722168</v>
      </c>
      <c r="H99">
        <v>1335.8256836</v>
      </c>
      <c r="I99">
        <v>1325.4608154</v>
      </c>
      <c r="J99">
        <v>1323.4836425999999</v>
      </c>
      <c r="K99">
        <v>2400</v>
      </c>
      <c r="L99">
        <v>0</v>
      </c>
      <c r="M99">
        <v>0</v>
      </c>
      <c r="N99">
        <v>2400</v>
      </c>
    </row>
    <row r="100" spans="1:14" x14ac:dyDescent="0.25">
      <c r="A100">
        <v>1.4739880000000001</v>
      </c>
      <c r="B100" s="1">
        <f>DATE(2010,5,2) + TIME(11,22,32)</f>
        <v>40300.473981481482</v>
      </c>
      <c r="C100">
        <v>80</v>
      </c>
      <c r="D100">
        <v>77.946998596</v>
      </c>
      <c r="E100">
        <v>50</v>
      </c>
      <c r="F100">
        <v>14.999696732</v>
      </c>
      <c r="G100">
        <v>1337.7413329999999</v>
      </c>
      <c r="H100">
        <v>1335.8386230000001</v>
      </c>
      <c r="I100">
        <v>1325.4608154</v>
      </c>
      <c r="J100">
        <v>1323.4836425999999</v>
      </c>
      <c r="K100">
        <v>2400</v>
      </c>
      <c r="L100">
        <v>0</v>
      </c>
      <c r="M100">
        <v>0</v>
      </c>
      <c r="N100">
        <v>2400</v>
      </c>
    </row>
    <row r="101" spans="1:14" x14ac:dyDescent="0.25">
      <c r="A101">
        <v>1.5036959999999999</v>
      </c>
      <c r="B101" s="1">
        <f>DATE(2010,5,2) + TIME(12,5,19)</f>
        <v>40300.503692129627</v>
      </c>
      <c r="C101">
        <v>80</v>
      </c>
      <c r="D101">
        <v>78.136451721</v>
      </c>
      <c r="E101">
        <v>50</v>
      </c>
      <c r="F101">
        <v>14.999698639</v>
      </c>
      <c r="G101">
        <v>1337.7596435999999</v>
      </c>
      <c r="H101">
        <v>1335.8508300999999</v>
      </c>
      <c r="I101">
        <v>1325.4609375</v>
      </c>
      <c r="J101">
        <v>1323.4836425999999</v>
      </c>
      <c r="K101">
        <v>2400</v>
      </c>
      <c r="L101">
        <v>0</v>
      </c>
      <c r="M101">
        <v>0</v>
      </c>
      <c r="N101">
        <v>2400</v>
      </c>
    </row>
    <row r="102" spans="1:14" x14ac:dyDescent="0.25">
      <c r="A102">
        <v>1.534208</v>
      </c>
      <c r="B102" s="1">
        <f>DATE(2010,5,2) + TIME(12,49,15)</f>
        <v>40300.534201388888</v>
      </c>
      <c r="C102">
        <v>80</v>
      </c>
      <c r="D102">
        <v>78.312858582000004</v>
      </c>
      <c r="E102">
        <v>50</v>
      </c>
      <c r="F102">
        <v>14.999699593000001</v>
      </c>
      <c r="G102">
        <v>1337.7772216999999</v>
      </c>
      <c r="H102">
        <v>1335.8621826000001</v>
      </c>
      <c r="I102">
        <v>1325.4610596</v>
      </c>
      <c r="J102">
        <v>1323.4836425999999</v>
      </c>
      <c r="K102">
        <v>2400</v>
      </c>
      <c r="L102">
        <v>0</v>
      </c>
      <c r="M102">
        <v>0</v>
      </c>
      <c r="N102">
        <v>2400</v>
      </c>
    </row>
    <row r="103" spans="1:14" x14ac:dyDescent="0.25">
      <c r="A103">
        <v>1.565604</v>
      </c>
      <c r="B103" s="1">
        <f>DATE(2010,5,2) + TIME(13,34,28)</f>
        <v>40300.565601851849</v>
      </c>
      <c r="C103">
        <v>80</v>
      </c>
      <c r="D103">
        <v>78.476860045999999</v>
      </c>
      <c r="E103">
        <v>50</v>
      </c>
      <c r="F103">
        <v>14.999700546</v>
      </c>
      <c r="G103">
        <v>1337.7938231999999</v>
      </c>
      <c r="H103">
        <v>1335.8728027</v>
      </c>
      <c r="I103">
        <v>1325.4610596</v>
      </c>
      <c r="J103">
        <v>1323.4836425999999</v>
      </c>
      <c r="K103">
        <v>2400</v>
      </c>
      <c r="L103">
        <v>0</v>
      </c>
      <c r="M103">
        <v>0</v>
      </c>
      <c r="N103">
        <v>2400</v>
      </c>
    </row>
    <row r="104" spans="1:14" x14ac:dyDescent="0.25">
      <c r="A104">
        <v>1.5979890000000001</v>
      </c>
      <c r="B104" s="1">
        <f>DATE(2010,5,2) + TIME(14,21,6)</f>
        <v>40300.597986111112</v>
      </c>
      <c r="C104">
        <v>80</v>
      </c>
      <c r="D104">
        <v>78.629112243999998</v>
      </c>
      <c r="E104">
        <v>50</v>
      </c>
      <c r="F104">
        <v>14.9997015</v>
      </c>
      <c r="G104">
        <v>1337.8096923999999</v>
      </c>
      <c r="H104">
        <v>1335.8826904</v>
      </c>
      <c r="I104">
        <v>1325.4611815999999</v>
      </c>
      <c r="J104">
        <v>1323.4837646000001</v>
      </c>
      <c r="K104">
        <v>2400</v>
      </c>
      <c r="L104">
        <v>0</v>
      </c>
      <c r="M104">
        <v>0</v>
      </c>
      <c r="N104">
        <v>2400</v>
      </c>
    </row>
    <row r="105" spans="1:14" x14ac:dyDescent="0.25">
      <c r="A105">
        <v>1.6314690000000001</v>
      </c>
      <c r="B105" s="1">
        <f>DATE(2010,5,2) + TIME(15,9,18)</f>
        <v>40300.631458333337</v>
      </c>
      <c r="C105">
        <v>80</v>
      </c>
      <c r="D105">
        <v>78.770179748999993</v>
      </c>
      <c r="E105">
        <v>50</v>
      </c>
      <c r="F105">
        <v>14.999702453999999</v>
      </c>
      <c r="G105">
        <v>1337.8220214999999</v>
      </c>
      <c r="H105">
        <v>1335.8898925999999</v>
      </c>
      <c r="I105">
        <v>1325.4611815999999</v>
      </c>
      <c r="J105">
        <v>1323.4837646000001</v>
      </c>
      <c r="K105">
        <v>2400</v>
      </c>
      <c r="L105">
        <v>0</v>
      </c>
      <c r="M105">
        <v>0</v>
      </c>
      <c r="N105">
        <v>2400</v>
      </c>
    </row>
    <row r="106" spans="1:14" x14ac:dyDescent="0.25">
      <c r="A106">
        <v>1.665899</v>
      </c>
      <c r="B106" s="1">
        <f>DATE(2010,5,2) + TIME(15,58,53)</f>
        <v>40300.665891203702</v>
      </c>
      <c r="C106">
        <v>80</v>
      </c>
      <c r="D106">
        <v>78.899719238000003</v>
      </c>
      <c r="E106">
        <v>50</v>
      </c>
      <c r="F106">
        <v>14.999703407</v>
      </c>
      <c r="G106">
        <v>1337.8326416</v>
      </c>
      <c r="H106">
        <v>1335.8955077999999</v>
      </c>
      <c r="I106">
        <v>1325.4613036999999</v>
      </c>
      <c r="J106">
        <v>1323.4837646000001</v>
      </c>
      <c r="K106">
        <v>2400</v>
      </c>
      <c r="L106">
        <v>0</v>
      </c>
      <c r="M106">
        <v>0</v>
      </c>
      <c r="N106">
        <v>2400</v>
      </c>
    </row>
    <row r="107" spans="1:14" x14ac:dyDescent="0.25">
      <c r="A107">
        <v>1.7013229999999999</v>
      </c>
      <c r="B107" s="1">
        <f>DATE(2010,5,2) + TIME(16,49,54)</f>
        <v>40300.701319444444</v>
      </c>
      <c r="C107">
        <v>80</v>
      </c>
      <c r="D107">
        <v>79.018302917</v>
      </c>
      <c r="E107">
        <v>50</v>
      </c>
      <c r="F107">
        <v>14.999705315</v>
      </c>
      <c r="G107">
        <v>1337.8424072</v>
      </c>
      <c r="H107">
        <v>1335.9006348</v>
      </c>
      <c r="I107">
        <v>1325.4614257999999</v>
      </c>
      <c r="J107">
        <v>1323.4837646000001</v>
      </c>
      <c r="K107">
        <v>2400</v>
      </c>
      <c r="L107">
        <v>0</v>
      </c>
      <c r="M107">
        <v>0</v>
      </c>
      <c r="N107">
        <v>2400</v>
      </c>
    </row>
    <row r="108" spans="1:14" x14ac:dyDescent="0.25">
      <c r="A108">
        <v>1.7378389999999999</v>
      </c>
      <c r="B108" s="1">
        <f>DATE(2010,5,2) + TIME(17,42,29)</f>
        <v>40300.737835648149</v>
      </c>
      <c r="C108">
        <v>80</v>
      </c>
      <c r="D108">
        <v>79.126625060999999</v>
      </c>
      <c r="E108">
        <v>50</v>
      </c>
      <c r="F108">
        <v>14.999706268000001</v>
      </c>
      <c r="G108">
        <v>1337.8515625</v>
      </c>
      <c r="H108">
        <v>1335.9050293</v>
      </c>
      <c r="I108">
        <v>1325.4614257999999</v>
      </c>
      <c r="J108">
        <v>1323.4838867000001</v>
      </c>
      <c r="K108">
        <v>2400</v>
      </c>
      <c r="L108">
        <v>0</v>
      </c>
      <c r="M108">
        <v>0</v>
      </c>
      <c r="N108">
        <v>2400</v>
      </c>
    </row>
    <row r="109" spans="1:14" x14ac:dyDescent="0.25">
      <c r="A109">
        <v>1.7755529999999999</v>
      </c>
      <c r="B109" s="1">
        <f>DATE(2010,5,2) + TIME(18,36,47)</f>
        <v>40300.775543981479</v>
      </c>
      <c r="C109">
        <v>80</v>
      </c>
      <c r="D109">
        <v>79.225364685000002</v>
      </c>
      <c r="E109">
        <v>50</v>
      </c>
      <c r="F109">
        <v>14.999707222</v>
      </c>
      <c r="G109">
        <v>1337.8598632999999</v>
      </c>
      <c r="H109">
        <v>1335.9088135</v>
      </c>
      <c r="I109">
        <v>1325.4615478999999</v>
      </c>
      <c r="J109">
        <v>1323.4838867000001</v>
      </c>
      <c r="K109">
        <v>2400</v>
      </c>
      <c r="L109">
        <v>0</v>
      </c>
      <c r="M109">
        <v>0</v>
      </c>
      <c r="N109">
        <v>2400</v>
      </c>
    </row>
    <row r="110" spans="1:14" x14ac:dyDescent="0.25">
      <c r="A110">
        <v>1.814581</v>
      </c>
      <c r="B110" s="1">
        <f>DATE(2010,5,2) + TIME(19,32,59)</f>
        <v>40300.814571759256</v>
      </c>
      <c r="C110">
        <v>80</v>
      </c>
      <c r="D110">
        <v>79.315132141000007</v>
      </c>
      <c r="E110">
        <v>50</v>
      </c>
      <c r="F110">
        <v>14.999708176</v>
      </c>
      <c r="G110">
        <v>1337.8673096</v>
      </c>
      <c r="H110">
        <v>1335.9118652</v>
      </c>
      <c r="I110">
        <v>1325.4615478999999</v>
      </c>
      <c r="J110">
        <v>1323.4838867000001</v>
      </c>
      <c r="K110">
        <v>2400</v>
      </c>
      <c r="L110">
        <v>0</v>
      </c>
      <c r="M110">
        <v>0</v>
      </c>
      <c r="N110">
        <v>2400</v>
      </c>
    </row>
    <row r="111" spans="1:14" x14ac:dyDescent="0.25">
      <c r="A111">
        <v>1.8550580000000001</v>
      </c>
      <c r="B111" s="1">
        <f>DATE(2010,5,2) + TIME(20,31,17)</f>
        <v>40300.855057870373</v>
      </c>
      <c r="C111">
        <v>80</v>
      </c>
      <c r="D111">
        <v>79.396530150999993</v>
      </c>
      <c r="E111">
        <v>50</v>
      </c>
      <c r="F111">
        <v>14.999709128999999</v>
      </c>
      <c r="G111">
        <v>1337.8741454999999</v>
      </c>
      <c r="H111">
        <v>1335.9143065999999</v>
      </c>
      <c r="I111">
        <v>1325.4616699000001</v>
      </c>
      <c r="J111">
        <v>1323.4838867000001</v>
      </c>
      <c r="K111">
        <v>2400</v>
      </c>
      <c r="L111">
        <v>0</v>
      </c>
      <c r="M111">
        <v>0</v>
      </c>
      <c r="N111">
        <v>2400</v>
      </c>
    </row>
    <row r="112" spans="1:14" x14ac:dyDescent="0.25">
      <c r="A112">
        <v>1.8760520000000001</v>
      </c>
      <c r="B112" s="1">
        <f>DATE(2010,5,2) + TIME(21,1,30)</f>
        <v>40300.87604166667</v>
      </c>
      <c r="C112">
        <v>80</v>
      </c>
      <c r="D112">
        <v>79.435890197999996</v>
      </c>
      <c r="E112">
        <v>50</v>
      </c>
      <c r="F112">
        <v>14.999710083</v>
      </c>
      <c r="G112">
        <v>1337.8813477000001</v>
      </c>
      <c r="H112">
        <v>1335.9158935999999</v>
      </c>
      <c r="I112">
        <v>1325.4616699000001</v>
      </c>
      <c r="J112">
        <v>1323.4840088000001</v>
      </c>
      <c r="K112">
        <v>2400</v>
      </c>
      <c r="L112">
        <v>0</v>
      </c>
      <c r="M112">
        <v>0</v>
      </c>
      <c r="N112">
        <v>2400</v>
      </c>
    </row>
    <row r="113" spans="1:14" x14ac:dyDescent="0.25">
      <c r="A113">
        <v>1.897046</v>
      </c>
      <c r="B113" s="1">
        <f>DATE(2010,5,2) + TIME(21,31,44)</f>
        <v>40300.897037037037</v>
      </c>
      <c r="C113">
        <v>80</v>
      </c>
      <c r="D113">
        <v>79.472503661999994</v>
      </c>
      <c r="E113">
        <v>50</v>
      </c>
      <c r="F113">
        <v>14.999711037000001</v>
      </c>
      <c r="G113">
        <v>1337.8841553</v>
      </c>
      <c r="H113">
        <v>1335.9167480000001</v>
      </c>
      <c r="I113">
        <v>1325.4617920000001</v>
      </c>
      <c r="J113">
        <v>1323.4840088000001</v>
      </c>
      <c r="K113">
        <v>2400</v>
      </c>
      <c r="L113">
        <v>0</v>
      </c>
      <c r="M113">
        <v>0</v>
      </c>
      <c r="N113">
        <v>2400</v>
      </c>
    </row>
    <row r="114" spans="1:14" x14ac:dyDescent="0.25">
      <c r="A114">
        <v>1.91804</v>
      </c>
      <c r="B114" s="1">
        <f>DATE(2010,5,2) + TIME(22,1,58)</f>
        <v>40300.918032407404</v>
      </c>
      <c r="C114">
        <v>80</v>
      </c>
      <c r="D114">
        <v>79.506561278999996</v>
      </c>
      <c r="E114">
        <v>50</v>
      </c>
      <c r="F114">
        <v>14.999711037000001</v>
      </c>
      <c r="G114">
        <v>1337.8868408000001</v>
      </c>
      <c r="H114">
        <v>1335.9173584</v>
      </c>
      <c r="I114">
        <v>1325.4617920000001</v>
      </c>
      <c r="J114">
        <v>1323.4840088000001</v>
      </c>
      <c r="K114">
        <v>2400</v>
      </c>
      <c r="L114">
        <v>0</v>
      </c>
      <c r="M114">
        <v>0</v>
      </c>
      <c r="N114">
        <v>2400</v>
      </c>
    </row>
    <row r="115" spans="1:14" x14ac:dyDescent="0.25">
      <c r="A115">
        <v>1.9390019999999999</v>
      </c>
      <c r="B115" s="1">
        <f>DATE(2010,5,2) + TIME(22,32,9)</f>
        <v>40300.938993055555</v>
      </c>
      <c r="C115">
        <v>80</v>
      </c>
      <c r="D115">
        <v>79.538185119999994</v>
      </c>
      <c r="E115">
        <v>50</v>
      </c>
      <c r="F115">
        <v>14.99971199</v>
      </c>
      <c r="G115">
        <v>1337.8891602000001</v>
      </c>
      <c r="H115">
        <v>1335.9178466999999</v>
      </c>
      <c r="I115">
        <v>1325.4617920000001</v>
      </c>
      <c r="J115">
        <v>1323.4840088000001</v>
      </c>
      <c r="K115">
        <v>2400</v>
      </c>
      <c r="L115">
        <v>0</v>
      </c>
      <c r="M115">
        <v>0</v>
      </c>
      <c r="N115">
        <v>2400</v>
      </c>
    </row>
    <row r="116" spans="1:14" x14ac:dyDescent="0.25">
      <c r="A116">
        <v>1.959932</v>
      </c>
      <c r="B116" s="1">
        <f>DATE(2010,5,2) + TIME(23,2,18)</f>
        <v>40300.959930555553</v>
      </c>
      <c r="C116">
        <v>80</v>
      </c>
      <c r="D116">
        <v>79.567558289000004</v>
      </c>
      <c r="E116">
        <v>50</v>
      </c>
      <c r="F116">
        <v>14.999712944000001</v>
      </c>
      <c r="G116">
        <v>1337.8913574000001</v>
      </c>
      <c r="H116">
        <v>1335.9180908000001</v>
      </c>
      <c r="I116">
        <v>1325.4617920000001</v>
      </c>
      <c r="J116">
        <v>1323.4840088000001</v>
      </c>
      <c r="K116">
        <v>2400</v>
      </c>
      <c r="L116">
        <v>0</v>
      </c>
      <c r="M116">
        <v>0</v>
      </c>
      <c r="N116">
        <v>2400</v>
      </c>
    </row>
    <row r="117" spans="1:14" x14ac:dyDescent="0.25">
      <c r="A117">
        <v>1.980839</v>
      </c>
      <c r="B117" s="1">
        <f>DATE(2010,5,2) + TIME(23,32,24)</f>
        <v>40300.980833333335</v>
      </c>
      <c r="C117">
        <v>80</v>
      </c>
      <c r="D117">
        <v>79.594856261999993</v>
      </c>
      <c r="E117">
        <v>50</v>
      </c>
      <c r="F117">
        <v>14.999712944000001</v>
      </c>
      <c r="G117">
        <v>1337.8933105000001</v>
      </c>
      <c r="H117">
        <v>1335.9183350000001</v>
      </c>
      <c r="I117">
        <v>1325.4619141000001</v>
      </c>
      <c r="J117">
        <v>1323.4840088000001</v>
      </c>
      <c r="K117">
        <v>2400</v>
      </c>
      <c r="L117">
        <v>0</v>
      </c>
      <c r="M117">
        <v>0</v>
      </c>
      <c r="N117">
        <v>2400</v>
      </c>
    </row>
    <row r="118" spans="1:14" x14ac:dyDescent="0.25">
      <c r="A118">
        <v>2.0017339999999999</v>
      </c>
      <c r="B118" s="1">
        <f>DATE(2010,5,3) + TIME(0,2,29)</f>
        <v>40301.00172453704</v>
      </c>
      <c r="C118">
        <v>80</v>
      </c>
      <c r="D118">
        <v>79.620239257999998</v>
      </c>
      <c r="E118">
        <v>50</v>
      </c>
      <c r="F118">
        <v>14.999713898</v>
      </c>
      <c r="G118">
        <v>1337.8950195</v>
      </c>
      <c r="H118">
        <v>1335.9182129000001</v>
      </c>
      <c r="I118">
        <v>1325.4619141000001</v>
      </c>
      <c r="J118">
        <v>1323.4840088000001</v>
      </c>
      <c r="K118">
        <v>2400</v>
      </c>
      <c r="L118">
        <v>0</v>
      </c>
      <c r="M118">
        <v>0</v>
      </c>
      <c r="N118">
        <v>2400</v>
      </c>
    </row>
    <row r="119" spans="1:14" x14ac:dyDescent="0.25">
      <c r="A119">
        <v>2.0226289999999998</v>
      </c>
      <c r="B119" s="1">
        <f>DATE(2010,5,3) + TIME(0,32,35)</f>
        <v>40301.022627314815</v>
      </c>
      <c r="C119">
        <v>80</v>
      </c>
      <c r="D119">
        <v>79.643844603999995</v>
      </c>
      <c r="E119">
        <v>50</v>
      </c>
      <c r="F119">
        <v>14.999713898</v>
      </c>
      <c r="G119">
        <v>1337.8966064000001</v>
      </c>
      <c r="H119">
        <v>1335.9180908000001</v>
      </c>
      <c r="I119">
        <v>1325.4619141000001</v>
      </c>
      <c r="J119">
        <v>1323.4841309000001</v>
      </c>
      <c r="K119">
        <v>2400</v>
      </c>
      <c r="L119">
        <v>0</v>
      </c>
      <c r="M119">
        <v>0</v>
      </c>
      <c r="N119">
        <v>2400</v>
      </c>
    </row>
    <row r="120" spans="1:14" x14ac:dyDescent="0.25">
      <c r="A120">
        <v>2.0435240000000001</v>
      </c>
      <c r="B120" s="1">
        <f>DATE(2010,5,3) + TIME(1,2,40)</f>
        <v>40301.04351851852</v>
      </c>
      <c r="C120">
        <v>80</v>
      </c>
      <c r="D120">
        <v>79.665802002000007</v>
      </c>
      <c r="E120">
        <v>50</v>
      </c>
      <c r="F120">
        <v>14.999714851</v>
      </c>
      <c r="G120">
        <v>1337.8979492000001</v>
      </c>
      <c r="H120">
        <v>1335.9178466999999</v>
      </c>
      <c r="I120">
        <v>1325.4620361</v>
      </c>
      <c r="J120">
        <v>1323.4841309000001</v>
      </c>
      <c r="K120">
        <v>2400</v>
      </c>
      <c r="L120">
        <v>0</v>
      </c>
      <c r="M120">
        <v>0</v>
      </c>
      <c r="N120">
        <v>2400</v>
      </c>
    </row>
    <row r="121" spans="1:14" x14ac:dyDescent="0.25">
      <c r="A121">
        <v>2.0853130000000002</v>
      </c>
      <c r="B121" s="1">
        <f>DATE(2010,5,3) + TIME(2,2,51)</f>
        <v>40301.085312499999</v>
      </c>
      <c r="C121">
        <v>80</v>
      </c>
      <c r="D121">
        <v>79.703941345000004</v>
      </c>
      <c r="E121">
        <v>50</v>
      </c>
      <c r="F121">
        <v>14.999715804999999</v>
      </c>
      <c r="G121">
        <v>1337.8983154</v>
      </c>
      <c r="H121">
        <v>1335.9178466999999</v>
      </c>
      <c r="I121">
        <v>1325.4620361</v>
      </c>
      <c r="J121">
        <v>1323.4841309000001</v>
      </c>
      <c r="K121">
        <v>2400</v>
      </c>
      <c r="L121">
        <v>0</v>
      </c>
      <c r="M121">
        <v>0</v>
      </c>
      <c r="N121">
        <v>2400</v>
      </c>
    </row>
    <row r="122" spans="1:14" x14ac:dyDescent="0.25">
      <c r="A122">
        <v>2.1271300000000002</v>
      </c>
      <c r="B122" s="1">
        <f>DATE(2010,5,3) + TIME(3,3,4)</f>
        <v>40301.127129629633</v>
      </c>
      <c r="C122">
        <v>80</v>
      </c>
      <c r="D122">
        <v>79.737144470000004</v>
      </c>
      <c r="E122">
        <v>50</v>
      </c>
      <c r="F122">
        <v>14.999716759</v>
      </c>
      <c r="G122">
        <v>1337.9000243999999</v>
      </c>
      <c r="H122">
        <v>1335.9167480000001</v>
      </c>
      <c r="I122">
        <v>1325.4620361</v>
      </c>
      <c r="J122">
        <v>1323.4841309000001</v>
      </c>
      <c r="K122">
        <v>2400</v>
      </c>
      <c r="L122">
        <v>0</v>
      </c>
      <c r="M122">
        <v>0</v>
      </c>
      <c r="N122">
        <v>2400</v>
      </c>
    </row>
    <row r="123" spans="1:14" x14ac:dyDescent="0.25">
      <c r="A123">
        <v>2.169079</v>
      </c>
      <c r="B123" s="1">
        <f>DATE(2010,5,3) + TIME(4,3,28)</f>
        <v>40301.169074074074</v>
      </c>
      <c r="C123">
        <v>80</v>
      </c>
      <c r="D123">
        <v>79.766105651999993</v>
      </c>
      <c r="E123">
        <v>50</v>
      </c>
      <c r="F123">
        <v>14.999717712000001</v>
      </c>
      <c r="G123">
        <v>1337.9011230000001</v>
      </c>
      <c r="H123">
        <v>1335.9151611</v>
      </c>
      <c r="I123">
        <v>1325.4621582</v>
      </c>
      <c r="J123">
        <v>1323.4841309000001</v>
      </c>
      <c r="K123">
        <v>2400</v>
      </c>
      <c r="L123">
        <v>0</v>
      </c>
      <c r="M123">
        <v>0</v>
      </c>
      <c r="N123">
        <v>2400</v>
      </c>
    </row>
    <row r="124" spans="1:14" x14ac:dyDescent="0.25">
      <c r="A124">
        <v>2.2112270000000001</v>
      </c>
      <c r="B124" s="1">
        <f>DATE(2010,5,3) + TIME(5,4,9)</f>
        <v>40301.211215277777</v>
      </c>
      <c r="C124">
        <v>80</v>
      </c>
      <c r="D124">
        <v>79.791389464999995</v>
      </c>
      <c r="E124">
        <v>50</v>
      </c>
      <c r="F124">
        <v>14.999718666</v>
      </c>
      <c r="G124">
        <v>1337.9017334</v>
      </c>
      <c r="H124">
        <v>1335.9133300999999</v>
      </c>
      <c r="I124">
        <v>1325.4621582</v>
      </c>
      <c r="J124">
        <v>1323.4842529</v>
      </c>
      <c r="K124">
        <v>2400</v>
      </c>
      <c r="L124">
        <v>0</v>
      </c>
      <c r="M124">
        <v>0</v>
      </c>
      <c r="N124">
        <v>2400</v>
      </c>
    </row>
    <row r="125" spans="1:14" x14ac:dyDescent="0.25">
      <c r="A125">
        <v>2.253644</v>
      </c>
      <c r="B125" s="1">
        <f>DATE(2010,5,3) + TIME(6,5,14)</f>
        <v>40301.253634259258</v>
      </c>
      <c r="C125">
        <v>80</v>
      </c>
      <c r="D125">
        <v>79.813491821</v>
      </c>
      <c r="E125">
        <v>50</v>
      </c>
      <c r="F125">
        <v>14.99971962</v>
      </c>
      <c r="G125">
        <v>1337.9016113</v>
      </c>
      <c r="H125">
        <v>1335.9111327999999</v>
      </c>
      <c r="I125">
        <v>1325.4622803</v>
      </c>
      <c r="J125">
        <v>1323.4842529</v>
      </c>
      <c r="K125">
        <v>2400</v>
      </c>
      <c r="L125">
        <v>0</v>
      </c>
      <c r="M125">
        <v>0</v>
      </c>
      <c r="N125">
        <v>2400</v>
      </c>
    </row>
    <row r="126" spans="1:14" x14ac:dyDescent="0.25">
      <c r="A126">
        <v>2.2963990000000001</v>
      </c>
      <c r="B126" s="1">
        <f>DATE(2010,5,3) + TIME(7,6,48)</f>
        <v>40301.296388888892</v>
      </c>
      <c r="C126">
        <v>80</v>
      </c>
      <c r="D126">
        <v>79.832824707</v>
      </c>
      <c r="E126">
        <v>50</v>
      </c>
      <c r="F126">
        <v>14.999720572999999</v>
      </c>
      <c r="G126">
        <v>1337.901001</v>
      </c>
      <c r="H126">
        <v>1335.9085693</v>
      </c>
      <c r="I126">
        <v>1325.4622803</v>
      </c>
      <c r="J126">
        <v>1323.4842529</v>
      </c>
      <c r="K126">
        <v>2400</v>
      </c>
      <c r="L126">
        <v>0</v>
      </c>
      <c r="M126">
        <v>0</v>
      </c>
      <c r="N126">
        <v>2400</v>
      </c>
    </row>
    <row r="127" spans="1:14" x14ac:dyDescent="0.25">
      <c r="A127">
        <v>2.3395579999999998</v>
      </c>
      <c r="B127" s="1">
        <f>DATE(2010,5,3) + TIME(8,8,57)</f>
        <v>40301.339548611111</v>
      </c>
      <c r="C127">
        <v>80</v>
      </c>
      <c r="D127">
        <v>79.849739075000002</v>
      </c>
      <c r="E127">
        <v>50</v>
      </c>
      <c r="F127">
        <v>14.999721527</v>
      </c>
      <c r="G127">
        <v>1337.9000243999999</v>
      </c>
      <c r="H127">
        <v>1335.9058838000001</v>
      </c>
      <c r="I127">
        <v>1325.4624022999999</v>
      </c>
      <c r="J127">
        <v>1323.4842529</v>
      </c>
      <c r="K127">
        <v>2400</v>
      </c>
      <c r="L127">
        <v>0</v>
      </c>
      <c r="M127">
        <v>0</v>
      </c>
      <c r="N127">
        <v>2400</v>
      </c>
    </row>
    <row r="128" spans="1:14" x14ac:dyDescent="0.25">
      <c r="A128">
        <v>2.3831869999999999</v>
      </c>
      <c r="B128" s="1">
        <f>DATE(2010,5,3) + TIME(9,11,47)</f>
        <v>40301.38318287037</v>
      </c>
      <c r="C128">
        <v>80</v>
      </c>
      <c r="D128">
        <v>79.864540099999999</v>
      </c>
      <c r="E128">
        <v>50</v>
      </c>
      <c r="F128">
        <v>14.999722480999999</v>
      </c>
      <c r="G128">
        <v>1337.8962402</v>
      </c>
      <c r="H128">
        <v>1335.901001</v>
      </c>
      <c r="I128">
        <v>1325.4624022999999</v>
      </c>
      <c r="J128">
        <v>1323.484375</v>
      </c>
      <c r="K128">
        <v>2400</v>
      </c>
      <c r="L128">
        <v>0</v>
      </c>
      <c r="M128">
        <v>0</v>
      </c>
      <c r="N128">
        <v>2400</v>
      </c>
    </row>
    <row r="129" spans="1:14" x14ac:dyDescent="0.25">
      <c r="A129">
        <v>2.4273669999999998</v>
      </c>
      <c r="B129" s="1">
        <f>DATE(2010,5,3) + TIME(10,15,24)</f>
        <v>40301.427361111113</v>
      </c>
      <c r="C129">
        <v>80</v>
      </c>
      <c r="D129">
        <v>79.877502441000004</v>
      </c>
      <c r="E129">
        <v>50</v>
      </c>
      <c r="F129">
        <v>14.999723434</v>
      </c>
      <c r="G129">
        <v>1337.8920897999999</v>
      </c>
      <c r="H129">
        <v>1335.8959961</v>
      </c>
      <c r="I129">
        <v>1325.4625243999999</v>
      </c>
      <c r="J129">
        <v>1323.484375</v>
      </c>
      <c r="K129">
        <v>2400</v>
      </c>
      <c r="L129">
        <v>0</v>
      </c>
      <c r="M129">
        <v>0</v>
      </c>
      <c r="N129">
        <v>2400</v>
      </c>
    </row>
    <row r="130" spans="1:14" x14ac:dyDescent="0.25">
      <c r="A130">
        <v>2.4721679999999999</v>
      </c>
      <c r="B130" s="1">
        <f>DATE(2010,5,3) + TIME(11,19,55)</f>
        <v>40301.47216435185</v>
      </c>
      <c r="C130">
        <v>80</v>
      </c>
      <c r="D130">
        <v>79.888847350999995</v>
      </c>
      <c r="E130">
        <v>50</v>
      </c>
      <c r="F130">
        <v>14.999724388000001</v>
      </c>
      <c r="G130">
        <v>1337.8876952999999</v>
      </c>
      <c r="H130">
        <v>1335.8908690999999</v>
      </c>
      <c r="I130">
        <v>1325.4625243999999</v>
      </c>
      <c r="J130">
        <v>1323.484375</v>
      </c>
      <c r="K130">
        <v>2400</v>
      </c>
      <c r="L130">
        <v>0</v>
      </c>
      <c r="M130">
        <v>0</v>
      </c>
      <c r="N130">
        <v>2400</v>
      </c>
    </row>
    <row r="131" spans="1:14" x14ac:dyDescent="0.25">
      <c r="A131">
        <v>2.5176660000000002</v>
      </c>
      <c r="B131" s="1">
        <f>DATE(2010,5,3) + TIME(12,25,26)</f>
        <v>40301.51766203704</v>
      </c>
      <c r="C131">
        <v>80</v>
      </c>
      <c r="D131">
        <v>79.898780822999996</v>
      </c>
      <c r="E131">
        <v>50</v>
      </c>
      <c r="F131">
        <v>14.999725342</v>
      </c>
      <c r="G131">
        <v>1337.8830565999999</v>
      </c>
      <c r="H131">
        <v>1335.8856201000001</v>
      </c>
      <c r="I131">
        <v>1325.4626464999999</v>
      </c>
      <c r="J131">
        <v>1323.4844971</v>
      </c>
      <c r="K131">
        <v>2400</v>
      </c>
      <c r="L131">
        <v>0</v>
      </c>
      <c r="M131">
        <v>0</v>
      </c>
      <c r="N131">
        <v>2400</v>
      </c>
    </row>
    <row r="132" spans="1:14" x14ac:dyDescent="0.25">
      <c r="A132">
        <v>2.563936</v>
      </c>
      <c r="B132" s="1">
        <f>DATE(2010,5,3) + TIME(13,32,4)</f>
        <v>40301.563935185186</v>
      </c>
      <c r="C132">
        <v>80</v>
      </c>
      <c r="D132">
        <v>79.907470703000001</v>
      </c>
      <c r="E132">
        <v>50</v>
      </c>
      <c r="F132">
        <v>14.999726295</v>
      </c>
      <c r="G132">
        <v>1337.8780518000001</v>
      </c>
      <c r="H132">
        <v>1335.880249</v>
      </c>
      <c r="I132">
        <v>1325.4626464999999</v>
      </c>
      <c r="J132">
        <v>1323.4844971</v>
      </c>
      <c r="K132">
        <v>2400</v>
      </c>
      <c r="L132">
        <v>0</v>
      </c>
      <c r="M132">
        <v>0</v>
      </c>
      <c r="N132">
        <v>2400</v>
      </c>
    </row>
    <row r="133" spans="1:14" x14ac:dyDescent="0.25">
      <c r="A133">
        <v>2.611065</v>
      </c>
      <c r="B133" s="1">
        <f>DATE(2010,5,3) + TIME(14,39,56)</f>
        <v>40301.611064814817</v>
      </c>
      <c r="C133">
        <v>80</v>
      </c>
      <c r="D133">
        <v>79.915069579999994</v>
      </c>
      <c r="E133">
        <v>50</v>
      </c>
      <c r="F133">
        <v>14.999727248999999</v>
      </c>
      <c r="G133">
        <v>1337.8729248</v>
      </c>
      <c r="H133">
        <v>1335.8746338000001</v>
      </c>
      <c r="I133">
        <v>1325.4626464999999</v>
      </c>
      <c r="J133">
        <v>1323.4844971</v>
      </c>
      <c r="K133">
        <v>2400</v>
      </c>
      <c r="L133">
        <v>0</v>
      </c>
      <c r="M133">
        <v>0</v>
      </c>
      <c r="N133">
        <v>2400</v>
      </c>
    </row>
    <row r="134" spans="1:14" x14ac:dyDescent="0.25">
      <c r="A134">
        <v>2.659154</v>
      </c>
      <c r="B134" s="1">
        <f>DATE(2010,5,3) + TIME(15,49,10)</f>
        <v>40301.659143518518</v>
      </c>
      <c r="C134">
        <v>80</v>
      </c>
      <c r="D134">
        <v>79.921714782999999</v>
      </c>
      <c r="E134">
        <v>50</v>
      </c>
      <c r="F134">
        <v>14.999728203</v>
      </c>
      <c r="G134">
        <v>1337.8675536999999</v>
      </c>
      <c r="H134">
        <v>1335.8690185999999</v>
      </c>
      <c r="I134">
        <v>1325.4627685999999</v>
      </c>
      <c r="J134">
        <v>1323.4844971</v>
      </c>
      <c r="K134">
        <v>2400</v>
      </c>
      <c r="L134">
        <v>0</v>
      </c>
      <c r="M134">
        <v>0</v>
      </c>
      <c r="N134">
        <v>2400</v>
      </c>
    </row>
    <row r="135" spans="1:14" x14ac:dyDescent="0.25">
      <c r="A135">
        <v>2.7082820000000001</v>
      </c>
      <c r="B135" s="1">
        <f>DATE(2010,5,3) + TIME(16,59,55)</f>
        <v>40301.708275462966</v>
      </c>
      <c r="C135">
        <v>80</v>
      </c>
      <c r="D135">
        <v>79.927520752000007</v>
      </c>
      <c r="E135">
        <v>50</v>
      </c>
      <c r="F135">
        <v>14.999729156000001</v>
      </c>
      <c r="G135">
        <v>1337.8619385</v>
      </c>
      <c r="H135">
        <v>1335.8632812000001</v>
      </c>
      <c r="I135">
        <v>1325.4627685999999</v>
      </c>
      <c r="J135">
        <v>1323.4846190999999</v>
      </c>
      <c r="K135">
        <v>2400</v>
      </c>
      <c r="L135">
        <v>0</v>
      </c>
      <c r="M135">
        <v>0</v>
      </c>
      <c r="N135">
        <v>2400</v>
      </c>
    </row>
    <row r="136" spans="1:14" x14ac:dyDescent="0.25">
      <c r="A136">
        <v>2.7585489999999999</v>
      </c>
      <c r="B136" s="1">
        <f>DATE(2010,5,3) + TIME(18,12,18)</f>
        <v>40301.75854166667</v>
      </c>
      <c r="C136">
        <v>80</v>
      </c>
      <c r="D136">
        <v>79.932594299000002</v>
      </c>
      <c r="E136">
        <v>50</v>
      </c>
      <c r="F136">
        <v>14.99973011</v>
      </c>
      <c r="G136">
        <v>1337.8560791</v>
      </c>
      <c r="H136">
        <v>1335.8574219</v>
      </c>
      <c r="I136">
        <v>1325.4628906</v>
      </c>
      <c r="J136">
        <v>1323.4846190999999</v>
      </c>
      <c r="K136">
        <v>2400</v>
      </c>
      <c r="L136">
        <v>0</v>
      </c>
      <c r="M136">
        <v>0</v>
      </c>
      <c r="N136">
        <v>2400</v>
      </c>
    </row>
    <row r="137" spans="1:14" x14ac:dyDescent="0.25">
      <c r="A137">
        <v>2.8100670000000001</v>
      </c>
      <c r="B137" s="1">
        <f>DATE(2010,5,3) + TIME(19,26,29)</f>
        <v>40301.810057870367</v>
      </c>
      <c r="C137">
        <v>80</v>
      </c>
      <c r="D137">
        <v>79.937011718999997</v>
      </c>
      <c r="E137">
        <v>50</v>
      </c>
      <c r="F137">
        <v>14.999731064000001</v>
      </c>
      <c r="G137">
        <v>1337.8499756000001</v>
      </c>
      <c r="H137">
        <v>1335.8514404</v>
      </c>
      <c r="I137">
        <v>1325.4628906</v>
      </c>
      <c r="J137">
        <v>1323.4846190999999</v>
      </c>
      <c r="K137">
        <v>2400</v>
      </c>
      <c r="L137">
        <v>0</v>
      </c>
      <c r="M137">
        <v>0</v>
      </c>
      <c r="N137">
        <v>2400</v>
      </c>
    </row>
    <row r="138" spans="1:14" x14ac:dyDescent="0.25">
      <c r="A138">
        <v>2.8629319999999998</v>
      </c>
      <c r="B138" s="1">
        <f>DATE(2010,5,3) + TIME(20,42,37)</f>
        <v>40301.862928240742</v>
      </c>
      <c r="C138">
        <v>80</v>
      </c>
      <c r="D138">
        <v>79.940856933999996</v>
      </c>
      <c r="E138">
        <v>50</v>
      </c>
      <c r="F138">
        <v>14.999732018</v>
      </c>
      <c r="G138">
        <v>1337.8436279</v>
      </c>
      <c r="H138">
        <v>1335.8453368999999</v>
      </c>
      <c r="I138">
        <v>1325.4630127</v>
      </c>
      <c r="J138">
        <v>1323.4847411999999</v>
      </c>
      <c r="K138">
        <v>2400</v>
      </c>
      <c r="L138">
        <v>0</v>
      </c>
      <c r="M138">
        <v>0</v>
      </c>
      <c r="N138">
        <v>2400</v>
      </c>
    </row>
    <row r="139" spans="1:14" x14ac:dyDescent="0.25">
      <c r="A139">
        <v>2.9172009999999999</v>
      </c>
      <c r="B139" s="1">
        <f>DATE(2010,5,3) + TIME(22,0,46)</f>
        <v>40301.917199074072</v>
      </c>
      <c r="C139">
        <v>80</v>
      </c>
      <c r="D139">
        <v>79.944198607999994</v>
      </c>
      <c r="E139">
        <v>50</v>
      </c>
      <c r="F139">
        <v>14.999732971</v>
      </c>
      <c r="G139">
        <v>1337.8371582</v>
      </c>
      <c r="H139">
        <v>1335.8389893000001</v>
      </c>
      <c r="I139">
        <v>1325.4630127</v>
      </c>
      <c r="J139">
        <v>1323.4847411999999</v>
      </c>
      <c r="K139">
        <v>2400</v>
      </c>
      <c r="L139">
        <v>0</v>
      </c>
      <c r="M139">
        <v>0</v>
      </c>
      <c r="N139">
        <v>2400</v>
      </c>
    </row>
    <row r="140" spans="1:14" x14ac:dyDescent="0.25">
      <c r="A140">
        <v>2.9730089999999998</v>
      </c>
      <c r="B140" s="1">
        <f>DATE(2010,5,3) + TIME(23,21,8)</f>
        <v>40301.973009259258</v>
      </c>
      <c r="C140">
        <v>80</v>
      </c>
      <c r="D140">
        <v>79.947105407999999</v>
      </c>
      <c r="E140">
        <v>50</v>
      </c>
      <c r="F140">
        <v>14.999733924999999</v>
      </c>
      <c r="G140">
        <v>1337.8303223</v>
      </c>
      <c r="H140">
        <v>1335.8326416</v>
      </c>
      <c r="I140">
        <v>1325.4631348</v>
      </c>
      <c r="J140">
        <v>1323.4847411999999</v>
      </c>
      <c r="K140">
        <v>2400</v>
      </c>
      <c r="L140">
        <v>0</v>
      </c>
      <c r="M140">
        <v>0</v>
      </c>
      <c r="N140">
        <v>2400</v>
      </c>
    </row>
    <row r="141" spans="1:14" x14ac:dyDescent="0.25">
      <c r="A141">
        <v>3.0305089999999999</v>
      </c>
      <c r="B141" s="1">
        <f>DATE(2010,5,4) + TIME(0,43,56)</f>
        <v>40302.030509259261</v>
      </c>
      <c r="C141">
        <v>80</v>
      </c>
      <c r="D141">
        <v>79.949615479000002</v>
      </c>
      <c r="E141">
        <v>50</v>
      </c>
      <c r="F141">
        <v>14.999734879</v>
      </c>
      <c r="G141">
        <v>1337.8233643000001</v>
      </c>
      <c r="H141">
        <v>1335.8260498</v>
      </c>
      <c r="I141">
        <v>1325.4631348</v>
      </c>
      <c r="J141">
        <v>1323.4847411999999</v>
      </c>
      <c r="K141">
        <v>2400</v>
      </c>
      <c r="L141">
        <v>0</v>
      </c>
      <c r="M141">
        <v>0</v>
      </c>
      <c r="N141">
        <v>2400</v>
      </c>
    </row>
    <row r="142" spans="1:14" x14ac:dyDescent="0.25">
      <c r="A142">
        <v>3.089737</v>
      </c>
      <c r="B142" s="1">
        <f>DATE(2010,5,4) + TIME(2,9,13)</f>
        <v>40302.089733796296</v>
      </c>
      <c r="C142">
        <v>80</v>
      </c>
      <c r="D142">
        <v>79.951789856000005</v>
      </c>
      <c r="E142">
        <v>50</v>
      </c>
      <c r="F142">
        <v>14.999735832000001</v>
      </c>
      <c r="G142">
        <v>1337.8160399999999</v>
      </c>
      <c r="H142">
        <v>1335.8194579999999</v>
      </c>
      <c r="I142">
        <v>1325.4632568</v>
      </c>
      <c r="J142">
        <v>1323.4848632999999</v>
      </c>
      <c r="K142">
        <v>2400</v>
      </c>
      <c r="L142">
        <v>0</v>
      </c>
      <c r="M142">
        <v>0</v>
      </c>
      <c r="N142">
        <v>2400</v>
      </c>
    </row>
    <row r="143" spans="1:14" x14ac:dyDescent="0.25">
      <c r="A143">
        <v>3.1505589999999999</v>
      </c>
      <c r="B143" s="1">
        <f>DATE(2010,5,4) + TIME(3,36,48)</f>
        <v>40302.150555555556</v>
      </c>
      <c r="C143">
        <v>80</v>
      </c>
      <c r="D143">
        <v>79.953651428000001</v>
      </c>
      <c r="E143">
        <v>50</v>
      </c>
      <c r="F143">
        <v>14.999736786</v>
      </c>
      <c r="G143">
        <v>1337.8085937999999</v>
      </c>
      <c r="H143">
        <v>1335.8126221</v>
      </c>
      <c r="I143">
        <v>1325.4632568</v>
      </c>
      <c r="J143">
        <v>1323.4848632999999</v>
      </c>
      <c r="K143">
        <v>2400</v>
      </c>
      <c r="L143">
        <v>0</v>
      </c>
      <c r="M143">
        <v>0</v>
      </c>
      <c r="N143">
        <v>2400</v>
      </c>
    </row>
    <row r="144" spans="1:14" x14ac:dyDescent="0.25">
      <c r="A144">
        <v>3.1816789999999999</v>
      </c>
      <c r="B144" s="1">
        <f>DATE(2010,5,4) + TIME(4,21,37)</f>
        <v>40302.18167824074</v>
      </c>
      <c r="C144">
        <v>80</v>
      </c>
      <c r="D144">
        <v>79.954521178999997</v>
      </c>
      <c r="E144">
        <v>50</v>
      </c>
      <c r="F144">
        <v>14.99973774</v>
      </c>
      <c r="G144">
        <v>1337.8009033000001</v>
      </c>
      <c r="H144">
        <v>1335.8054199000001</v>
      </c>
      <c r="I144">
        <v>1325.4633789</v>
      </c>
      <c r="J144">
        <v>1323.4848632999999</v>
      </c>
      <c r="K144">
        <v>2400</v>
      </c>
      <c r="L144">
        <v>0</v>
      </c>
      <c r="M144">
        <v>0</v>
      </c>
      <c r="N144">
        <v>2400</v>
      </c>
    </row>
    <row r="145" spans="1:14" x14ac:dyDescent="0.25">
      <c r="A145">
        <v>3.2127370000000002</v>
      </c>
      <c r="B145" s="1">
        <f>DATE(2010,5,4) + TIME(5,6,20)</f>
        <v>40302.212731481479</v>
      </c>
      <c r="C145">
        <v>80</v>
      </c>
      <c r="D145">
        <v>79.955307007000002</v>
      </c>
      <c r="E145">
        <v>50</v>
      </c>
      <c r="F145">
        <v>14.99973774</v>
      </c>
      <c r="G145">
        <v>1337.7969971</v>
      </c>
      <c r="H145">
        <v>1335.8018798999999</v>
      </c>
      <c r="I145">
        <v>1325.4633789</v>
      </c>
      <c r="J145">
        <v>1323.4849853999999</v>
      </c>
      <c r="K145">
        <v>2400</v>
      </c>
      <c r="L145">
        <v>0</v>
      </c>
      <c r="M145">
        <v>0</v>
      </c>
      <c r="N145">
        <v>2400</v>
      </c>
    </row>
    <row r="146" spans="1:14" x14ac:dyDescent="0.25">
      <c r="A146">
        <v>3.2437490000000002</v>
      </c>
      <c r="B146" s="1">
        <f>DATE(2010,5,4) + TIME(5,50,59)</f>
        <v>40302.243738425925</v>
      </c>
      <c r="C146">
        <v>80</v>
      </c>
      <c r="D146">
        <v>79.956024170000006</v>
      </c>
      <c r="E146">
        <v>50</v>
      </c>
      <c r="F146">
        <v>14.999738692999999</v>
      </c>
      <c r="G146">
        <v>1337.7930908000001</v>
      </c>
      <c r="H146">
        <v>1335.7983397999999</v>
      </c>
      <c r="I146">
        <v>1325.4633789</v>
      </c>
      <c r="J146">
        <v>1323.4849853999999</v>
      </c>
      <c r="K146">
        <v>2400</v>
      </c>
      <c r="L146">
        <v>0</v>
      </c>
      <c r="M146">
        <v>0</v>
      </c>
      <c r="N146">
        <v>2400</v>
      </c>
    </row>
    <row r="147" spans="1:14" x14ac:dyDescent="0.25">
      <c r="A147">
        <v>3.2747299999999999</v>
      </c>
      <c r="B147" s="1">
        <f>DATE(2010,5,4) + TIME(6,35,36)</f>
        <v>40302.274722222224</v>
      </c>
      <c r="C147">
        <v>80</v>
      </c>
      <c r="D147">
        <v>79.956680297999995</v>
      </c>
      <c r="E147">
        <v>50</v>
      </c>
      <c r="F147">
        <v>14.999738692999999</v>
      </c>
      <c r="G147">
        <v>1337.7891846</v>
      </c>
      <c r="H147">
        <v>1335.7949219</v>
      </c>
      <c r="I147">
        <v>1325.4633789</v>
      </c>
      <c r="J147">
        <v>1323.4849853999999</v>
      </c>
      <c r="K147">
        <v>2400</v>
      </c>
      <c r="L147">
        <v>0</v>
      </c>
      <c r="M147">
        <v>0</v>
      </c>
      <c r="N147">
        <v>2400</v>
      </c>
    </row>
    <row r="148" spans="1:14" x14ac:dyDescent="0.25">
      <c r="A148">
        <v>3.3056939999999999</v>
      </c>
      <c r="B148" s="1">
        <f>DATE(2010,5,4) + TIME(7,20,11)</f>
        <v>40302.30568287037</v>
      </c>
      <c r="C148">
        <v>80</v>
      </c>
      <c r="D148">
        <v>79.957267760999997</v>
      </c>
      <c r="E148">
        <v>50</v>
      </c>
      <c r="F148">
        <v>14.999739647</v>
      </c>
      <c r="G148">
        <v>1337.7852783000001</v>
      </c>
      <c r="H148">
        <v>1335.7913818</v>
      </c>
      <c r="I148">
        <v>1325.463501</v>
      </c>
      <c r="J148">
        <v>1323.4849853999999</v>
      </c>
      <c r="K148">
        <v>2400</v>
      </c>
      <c r="L148">
        <v>0</v>
      </c>
      <c r="M148">
        <v>0</v>
      </c>
      <c r="N148">
        <v>2400</v>
      </c>
    </row>
    <row r="149" spans="1:14" x14ac:dyDescent="0.25">
      <c r="A149">
        <v>3.3366560000000001</v>
      </c>
      <c r="B149" s="1">
        <f>DATE(2010,5,4) + TIME(8,4,47)</f>
        <v>40302.336655092593</v>
      </c>
      <c r="C149">
        <v>80</v>
      </c>
      <c r="D149">
        <v>79.957817078000005</v>
      </c>
      <c r="E149">
        <v>50</v>
      </c>
      <c r="F149">
        <v>14.999739647</v>
      </c>
      <c r="G149">
        <v>1337.7814940999999</v>
      </c>
      <c r="H149">
        <v>1335.7879639</v>
      </c>
      <c r="I149">
        <v>1325.463501</v>
      </c>
      <c r="J149">
        <v>1323.4849853999999</v>
      </c>
      <c r="K149">
        <v>2400</v>
      </c>
      <c r="L149">
        <v>0</v>
      </c>
      <c r="M149">
        <v>0</v>
      </c>
      <c r="N149">
        <v>2400</v>
      </c>
    </row>
    <row r="150" spans="1:14" x14ac:dyDescent="0.25">
      <c r="A150">
        <v>3.3676189999999999</v>
      </c>
      <c r="B150" s="1">
        <f>DATE(2010,5,4) + TIME(8,49,22)</f>
        <v>40302.367615740739</v>
      </c>
      <c r="C150">
        <v>80</v>
      </c>
      <c r="D150">
        <v>79.958312988000003</v>
      </c>
      <c r="E150">
        <v>50</v>
      </c>
      <c r="F150">
        <v>14.999740600999999</v>
      </c>
      <c r="G150">
        <v>1337.7775879000001</v>
      </c>
      <c r="H150">
        <v>1335.7845459</v>
      </c>
      <c r="I150">
        <v>1325.463501</v>
      </c>
      <c r="J150">
        <v>1323.4849853999999</v>
      </c>
      <c r="K150">
        <v>2400</v>
      </c>
      <c r="L150">
        <v>0</v>
      </c>
      <c r="M150">
        <v>0</v>
      </c>
      <c r="N150">
        <v>2400</v>
      </c>
    </row>
    <row r="151" spans="1:14" x14ac:dyDescent="0.25">
      <c r="A151">
        <v>3.3985810000000001</v>
      </c>
      <c r="B151" s="1">
        <f>DATE(2010,5,4) + TIME(9,33,57)</f>
        <v>40302.398576388892</v>
      </c>
      <c r="C151">
        <v>80</v>
      </c>
      <c r="D151">
        <v>79.958763122999997</v>
      </c>
      <c r="E151">
        <v>50</v>
      </c>
      <c r="F151">
        <v>14.999740600999999</v>
      </c>
      <c r="G151">
        <v>1337.7736815999999</v>
      </c>
      <c r="H151">
        <v>1335.7811279</v>
      </c>
      <c r="I151">
        <v>1325.463501</v>
      </c>
      <c r="J151">
        <v>1323.4851074000001</v>
      </c>
      <c r="K151">
        <v>2400</v>
      </c>
      <c r="L151">
        <v>0</v>
      </c>
      <c r="M151">
        <v>0</v>
      </c>
      <c r="N151">
        <v>2400</v>
      </c>
    </row>
    <row r="152" spans="1:14" x14ac:dyDescent="0.25">
      <c r="A152">
        <v>3.4295429999999998</v>
      </c>
      <c r="B152" s="1">
        <f>DATE(2010,5,4) + TIME(10,18,32)</f>
        <v>40302.429537037038</v>
      </c>
      <c r="C152">
        <v>80</v>
      </c>
      <c r="D152">
        <v>79.959175110000004</v>
      </c>
      <c r="E152">
        <v>50</v>
      </c>
      <c r="F152">
        <v>14.999741554</v>
      </c>
      <c r="G152">
        <v>1337.7698975000001</v>
      </c>
      <c r="H152">
        <v>1335.777832</v>
      </c>
      <c r="I152">
        <v>1325.4636230000001</v>
      </c>
      <c r="J152">
        <v>1323.4851074000001</v>
      </c>
      <c r="K152">
        <v>2400</v>
      </c>
      <c r="L152">
        <v>0</v>
      </c>
      <c r="M152">
        <v>0</v>
      </c>
      <c r="N152">
        <v>2400</v>
      </c>
    </row>
    <row r="153" spans="1:14" x14ac:dyDescent="0.25">
      <c r="A153">
        <v>3.4605049999999999</v>
      </c>
      <c r="B153" s="1">
        <f>DATE(2010,5,4) + TIME(11,3,7)</f>
        <v>40302.460497685184</v>
      </c>
      <c r="C153">
        <v>80</v>
      </c>
      <c r="D153">
        <v>79.959556579999997</v>
      </c>
      <c r="E153">
        <v>50</v>
      </c>
      <c r="F153">
        <v>14.999741554</v>
      </c>
      <c r="G153">
        <v>1337.7659911999999</v>
      </c>
      <c r="H153">
        <v>1335.7744141000001</v>
      </c>
      <c r="I153">
        <v>1325.4636230000001</v>
      </c>
      <c r="J153">
        <v>1323.4851074000001</v>
      </c>
      <c r="K153">
        <v>2400</v>
      </c>
      <c r="L153">
        <v>0</v>
      </c>
      <c r="M153">
        <v>0</v>
      </c>
      <c r="N153">
        <v>2400</v>
      </c>
    </row>
    <row r="154" spans="1:14" x14ac:dyDescent="0.25">
      <c r="A154">
        <v>3.4914679999999998</v>
      </c>
      <c r="B154" s="1">
        <f>DATE(2010,5,4) + TIME(11,47,42)</f>
        <v>40302.49145833333</v>
      </c>
      <c r="C154">
        <v>80</v>
      </c>
      <c r="D154">
        <v>79.959899902000004</v>
      </c>
      <c r="E154">
        <v>50</v>
      </c>
      <c r="F154">
        <v>14.999742508000001</v>
      </c>
      <c r="G154">
        <v>1337.762207</v>
      </c>
      <c r="H154">
        <v>1335.7711182</v>
      </c>
      <c r="I154">
        <v>1325.4636230000001</v>
      </c>
      <c r="J154">
        <v>1323.4851074000001</v>
      </c>
      <c r="K154">
        <v>2400</v>
      </c>
      <c r="L154">
        <v>0</v>
      </c>
      <c r="M154">
        <v>0</v>
      </c>
      <c r="N154">
        <v>2400</v>
      </c>
    </row>
    <row r="155" spans="1:14" x14ac:dyDescent="0.25">
      <c r="A155">
        <v>3.5224299999999999</v>
      </c>
      <c r="B155" s="1">
        <f>DATE(2010,5,4) + TIME(12,32,17)</f>
        <v>40302.522418981483</v>
      </c>
      <c r="C155">
        <v>80</v>
      </c>
      <c r="D155">
        <v>79.960220336999996</v>
      </c>
      <c r="E155">
        <v>50</v>
      </c>
      <c r="F155">
        <v>14.999742508000001</v>
      </c>
      <c r="G155">
        <v>1337.7584228999999</v>
      </c>
      <c r="H155">
        <v>1335.7678223</v>
      </c>
      <c r="I155">
        <v>1325.4637451000001</v>
      </c>
      <c r="J155">
        <v>1323.4851074000001</v>
      </c>
      <c r="K155">
        <v>2400</v>
      </c>
      <c r="L155">
        <v>0</v>
      </c>
      <c r="M155">
        <v>0</v>
      </c>
      <c r="N155">
        <v>2400</v>
      </c>
    </row>
    <row r="156" spans="1:14" x14ac:dyDescent="0.25">
      <c r="A156">
        <v>3.5843539999999998</v>
      </c>
      <c r="B156" s="1">
        <f>DATE(2010,5,4) + TIME(14,1,28)</f>
        <v>40302.584351851852</v>
      </c>
      <c r="C156">
        <v>80</v>
      </c>
      <c r="D156">
        <v>79.960762024000005</v>
      </c>
      <c r="E156">
        <v>50</v>
      </c>
      <c r="F156">
        <v>14.999743462</v>
      </c>
      <c r="G156">
        <v>1337.7546387</v>
      </c>
      <c r="H156">
        <v>1335.7647704999999</v>
      </c>
      <c r="I156">
        <v>1325.4637451000001</v>
      </c>
      <c r="J156">
        <v>1323.4852295000001</v>
      </c>
      <c r="K156">
        <v>2400</v>
      </c>
      <c r="L156">
        <v>0</v>
      </c>
      <c r="M156">
        <v>0</v>
      </c>
      <c r="N156">
        <v>2400</v>
      </c>
    </row>
    <row r="157" spans="1:14" x14ac:dyDescent="0.25">
      <c r="A157">
        <v>3.6464099999999999</v>
      </c>
      <c r="B157" s="1">
        <f>DATE(2010,5,4) + TIME(15,30,49)</f>
        <v>40302.64640046296</v>
      </c>
      <c r="C157">
        <v>80</v>
      </c>
      <c r="D157">
        <v>79.961227417000003</v>
      </c>
      <c r="E157">
        <v>50</v>
      </c>
      <c r="F157">
        <v>14.999744415</v>
      </c>
      <c r="G157">
        <v>1337.7470702999999</v>
      </c>
      <c r="H157">
        <v>1335.7584228999999</v>
      </c>
      <c r="I157">
        <v>1325.4637451000001</v>
      </c>
      <c r="J157">
        <v>1323.4852295000001</v>
      </c>
      <c r="K157">
        <v>2400</v>
      </c>
      <c r="L157">
        <v>0</v>
      </c>
      <c r="M157">
        <v>0</v>
      </c>
      <c r="N157">
        <v>2400</v>
      </c>
    </row>
    <row r="158" spans="1:14" x14ac:dyDescent="0.25">
      <c r="A158">
        <v>3.708885</v>
      </c>
      <c r="B158" s="1">
        <f>DATE(2010,5,4) + TIME(17,0,47)</f>
        <v>40302.708877314813</v>
      </c>
      <c r="C158">
        <v>80</v>
      </c>
      <c r="D158">
        <v>79.961616516000007</v>
      </c>
      <c r="E158">
        <v>50</v>
      </c>
      <c r="F158">
        <v>14.999745368999999</v>
      </c>
      <c r="G158">
        <v>1337.7395019999999</v>
      </c>
      <c r="H158">
        <v>1335.7520752</v>
      </c>
      <c r="I158">
        <v>1325.4638672000001</v>
      </c>
      <c r="J158">
        <v>1323.4852295000001</v>
      </c>
      <c r="K158">
        <v>2400</v>
      </c>
      <c r="L158">
        <v>0</v>
      </c>
      <c r="M158">
        <v>0</v>
      </c>
      <c r="N158">
        <v>2400</v>
      </c>
    </row>
    <row r="159" spans="1:14" x14ac:dyDescent="0.25">
      <c r="A159">
        <v>3.7718780000000001</v>
      </c>
      <c r="B159" s="1">
        <f>DATE(2010,5,4) + TIME(18,31,30)</f>
        <v>40302.771874999999</v>
      </c>
      <c r="C159">
        <v>80</v>
      </c>
      <c r="D159">
        <v>79.961959839000002</v>
      </c>
      <c r="E159">
        <v>50</v>
      </c>
      <c r="F159">
        <v>14.999746323</v>
      </c>
      <c r="G159">
        <v>1337.7319336</v>
      </c>
      <c r="H159">
        <v>1335.7457274999999</v>
      </c>
      <c r="I159">
        <v>1325.4638672000001</v>
      </c>
      <c r="J159">
        <v>1323.4853516000001</v>
      </c>
      <c r="K159">
        <v>2400</v>
      </c>
      <c r="L159">
        <v>0</v>
      </c>
      <c r="M159">
        <v>0</v>
      </c>
      <c r="N159">
        <v>2400</v>
      </c>
    </row>
    <row r="160" spans="1:14" x14ac:dyDescent="0.25">
      <c r="A160">
        <v>3.8354889999999999</v>
      </c>
      <c r="B160" s="1">
        <f>DATE(2010,5,4) + TIME(20,3,6)</f>
        <v>40302.835486111115</v>
      </c>
      <c r="C160">
        <v>80</v>
      </c>
      <c r="D160">
        <v>79.962249756000006</v>
      </c>
      <c r="E160">
        <v>50</v>
      </c>
      <c r="F160">
        <v>14.999747276000001</v>
      </c>
      <c r="G160">
        <v>1337.7243652</v>
      </c>
      <c r="H160">
        <v>1335.7395019999999</v>
      </c>
      <c r="I160">
        <v>1325.4639893000001</v>
      </c>
      <c r="J160">
        <v>1323.4853516000001</v>
      </c>
      <c r="K160">
        <v>2400</v>
      </c>
      <c r="L160">
        <v>0</v>
      </c>
      <c r="M160">
        <v>0</v>
      </c>
      <c r="N160">
        <v>2400</v>
      </c>
    </row>
    <row r="161" spans="1:14" x14ac:dyDescent="0.25">
      <c r="A161">
        <v>3.899823</v>
      </c>
      <c r="B161" s="1">
        <f>DATE(2010,5,4) + TIME(21,35,44)</f>
        <v>40302.899814814817</v>
      </c>
      <c r="C161">
        <v>80</v>
      </c>
      <c r="D161">
        <v>79.962501525999997</v>
      </c>
      <c r="E161">
        <v>50</v>
      </c>
      <c r="F161">
        <v>14.99974823</v>
      </c>
      <c r="G161">
        <v>1337.7167969</v>
      </c>
      <c r="H161">
        <v>1335.7332764</v>
      </c>
      <c r="I161">
        <v>1325.4639893000001</v>
      </c>
      <c r="J161">
        <v>1323.4853516000001</v>
      </c>
      <c r="K161">
        <v>2400</v>
      </c>
      <c r="L161">
        <v>0</v>
      </c>
      <c r="M161">
        <v>0</v>
      </c>
      <c r="N161">
        <v>2400</v>
      </c>
    </row>
    <row r="162" spans="1:14" x14ac:dyDescent="0.25">
      <c r="A162">
        <v>3.964985</v>
      </c>
      <c r="B162" s="1">
        <f>DATE(2010,5,4) + TIME(23,9,34)</f>
        <v>40302.96497685185</v>
      </c>
      <c r="C162">
        <v>80</v>
      </c>
      <c r="D162">
        <v>79.962722778</v>
      </c>
      <c r="E162">
        <v>50</v>
      </c>
      <c r="F162">
        <v>14.99974823</v>
      </c>
      <c r="G162">
        <v>1337.7092285000001</v>
      </c>
      <c r="H162">
        <v>1335.7271728999999</v>
      </c>
      <c r="I162">
        <v>1325.4641113</v>
      </c>
      <c r="J162">
        <v>1323.4854736</v>
      </c>
      <c r="K162">
        <v>2400</v>
      </c>
      <c r="L162">
        <v>0</v>
      </c>
      <c r="M162">
        <v>0</v>
      </c>
      <c r="N162">
        <v>2400</v>
      </c>
    </row>
    <row r="163" spans="1:14" x14ac:dyDescent="0.25">
      <c r="A163">
        <v>4.0310870000000003</v>
      </c>
      <c r="B163" s="1">
        <f>DATE(2010,5,5) + TIME(0,44,45)</f>
        <v>40303.031076388892</v>
      </c>
      <c r="C163">
        <v>80</v>
      </c>
      <c r="D163">
        <v>79.962905883999994</v>
      </c>
      <c r="E163">
        <v>50</v>
      </c>
      <c r="F163">
        <v>14.999749184000001</v>
      </c>
      <c r="G163">
        <v>1337.7016602000001</v>
      </c>
      <c r="H163">
        <v>1335.7210693</v>
      </c>
      <c r="I163">
        <v>1325.4641113</v>
      </c>
      <c r="J163">
        <v>1323.4854736</v>
      </c>
      <c r="K163">
        <v>2400</v>
      </c>
      <c r="L163">
        <v>0</v>
      </c>
      <c r="M163">
        <v>0</v>
      </c>
      <c r="N163">
        <v>2400</v>
      </c>
    </row>
    <row r="164" spans="1:14" x14ac:dyDescent="0.25">
      <c r="A164">
        <v>4.0982450000000004</v>
      </c>
      <c r="B164" s="1">
        <f>DATE(2010,5,5) + TIME(2,21,28)</f>
        <v>40303.098240740743</v>
      </c>
      <c r="C164">
        <v>80</v>
      </c>
      <c r="D164">
        <v>79.963066100999995</v>
      </c>
      <c r="E164">
        <v>50</v>
      </c>
      <c r="F164">
        <v>14.999750136999999</v>
      </c>
      <c r="G164">
        <v>1337.6939697</v>
      </c>
      <c r="H164">
        <v>1335.7148437999999</v>
      </c>
      <c r="I164">
        <v>1325.4642334</v>
      </c>
      <c r="J164">
        <v>1323.4854736</v>
      </c>
      <c r="K164">
        <v>2400</v>
      </c>
      <c r="L164">
        <v>0</v>
      </c>
      <c r="M164">
        <v>0</v>
      </c>
      <c r="N164">
        <v>2400</v>
      </c>
    </row>
    <row r="165" spans="1:14" x14ac:dyDescent="0.25">
      <c r="A165">
        <v>4.1665910000000004</v>
      </c>
      <c r="B165" s="1">
        <f>DATE(2010,5,5) + TIME(3,59,53)</f>
        <v>40303.166585648149</v>
      </c>
      <c r="C165">
        <v>80</v>
      </c>
      <c r="D165">
        <v>79.963211060000006</v>
      </c>
      <c r="E165">
        <v>50</v>
      </c>
      <c r="F165">
        <v>14.999751091</v>
      </c>
      <c r="G165">
        <v>1337.6862793</v>
      </c>
      <c r="H165">
        <v>1335.7087402</v>
      </c>
      <c r="I165">
        <v>1325.4643555</v>
      </c>
      <c r="J165">
        <v>1323.4855957</v>
      </c>
      <c r="K165">
        <v>2400</v>
      </c>
      <c r="L165">
        <v>0</v>
      </c>
      <c r="M165">
        <v>0</v>
      </c>
      <c r="N165">
        <v>2400</v>
      </c>
    </row>
    <row r="166" spans="1:14" x14ac:dyDescent="0.25">
      <c r="A166">
        <v>4.2362679999999999</v>
      </c>
      <c r="B166" s="1">
        <f>DATE(2010,5,5) + TIME(5,40,13)</f>
        <v>40303.236261574071</v>
      </c>
      <c r="C166">
        <v>80</v>
      </c>
      <c r="D166">
        <v>79.963325499999996</v>
      </c>
      <c r="E166">
        <v>50</v>
      </c>
      <c r="F166">
        <v>14.999752044999999</v>
      </c>
      <c r="G166">
        <v>1337.6785889</v>
      </c>
      <c r="H166">
        <v>1335.7026367000001</v>
      </c>
      <c r="I166">
        <v>1325.4643555</v>
      </c>
      <c r="J166">
        <v>1323.4855957</v>
      </c>
      <c r="K166">
        <v>2400</v>
      </c>
      <c r="L166">
        <v>0</v>
      </c>
      <c r="M166">
        <v>0</v>
      </c>
      <c r="N166">
        <v>2400</v>
      </c>
    </row>
    <row r="167" spans="1:14" x14ac:dyDescent="0.25">
      <c r="A167">
        <v>4.3073969999999999</v>
      </c>
      <c r="B167" s="1">
        <f>DATE(2010,5,5) + TIME(7,22,39)</f>
        <v>40303.307395833333</v>
      </c>
      <c r="C167">
        <v>80</v>
      </c>
      <c r="D167">
        <v>79.963432311999995</v>
      </c>
      <c r="E167">
        <v>50</v>
      </c>
      <c r="F167">
        <v>14.999752998</v>
      </c>
      <c r="G167">
        <v>1337.6707764</v>
      </c>
      <c r="H167">
        <v>1335.6965332</v>
      </c>
      <c r="I167">
        <v>1325.4644774999999</v>
      </c>
      <c r="J167">
        <v>1323.4855957</v>
      </c>
      <c r="K167">
        <v>2400</v>
      </c>
      <c r="L167">
        <v>0</v>
      </c>
      <c r="M167">
        <v>0</v>
      </c>
      <c r="N167">
        <v>2400</v>
      </c>
    </row>
    <row r="168" spans="1:14" x14ac:dyDescent="0.25">
      <c r="A168">
        <v>4.3801310000000004</v>
      </c>
      <c r="B168" s="1">
        <f>DATE(2010,5,5) + TIME(9,7,23)</f>
        <v>40303.380127314813</v>
      </c>
      <c r="C168">
        <v>80</v>
      </c>
      <c r="D168">
        <v>79.963523864999999</v>
      </c>
      <c r="E168">
        <v>50</v>
      </c>
      <c r="F168">
        <v>14.999753952000001</v>
      </c>
      <c r="G168">
        <v>1337.6629639</v>
      </c>
      <c r="H168">
        <v>1335.6904297000001</v>
      </c>
      <c r="I168">
        <v>1325.4644774999999</v>
      </c>
      <c r="J168">
        <v>1323.4857178</v>
      </c>
      <c r="K168">
        <v>2400</v>
      </c>
      <c r="L168">
        <v>0</v>
      </c>
      <c r="M168">
        <v>0</v>
      </c>
      <c r="N168">
        <v>2400</v>
      </c>
    </row>
    <row r="169" spans="1:14" x14ac:dyDescent="0.25">
      <c r="A169">
        <v>4.4545579999999996</v>
      </c>
      <c r="B169" s="1">
        <f>DATE(2010,5,5) + TIME(10,54,33)</f>
        <v>40303.454548611109</v>
      </c>
      <c r="C169">
        <v>80</v>
      </c>
      <c r="D169">
        <v>79.963600158999995</v>
      </c>
      <c r="E169">
        <v>50</v>
      </c>
      <c r="F169">
        <v>14.999753952000001</v>
      </c>
      <c r="G169">
        <v>1337.6550293</v>
      </c>
      <c r="H169">
        <v>1335.6842041</v>
      </c>
      <c r="I169">
        <v>1325.4645995999999</v>
      </c>
      <c r="J169">
        <v>1323.4857178</v>
      </c>
      <c r="K169">
        <v>2400</v>
      </c>
      <c r="L169">
        <v>0</v>
      </c>
      <c r="M169">
        <v>0</v>
      </c>
      <c r="N169">
        <v>2400</v>
      </c>
    </row>
    <row r="170" spans="1:14" x14ac:dyDescent="0.25">
      <c r="A170">
        <v>4.5306829999999998</v>
      </c>
      <c r="B170" s="1">
        <f>DATE(2010,5,5) + TIME(12,44,11)</f>
        <v>40303.530682870369</v>
      </c>
      <c r="C170">
        <v>80</v>
      </c>
      <c r="D170">
        <v>79.963661193999997</v>
      </c>
      <c r="E170">
        <v>50</v>
      </c>
      <c r="F170">
        <v>14.999754906</v>
      </c>
      <c r="G170">
        <v>1337.6469727000001</v>
      </c>
      <c r="H170">
        <v>1335.6781006000001</v>
      </c>
      <c r="I170">
        <v>1325.4645995999999</v>
      </c>
      <c r="J170">
        <v>1323.4858397999999</v>
      </c>
      <c r="K170">
        <v>2400</v>
      </c>
      <c r="L170">
        <v>0</v>
      </c>
      <c r="M170">
        <v>0</v>
      </c>
      <c r="N170">
        <v>2400</v>
      </c>
    </row>
    <row r="171" spans="1:14" x14ac:dyDescent="0.25">
      <c r="A171">
        <v>4.6086869999999998</v>
      </c>
      <c r="B171" s="1">
        <f>DATE(2010,5,5) + TIME(14,36,30)</f>
        <v>40303.608680555553</v>
      </c>
      <c r="C171">
        <v>80</v>
      </c>
      <c r="D171">
        <v>79.963714600000003</v>
      </c>
      <c r="E171">
        <v>50</v>
      </c>
      <c r="F171">
        <v>14.999755859</v>
      </c>
      <c r="G171">
        <v>1337.6389160000001</v>
      </c>
      <c r="H171">
        <v>1335.671875</v>
      </c>
      <c r="I171">
        <v>1325.4647216999999</v>
      </c>
      <c r="J171">
        <v>1323.4858397999999</v>
      </c>
      <c r="K171">
        <v>2400</v>
      </c>
      <c r="L171">
        <v>0</v>
      </c>
      <c r="M171">
        <v>0</v>
      </c>
      <c r="N171">
        <v>2400</v>
      </c>
    </row>
    <row r="172" spans="1:14" x14ac:dyDescent="0.25">
      <c r="A172">
        <v>4.6887610000000004</v>
      </c>
      <c r="B172" s="1">
        <f>DATE(2010,5,5) + TIME(16,31,48)</f>
        <v>40303.688750000001</v>
      </c>
      <c r="C172">
        <v>80</v>
      </c>
      <c r="D172">
        <v>79.963752747000001</v>
      </c>
      <c r="E172">
        <v>50</v>
      </c>
      <c r="F172">
        <v>14.999756812999999</v>
      </c>
      <c r="G172">
        <v>1337.6307373</v>
      </c>
      <c r="H172">
        <v>1335.6656493999999</v>
      </c>
      <c r="I172">
        <v>1325.4648437999999</v>
      </c>
      <c r="J172">
        <v>1323.4858397999999</v>
      </c>
      <c r="K172">
        <v>2400</v>
      </c>
      <c r="L172">
        <v>0</v>
      </c>
      <c r="M172">
        <v>0</v>
      </c>
      <c r="N172">
        <v>2400</v>
      </c>
    </row>
    <row r="173" spans="1:14" x14ac:dyDescent="0.25">
      <c r="A173">
        <v>4.7290450000000002</v>
      </c>
      <c r="B173" s="1">
        <f>DATE(2010,5,5) + TIME(17,29,49)</f>
        <v>40303.729039351849</v>
      </c>
      <c r="C173">
        <v>80</v>
      </c>
      <c r="D173">
        <v>79.963768005000006</v>
      </c>
      <c r="E173">
        <v>50</v>
      </c>
      <c r="F173">
        <v>14.999757767</v>
      </c>
      <c r="G173">
        <v>1337.6223144999999</v>
      </c>
      <c r="H173">
        <v>1335.6591797000001</v>
      </c>
      <c r="I173">
        <v>1325.4648437999999</v>
      </c>
      <c r="J173">
        <v>1323.4859618999999</v>
      </c>
      <c r="K173">
        <v>2400</v>
      </c>
      <c r="L173">
        <v>0</v>
      </c>
      <c r="M173">
        <v>0</v>
      </c>
      <c r="N173">
        <v>2400</v>
      </c>
    </row>
    <row r="174" spans="1:14" x14ac:dyDescent="0.25">
      <c r="A174">
        <v>4.7693289999999999</v>
      </c>
      <c r="B174" s="1">
        <f>DATE(2010,5,5) + TIME(18,27,50)</f>
        <v>40303.769328703704</v>
      </c>
      <c r="C174">
        <v>80</v>
      </c>
      <c r="D174">
        <v>79.963783264</v>
      </c>
      <c r="E174">
        <v>50</v>
      </c>
      <c r="F174">
        <v>14.999757767</v>
      </c>
      <c r="G174">
        <v>1337.6181641000001</v>
      </c>
      <c r="H174">
        <v>1335.6561279</v>
      </c>
      <c r="I174">
        <v>1325.4648437999999</v>
      </c>
      <c r="J174">
        <v>1323.4859618999999</v>
      </c>
      <c r="K174">
        <v>2400</v>
      </c>
      <c r="L174">
        <v>0</v>
      </c>
      <c r="M174">
        <v>0</v>
      </c>
      <c r="N174">
        <v>2400</v>
      </c>
    </row>
    <row r="175" spans="1:14" x14ac:dyDescent="0.25">
      <c r="A175">
        <v>4.8096129999999997</v>
      </c>
      <c r="B175" s="1">
        <f>DATE(2010,5,5) + TIME(19,25,50)</f>
        <v>40303.809606481482</v>
      </c>
      <c r="C175">
        <v>80</v>
      </c>
      <c r="D175">
        <v>79.963798522999994</v>
      </c>
      <c r="E175">
        <v>50</v>
      </c>
      <c r="F175">
        <v>14.999757767</v>
      </c>
      <c r="G175">
        <v>1337.6140137</v>
      </c>
      <c r="H175">
        <v>1335.6530762</v>
      </c>
      <c r="I175">
        <v>1325.4649658000001</v>
      </c>
      <c r="J175">
        <v>1323.4859618999999</v>
      </c>
      <c r="K175">
        <v>2400</v>
      </c>
      <c r="L175">
        <v>0</v>
      </c>
      <c r="M175">
        <v>0</v>
      </c>
      <c r="N175">
        <v>2400</v>
      </c>
    </row>
    <row r="176" spans="1:14" x14ac:dyDescent="0.25">
      <c r="A176">
        <v>4.8498970000000003</v>
      </c>
      <c r="B176" s="1">
        <f>DATE(2010,5,5) + TIME(20,23,51)</f>
        <v>40303.849895833337</v>
      </c>
      <c r="C176">
        <v>80</v>
      </c>
      <c r="D176">
        <v>79.963806152000004</v>
      </c>
      <c r="E176">
        <v>50</v>
      </c>
      <c r="F176">
        <v>14.999758720000001</v>
      </c>
      <c r="G176">
        <v>1337.6099853999999</v>
      </c>
      <c r="H176">
        <v>1335.6500243999999</v>
      </c>
      <c r="I176">
        <v>1325.4649658000001</v>
      </c>
      <c r="J176">
        <v>1323.4859618999999</v>
      </c>
      <c r="K176">
        <v>2400</v>
      </c>
      <c r="L176">
        <v>0</v>
      </c>
      <c r="M176">
        <v>0</v>
      </c>
      <c r="N176">
        <v>2400</v>
      </c>
    </row>
    <row r="177" spans="1:14" x14ac:dyDescent="0.25">
      <c r="A177">
        <v>4.89018</v>
      </c>
      <c r="B177" s="1">
        <f>DATE(2010,5,5) + TIME(21,21,51)</f>
        <v>40303.890173611115</v>
      </c>
      <c r="C177">
        <v>80</v>
      </c>
      <c r="D177">
        <v>79.963813782000003</v>
      </c>
      <c r="E177">
        <v>50</v>
      </c>
      <c r="F177">
        <v>14.999758720000001</v>
      </c>
      <c r="G177">
        <v>1337.605957</v>
      </c>
      <c r="H177">
        <v>1335.6469727000001</v>
      </c>
      <c r="I177">
        <v>1325.4649658000001</v>
      </c>
      <c r="J177">
        <v>1323.4860839999999</v>
      </c>
      <c r="K177">
        <v>2400</v>
      </c>
      <c r="L177">
        <v>0</v>
      </c>
      <c r="M177">
        <v>0</v>
      </c>
      <c r="N177">
        <v>2400</v>
      </c>
    </row>
    <row r="178" spans="1:14" x14ac:dyDescent="0.25">
      <c r="A178">
        <v>4.9304639999999997</v>
      </c>
      <c r="B178" s="1">
        <f>DATE(2010,5,5) + TIME(22,19,52)</f>
        <v>40303.930462962962</v>
      </c>
      <c r="C178">
        <v>80</v>
      </c>
      <c r="D178">
        <v>79.963821410999998</v>
      </c>
      <c r="E178">
        <v>50</v>
      </c>
      <c r="F178">
        <v>14.999759674</v>
      </c>
      <c r="G178">
        <v>1337.6019286999999</v>
      </c>
      <c r="H178">
        <v>1335.6439209</v>
      </c>
      <c r="I178">
        <v>1325.4650879000001</v>
      </c>
      <c r="J178">
        <v>1323.4860839999999</v>
      </c>
      <c r="K178">
        <v>2400</v>
      </c>
      <c r="L178">
        <v>0</v>
      </c>
      <c r="M178">
        <v>0</v>
      </c>
      <c r="N178">
        <v>2400</v>
      </c>
    </row>
    <row r="179" spans="1:14" x14ac:dyDescent="0.25">
      <c r="A179">
        <v>4.9707480000000004</v>
      </c>
      <c r="B179" s="1">
        <f>DATE(2010,5,5) + TIME(23,17,52)</f>
        <v>40303.97074074074</v>
      </c>
      <c r="C179">
        <v>80</v>
      </c>
      <c r="D179">
        <v>79.963829040999997</v>
      </c>
      <c r="E179">
        <v>50</v>
      </c>
      <c r="F179">
        <v>14.999759674</v>
      </c>
      <c r="G179">
        <v>1337.5979004000001</v>
      </c>
      <c r="H179">
        <v>1335.6409911999999</v>
      </c>
      <c r="I179">
        <v>1325.4650879000001</v>
      </c>
      <c r="J179">
        <v>1323.4860839999999</v>
      </c>
      <c r="K179">
        <v>2400</v>
      </c>
      <c r="L179">
        <v>0</v>
      </c>
      <c r="M179">
        <v>0</v>
      </c>
      <c r="N179">
        <v>2400</v>
      </c>
    </row>
    <row r="180" spans="1:14" x14ac:dyDescent="0.25">
      <c r="A180">
        <v>5.0110320000000002</v>
      </c>
      <c r="B180" s="1">
        <f>DATE(2010,5,6) + TIME(0,15,53)</f>
        <v>40304.011030092595</v>
      </c>
      <c r="C180">
        <v>80</v>
      </c>
      <c r="D180">
        <v>79.963836670000006</v>
      </c>
      <c r="E180">
        <v>50</v>
      </c>
      <c r="F180">
        <v>14.999760628000001</v>
      </c>
      <c r="G180">
        <v>1337.5938721</v>
      </c>
      <c r="H180">
        <v>1335.6380615</v>
      </c>
      <c r="I180">
        <v>1325.4650879000001</v>
      </c>
      <c r="J180">
        <v>1323.4860839999999</v>
      </c>
      <c r="K180">
        <v>2400</v>
      </c>
      <c r="L180">
        <v>0</v>
      </c>
      <c r="M180">
        <v>0</v>
      </c>
      <c r="N180">
        <v>2400</v>
      </c>
    </row>
    <row r="181" spans="1:14" x14ac:dyDescent="0.25">
      <c r="A181">
        <v>5.0513159999999999</v>
      </c>
      <c r="B181" s="1">
        <f>DATE(2010,5,6) + TIME(1,13,53)</f>
        <v>40304.051307870373</v>
      </c>
      <c r="C181">
        <v>80</v>
      </c>
      <c r="D181">
        <v>79.963836670000006</v>
      </c>
      <c r="E181">
        <v>50</v>
      </c>
      <c r="F181">
        <v>14.999760628000001</v>
      </c>
      <c r="G181">
        <v>1337.5899658000001</v>
      </c>
      <c r="H181">
        <v>1335.6350098</v>
      </c>
      <c r="I181">
        <v>1325.4652100000001</v>
      </c>
      <c r="J181">
        <v>1323.4860839999999</v>
      </c>
      <c r="K181">
        <v>2400</v>
      </c>
      <c r="L181">
        <v>0</v>
      </c>
      <c r="M181">
        <v>0</v>
      </c>
      <c r="N181">
        <v>2400</v>
      </c>
    </row>
    <row r="182" spans="1:14" x14ac:dyDescent="0.25">
      <c r="A182">
        <v>5.0915999999999997</v>
      </c>
      <c r="B182" s="1">
        <f>DATE(2010,5,6) + TIME(2,11,54)</f>
        <v>40304.091597222221</v>
      </c>
      <c r="C182">
        <v>80</v>
      </c>
      <c r="D182">
        <v>79.963836670000006</v>
      </c>
      <c r="E182">
        <v>50</v>
      </c>
      <c r="F182">
        <v>14.999761581</v>
      </c>
      <c r="G182">
        <v>1337.5860596</v>
      </c>
      <c r="H182">
        <v>1335.6322021000001</v>
      </c>
      <c r="I182">
        <v>1325.4652100000001</v>
      </c>
      <c r="J182">
        <v>1323.4862060999999</v>
      </c>
      <c r="K182">
        <v>2400</v>
      </c>
      <c r="L182">
        <v>0</v>
      </c>
      <c r="M182">
        <v>0</v>
      </c>
      <c r="N182">
        <v>2400</v>
      </c>
    </row>
    <row r="183" spans="1:14" x14ac:dyDescent="0.25">
      <c r="A183">
        <v>5.1318830000000002</v>
      </c>
      <c r="B183" s="1">
        <f>DATE(2010,5,6) + TIME(3,9,54)</f>
        <v>40304.131874999999</v>
      </c>
      <c r="C183">
        <v>80</v>
      </c>
      <c r="D183">
        <v>79.963844299000002</v>
      </c>
      <c r="E183">
        <v>50</v>
      </c>
      <c r="F183">
        <v>14.999761581</v>
      </c>
      <c r="G183">
        <v>1337.5821533000001</v>
      </c>
      <c r="H183">
        <v>1335.6292725000001</v>
      </c>
      <c r="I183">
        <v>1325.4652100000001</v>
      </c>
      <c r="J183">
        <v>1323.4862060999999</v>
      </c>
      <c r="K183">
        <v>2400</v>
      </c>
      <c r="L183">
        <v>0</v>
      </c>
      <c r="M183">
        <v>0</v>
      </c>
      <c r="N183">
        <v>2400</v>
      </c>
    </row>
    <row r="184" spans="1:14" x14ac:dyDescent="0.25">
      <c r="A184">
        <v>5.172167</v>
      </c>
      <c r="B184" s="1">
        <f>DATE(2010,5,6) + TIME(4,7,55)</f>
        <v>40304.172164351854</v>
      </c>
      <c r="C184">
        <v>80</v>
      </c>
      <c r="D184">
        <v>79.963844299000002</v>
      </c>
      <c r="E184">
        <v>50</v>
      </c>
      <c r="F184">
        <v>14.999761581</v>
      </c>
      <c r="G184">
        <v>1337.5782471</v>
      </c>
      <c r="H184">
        <v>1335.6263428</v>
      </c>
      <c r="I184">
        <v>1325.465332</v>
      </c>
      <c r="J184">
        <v>1323.4862060999999</v>
      </c>
      <c r="K184">
        <v>2400</v>
      </c>
      <c r="L184">
        <v>0</v>
      </c>
      <c r="M184">
        <v>0</v>
      </c>
      <c r="N184">
        <v>2400</v>
      </c>
    </row>
    <row r="185" spans="1:14" x14ac:dyDescent="0.25">
      <c r="A185">
        <v>5.2124509999999997</v>
      </c>
      <c r="B185" s="1">
        <f>DATE(2010,5,6) + TIME(5,5,55)</f>
        <v>40304.212442129632</v>
      </c>
      <c r="C185">
        <v>80</v>
      </c>
      <c r="D185">
        <v>79.963844299000002</v>
      </c>
      <c r="E185">
        <v>50</v>
      </c>
      <c r="F185">
        <v>14.999762535</v>
      </c>
      <c r="G185">
        <v>1337.5744629000001</v>
      </c>
      <c r="H185">
        <v>1335.6235352000001</v>
      </c>
      <c r="I185">
        <v>1325.465332</v>
      </c>
      <c r="J185">
        <v>1323.4862060999999</v>
      </c>
      <c r="K185">
        <v>2400</v>
      </c>
      <c r="L185">
        <v>0</v>
      </c>
      <c r="M185">
        <v>0</v>
      </c>
      <c r="N185">
        <v>2400</v>
      </c>
    </row>
    <row r="186" spans="1:14" x14ac:dyDescent="0.25">
      <c r="A186">
        <v>5.2527350000000004</v>
      </c>
      <c r="B186" s="1">
        <f>DATE(2010,5,6) + TIME(6,3,56)</f>
        <v>40304.25273148148</v>
      </c>
      <c r="C186">
        <v>80</v>
      </c>
      <c r="D186">
        <v>79.963836670000006</v>
      </c>
      <c r="E186">
        <v>50</v>
      </c>
      <c r="F186">
        <v>14.999762535</v>
      </c>
      <c r="G186">
        <v>1337.5706786999999</v>
      </c>
      <c r="H186">
        <v>1335.6207274999999</v>
      </c>
      <c r="I186">
        <v>1325.465332</v>
      </c>
      <c r="J186">
        <v>1323.4862060999999</v>
      </c>
      <c r="K186">
        <v>2400</v>
      </c>
      <c r="L186">
        <v>0</v>
      </c>
      <c r="M186">
        <v>0</v>
      </c>
      <c r="N186">
        <v>2400</v>
      </c>
    </row>
    <row r="187" spans="1:14" x14ac:dyDescent="0.25">
      <c r="A187">
        <v>5.3333019999999998</v>
      </c>
      <c r="B187" s="1">
        <f>DATE(2010,5,6) + TIME(7,59,57)</f>
        <v>40304.333298611113</v>
      </c>
      <c r="C187">
        <v>80</v>
      </c>
      <c r="D187">
        <v>79.963836670000006</v>
      </c>
      <c r="E187">
        <v>50</v>
      </c>
      <c r="F187">
        <v>14.999763488999999</v>
      </c>
      <c r="G187">
        <v>1337.5670166</v>
      </c>
      <c r="H187">
        <v>1335.6180420000001</v>
      </c>
      <c r="I187">
        <v>1325.4654541</v>
      </c>
      <c r="J187">
        <v>1323.4863281</v>
      </c>
      <c r="K187">
        <v>2400</v>
      </c>
      <c r="L187">
        <v>0</v>
      </c>
      <c r="M187">
        <v>0</v>
      </c>
      <c r="N187">
        <v>2400</v>
      </c>
    </row>
    <row r="188" spans="1:14" x14ac:dyDescent="0.25">
      <c r="A188">
        <v>5.4141310000000002</v>
      </c>
      <c r="B188" s="1">
        <f>DATE(2010,5,6) + TIME(9,56,20)</f>
        <v>40304.414120370369</v>
      </c>
      <c r="C188">
        <v>80</v>
      </c>
      <c r="D188">
        <v>79.963836670000006</v>
      </c>
      <c r="E188">
        <v>50</v>
      </c>
      <c r="F188">
        <v>14.999764442</v>
      </c>
      <c r="G188">
        <v>1337.5594481999999</v>
      </c>
      <c r="H188">
        <v>1335.6125488</v>
      </c>
      <c r="I188">
        <v>1325.4654541</v>
      </c>
      <c r="J188">
        <v>1323.4863281</v>
      </c>
      <c r="K188">
        <v>2400</v>
      </c>
      <c r="L188">
        <v>0</v>
      </c>
      <c r="M188">
        <v>0</v>
      </c>
      <c r="N188">
        <v>2400</v>
      </c>
    </row>
    <row r="189" spans="1:14" x14ac:dyDescent="0.25">
      <c r="A189">
        <v>5.4956930000000002</v>
      </c>
      <c r="B189" s="1">
        <f>DATE(2010,5,6) + TIME(11,53,47)</f>
        <v>40304.495682870373</v>
      </c>
      <c r="C189">
        <v>80</v>
      </c>
      <c r="D189">
        <v>79.963829040999997</v>
      </c>
      <c r="E189">
        <v>50</v>
      </c>
      <c r="F189">
        <v>14.999765396000001</v>
      </c>
      <c r="G189">
        <v>1337.5520019999999</v>
      </c>
      <c r="H189">
        <v>1335.6071777</v>
      </c>
      <c r="I189">
        <v>1325.4655762</v>
      </c>
      <c r="J189">
        <v>1323.4864502</v>
      </c>
      <c r="K189">
        <v>2400</v>
      </c>
      <c r="L189">
        <v>0</v>
      </c>
      <c r="M189">
        <v>0</v>
      </c>
      <c r="N189">
        <v>2400</v>
      </c>
    </row>
    <row r="190" spans="1:14" x14ac:dyDescent="0.25">
      <c r="A190">
        <v>5.5781289999999997</v>
      </c>
      <c r="B190" s="1">
        <f>DATE(2010,5,6) + TIME(13,52,30)</f>
        <v>40304.578125</v>
      </c>
      <c r="C190">
        <v>80</v>
      </c>
      <c r="D190">
        <v>79.963813782000003</v>
      </c>
      <c r="E190">
        <v>50</v>
      </c>
      <c r="F190">
        <v>14.999765396000001</v>
      </c>
      <c r="G190">
        <v>1337.5446777</v>
      </c>
      <c r="H190">
        <v>1335.6018065999999</v>
      </c>
      <c r="I190">
        <v>1325.4655762</v>
      </c>
      <c r="J190">
        <v>1323.4864502</v>
      </c>
      <c r="K190">
        <v>2400</v>
      </c>
      <c r="L190">
        <v>0</v>
      </c>
      <c r="M190">
        <v>0</v>
      </c>
      <c r="N190">
        <v>2400</v>
      </c>
    </row>
    <row r="191" spans="1:14" x14ac:dyDescent="0.25">
      <c r="A191">
        <v>5.6615859999999998</v>
      </c>
      <c r="B191" s="1">
        <f>DATE(2010,5,6) + TIME(15,52,40)</f>
        <v>40304.661574074074</v>
      </c>
      <c r="C191">
        <v>80</v>
      </c>
      <c r="D191">
        <v>79.963798522999994</v>
      </c>
      <c r="E191">
        <v>50</v>
      </c>
      <c r="F191">
        <v>14.99976635</v>
      </c>
      <c r="G191">
        <v>1337.5372314000001</v>
      </c>
      <c r="H191">
        <v>1335.5964355000001</v>
      </c>
      <c r="I191">
        <v>1325.4656981999999</v>
      </c>
      <c r="J191">
        <v>1323.4864502</v>
      </c>
      <c r="K191">
        <v>2400</v>
      </c>
      <c r="L191">
        <v>0</v>
      </c>
      <c r="M191">
        <v>0</v>
      </c>
      <c r="N191">
        <v>2400</v>
      </c>
    </row>
    <row r="192" spans="1:14" x14ac:dyDescent="0.25">
      <c r="A192">
        <v>5.7462150000000003</v>
      </c>
      <c r="B192" s="1">
        <f>DATE(2010,5,6) + TIME(17,54,33)</f>
        <v>40304.746215277781</v>
      </c>
      <c r="C192">
        <v>80</v>
      </c>
      <c r="D192">
        <v>79.963783264</v>
      </c>
      <c r="E192">
        <v>50</v>
      </c>
      <c r="F192">
        <v>14.999767303</v>
      </c>
      <c r="G192">
        <v>1337.5299072</v>
      </c>
      <c r="H192">
        <v>1335.5911865</v>
      </c>
      <c r="I192">
        <v>1325.4658202999999</v>
      </c>
      <c r="J192">
        <v>1323.4865723</v>
      </c>
      <c r="K192">
        <v>2400</v>
      </c>
      <c r="L192">
        <v>0</v>
      </c>
      <c r="M192">
        <v>0</v>
      </c>
      <c r="N192">
        <v>2400</v>
      </c>
    </row>
    <row r="193" spans="1:14" x14ac:dyDescent="0.25">
      <c r="A193">
        <v>5.832179</v>
      </c>
      <c r="B193" s="1">
        <f>DATE(2010,5,6) + TIME(19,58,20)</f>
        <v>40304.832175925927</v>
      </c>
      <c r="C193">
        <v>80</v>
      </c>
      <c r="D193">
        <v>79.963768005000006</v>
      </c>
      <c r="E193">
        <v>50</v>
      </c>
      <c r="F193">
        <v>14.999768256999999</v>
      </c>
      <c r="G193">
        <v>1337.5224608999999</v>
      </c>
      <c r="H193">
        <v>1335.5858154</v>
      </c>
      <c r="I193">
        <v>1325.4658202999999</v>
      </c>
      <c r="J193">
        <v>1323.4865723</v>
      </c>
      <c r="K193">
        <v>2400</v>
      </c>
      <c r="L193">
        <v>0</v>
      </c>
      <c r="M193">
        <v>0</v>
      </c>
      <c r="N193">
        <v>2400</v>
      </c>
    </row>
    <row r="194" spans="1:14" x14ac:dyDescent="0.25">
      <c r="A194">
        <v>5.9196730000000004</v>
      </c>
      <c r="B194" s="1">
        <f>DATE(2010,5,6) + TIME(22,4,19)</f>
        <v>40304.919664351852</v>
      </c>
      <c r="C194">
        <v>80</v>
      </c>
      <c r="D194">
        <v>79.963745117000002</v>
      </c>
      <c r="E194">
        <v>50</v>
      </c>
      <c r="F194">
        <v>14.999769211</v>
      </c>
      <c r="G194">
        <v>1337.5151367000001</v>
      </c>
      <c r="H194">
        <v>1335.5805664</v>
      </c>
      <c r="I194">
        <v>1325.4659423999999</v>
      </c>
      <c r="J194">
        <v>1323.4866943</v>
      </c>
      <c r="K194">
        <v>2400</v>
      </c>
      <c r="L194">
        <v>0</v>
      </c>
      <c r="M194">
        <v>0</v>
      </c>
      <c r="N194">
        <v>2400</v>
      </c>
    </row>
    <row r="195" spans="1:14" x14ac:dyDescent="0.25">
      <c r="A195">
        <v>6.0088660000000003</v>
      </c>
      <c r="B195" s="1">
        <f>DATE(2010,5,7) + TIME(0,12,46)</f>
        <v>40305.00886574074</v>
      </c>
      <c r="C195">
        <v>80</v>
      </c>
      <c r="D195">
        <v>79.963722228999998</v>
      </c>
      <c r="E195">
        <v>50</v>
      </c>
      <c r="F195">
        <v>14.999769211</v>
      </c>
      <c r="G195">
        <v>1337.5076904</v>
      </c>
      <c r="H195">
        <v>1335.5753173999999</v>
      </c>
      <c r="I195">
        <v>1325.4660644999999</v>
      </c>
      <c r="J195">
        <v>1323.4866943</v>
      </c>
      <c r="K195">
        <v>2400</v>
      </c>
      <c r="L195">
        <v>0</v>
      </c>
      <c r="M195">
        <v>0</v>
      </c>
      <c r="N195">
        <v>2400</v>
      </c>
    </row>
    <row r="196" spans="1:14" x14ac:dyDescent="0.25">
      <c r="A196">
        <v>6.0999340000000002</v>
      </c>
      <c r="B196" s="1">
        <f>DATE(2010,5,7) + TIME(2,23,54)</f>
        <v>40305.099930555552</v>
      </c>
      <c r="C196">
        <v>80</v>
      </c>
      <c r="D196">
        <v>79.963699340999995</v>
      </c>
      <c r="E196">
        <v>50</v>
      </c>
      <c r="F196">
        <v>14.999770163999999</v>
      </c>
      <c r="G196">
        <v>1337.5002440999999</v>
      </c>
      <c r="H196">
        <v>1335.5700684000001</v>
      </c>
      <c r="I196">
        <v>1325.4660644999999</v>
      </c>
      <c r="J196">
        <v>1323.4868164</v>
      </c>
      <c r="K196">
        <v>2400</v>
      </c>
      <c r="L196">
        <v>0</v>
      </c>
      <c r="M196">
        <v>0</v>
      </c>
      <c r="N196">
        <v>2400</v>
      </c>
    </row>
    <row r="197" spans="1:14" x14ac:dyDescent="0.25">
      <c r="A197">
        <v>6.1927349999999999</v>
      </c>
      <c r="B197" s="1">
        <f>DATE(2010,5,7) + TIME(4,37,32)</f>
        <v>40305.192731481482</v>
      </c>
      <c r="C197">
        <v>80</v>
      </c>
      <c r="D197">
        <v>79.963668823000006</v>
      </c>
      <c r="E197">
        <v>50</v>
      </c>
      <c r="F197">
        <v>14.999771118</v>
      </c>
      <c r="G197">
        <v>1337.4926757999999</v>
      </c>
      <c r="H197">
        <v>1335.5649414</v>
      </c>
      <c r="I197">
        <v>1325.4661865</v>
      </c>
      <c r="J197">
        <v>1323.4868164</v>
      </c>
      <c r="K197">
        <v>2400</v>
      </c>
      <c r="L197">
        <v>0</v>
      </c>
      <c r="M197">
        <v>0</v>
      </c>
      <c r="N197">
        <v>2400</v>
      </c>
    </row>
    <row r="198" spans="1:14" x14ac:dyDescent="0.25">
      <c r="A198">
        <v>6.2874549999999996</v>
      </c>
      <c r="B198" s="1">
        <f>DATE(2010,5,7) + TIME(6,53,56)</f>
        <v>40305.287453703706</v>
      </c>
      <c r="C198">
        <v>80</v>
      </c>
      <c r="D198">
        <v>79.963638306000007</v>
      </c>
      <c r="E198">
        <v>50</v>
      </c>
      <c r="F198">
        <v>14.999772072000001</v>
      </c>
      <c r="G198">
        <v>1337.4851074000001</v>
      </c>
      <c r="H198">
        <v>1335.5596923999999</v>
      </c>
      <c r="I198">
        <v>1325.4663086</v>
      </c>
      <c r="J198">
        <v>1323.4869385</v>
      </c>
      <c r="K198">
        <v>2400</v>
      </c>
      <c r="L198">
        <v>0</v>
      </c>
      <c r="M198">
        <v>0</v>
      </c>
      <c r="N198">
        <v>2400</v>
      </c>
    </row>
    <row r="199" spans="1:14" x14ac:dyDescent="0.25">
      <c r="A199">
        <v>6.384315</v>
      </c>
      <c r="B199" s="1">
        <f>DATE(2010,5,7) + TIME(9,13,24)</f>
        <v>40305.384305555555</v>
      </c>
      <c r="C199">
        <v>80</v>
      </c>
      <c r="D199">
        <v>79.963607788000004</v>
      </c>
      <c r="E199">
        <v>50</v>
      </c>
      <c r="F199">
        <v>14.999773026</v>
      </c>
      <c r="G199">
        <v>1337.4775391000001</v>
      </c>
      <c r="H199">
        <v>1335.5544434000001</v>
      </c>
      <c r="I199">
        <v>1325.4664307</v>
      </c>
      <c r="J199">
        <v>1323.4869385</v>
      </c>
      <c r="K199">
        <v>2400</v>
      </c>
      <c r="L199">
        <v>0</v>
      </c>
      <c r="M199">
        <v>0</v>
      </c>
      <c r="N199">
        <v>2400</v>
      </c>
    </row>
    <row r="200" spans="1:14" x14ac:dyDescent="0.25">
      <c r="A200">
        <v>6.4834009999999997</v>
      </c>
      <c r="B200" s="1">
        <f>DATE(2010,5,7) + TIME(11,36,5)</f>
        <v>40305.483391203707</v>
      </c>
      <c r="C200">
        <v>80</v>
      </c>
      <c r="D200">
        <v>79.963577271000005</v>
      </c>
      <c r="E200">
        <v>50</v>
      </c>
      <c r="F200">
        <v>14.999773026</v>
      </c>
      <c r="G200">
        <v>1337.4698486</v>
      </c>
      <c r="H200">
        <v>1335.5490723</v>
      </c>
      <c r="I200">
        <v>1325.4664307</v>
      </c>
      <c r="J200">
        <v>1323.4870605000001</v>
      </c>
      <c r="K200">
        <v>2400</v>
      </c>
      <c r="L200">
        <v>0</v>
      </c>
      <c r="M200">
        <v>0</v>
      </c>
      <c r="N200">
        <v>2400</v>
      </c>
    </row>
    <row r="201" spans="1:14" x14ac:dyDescent="0.25">
      <c r="A201">
        <v>6.5332150000000002</v>
      </c>
      <c r="B201" s="1">
        <f>DATE(2010,5,7) + TIME(12,47,49)</f>
        <v>40305.533206018517</v>
      </c>
      <c r="C201">
        <v>80</v>
      </c>
      <c r="D201">
        <v>79.963554381999998</v>
      </c>
      <c r="E201">
        <v>50</v>
      </c>
      <c r="F201">
        <v>14.999773979</v>
      </c>
      <c r="G201">
        <v>1337.4620361</v>
      </c>
      <c r="H201">
        <v>1335.5435791</v>
      </c>
      <c r="I201">
        <v>1325.4665527</v>
      </c>
      <c r="J201">
        <v>1323.4870605000001</v>
      </c>
      <c r="K201">
        <v>2400</v>
      </c>
      <c r="L201">
        <v>0</v>
      </c>
      <c r="M201">
        <v>0</v>
      </c>
      <c r="N201">
        <v>2400</v>
      </c>
    </row>
    <row r="202" spans="1:14" x14ac:dyDescent="0.25">
      <c r="A202">
        <v>6.5830299999999999</v>
      </c>
      <c r="B202" s="1">
        <f>DATE(2010,5,7) + TIME(13,59,33)</f>
        <v>40305.583020833335</v>
      </c>
      <c r="C202">
        <v>80</v>
      </c>
      <c r="D202">
        <v>79.963539123999993</v>
      </c>
      <c r="E202">
        <v>50</v>
      </c>
      <c r="F202">
        <v>14.999773979</v>
      </c>
      <c r="G202">
        <v>1337.4582519999999</v>
      </c>
      <c r="H202">
        <v>1335.5410156</v>
      </c>
      <c r="I202">
        <v>1325.4665527</v>
      </c>
      <c r="J202">
        <v>1323.4870605000001</v>
      </c>
      <c r="K202">
        <v>2400</v>
      </c>
      <c r="L202">
        <v>0</v>
      </c>
      <c r="M202">
        <v>0</v>
      </c>
      <c r="N202">
        <v>2400</v>
      </c>
    </row>
    <row r="203" spans="1:14" x14ac:dyDescent="0.25">
      <c r="A203">
        <v>6.6328440000000004</v>
      </c>
      <c r="B203" s="1">
        <f>DATE(2010,5,7) + TIME(15,11,17)</f>
        <v>40305.632835648146</v>
      </c>
      <c r="C203">
        <v>80</v>
      </c>
      <c r="D203">
        <v>79.963516235</v>
      </c>
      <c r="E203">
        <v>50</v>
      </c>
      <c r="F203">
        <v>14.999774932999999</v>
      </c>
      <c r="G203">
        <v>1337.4544678</v>
      </c>
      <c r="H203">
        <v>1335.5383300999999</v>
      </c>
      <c r="I203">
        <v>1325.4666748</v>
      </c>
      <c r="J203">
        <v>1323.4871826000001</v>
      </c>
      <c r="K203">
        <v>2400</v>
      </c>
      <c r="L203">
        <v>0</v>
      </c>
      <c r="M203">
        <v>0</v>
      </c>
      <c r="N203">
        <v>2400</v>
      </c>
    </row>
    <row r="204" spans="1:14" x14ac:dyDescent="0.25">
      <c r="A204">
        <v>6.6826590000000001</v>
      </c>
      <c r="B204" s="1">
        <f>DATE(2010,5,7) + TIME(16,23,1)</f>
        <v>40305.682650462964</v>
      </c>
      <c r="C204">
        <v>80</v>
      </c>
      <c r="D204">
        <v>79.963500976999995</v>
      </c>
      <c r="E204">
        <v>50</v>
      </c>
      <c r="F204">
        <v>14.999774932999999</v>
      </c>
      <c r="G204">
        <v>1337.4506836</v>
      </c>
      <c r="H204">
        <v>1335.5357666</v>
      </c>
      <c r="I204">
        <v>1325.4666748</v>
      </c>
      <c r="J204">
        <v>1323.4871826000001</v>
      </c>
      <c r="K204">
        <v>2400</v>
      </c>
      <c r="L204">
        <v>0</v>
      </c>
      <c r="M204">
        <v>0</v>
      </c>
      <c r="N204">
        <v>2400</v>
      </c>
    </row>
    <row r="205" spans="1:14" x14ac:dyDescent="0.25">
      <c r="A205">
        <v>6.7324729999999997</v>
      </c>
      <c r="B205" s="1">
        <f>DATE(2010,5,7) + TIME(17,34,45)</f>
        <v>40305.732465277775</v>
      </c>
      <c r="C205">
        <v>80</v>
      </c>
      <c r="D205">
        <v>79.963478088000002</v>
      </c>
      <c r="E205">
        <v>50</v>
      </c>
      <c r="F205">
        <v>14.999775887</v>
      </c>
      <c r="G205">
        <v>1337.4468993999999</v>
      </c>
      <c r="H205">
        <v>1335.5332031</v>
      </c>
      <c r="I205">
        <v>1325.4666748</v>
      </c>
      <c r="J205">
        <v>1323.4871826000001</v>
      </c>
      <c r="K205">
        <v>2400</v>
      </c>
      <c r="L205">
        <v>0</v>
      </c>
      <c r="M205">
        <v>0</v>
      </c>
      <c r="N205">
        <v>2400</v>
      </c>
    </row>
    <row r="206" spans="1:14" x14ac:dyDescent="0.25">
      <c r="A206">
        <v>6.7822880000000003</v>
      </c>
      <c r="B206" s="1">
        <f>DATE(2010,5,7) + TIME(18,46,29)</f>
        <v>40305.782280092593</v>
      </c>
      <c r="C206">
        <v>80</v>
      </c>
      <c r="D206">
        <v>79.963455199999999</v>
      </c>
      <c r="E206">
        <v>50</v>
      </c>
      <c r="F206">
        <v>14.999775887</v>
      </c>
      <c r="G206">
        <v>1337.4431152</v>
      </c>
      <c r="H206">
        <v>1335.5306396000001</v>
      </c>
      <c r="I206">
        <v>1325.4667969</v>
      </c>
      <c r="J206">
        <v>1323.4871826000001</v>
      </c>
      <c r="K206">
        <v>2400</v>
      </c>
      <c r="L206">
        <v>0</v>
      </c>
      <c r="M206">
        <v>0</v>
      </c>
      <c r="N206">
        <v>2400</v>
      </c>
    </row>
    <row r="207" spans="1:14" x14ac:dyDescent="0.25">
      <c r="A207">
        <v>6.8321019999999999</v>
      </c>
      <c r="B207" s="1">
        <f>DATE(2010,5,7) + TIME(19,58,13)</f>
        <v>40305.832094907404</v>
      </c>
      <c r="C207">
        <v>80</v>
      </c>
      <c r="D207">
        <v>79.963439941000004</v>
      </c>
      <c r="E207">
        <v>50</v>
      </c>
      <c r="F207">
        <v>14.999775887</v>
      </c>
      <c r="G207">
        <v>1337.4394531</v>
      </c>
      <c r="H207">
        <v>1335.5280762</v>
      </c>
      <c r="I207">
        <v>1325.4667969</v>
      </c>
      <c r="J207">
        <v>1323.4873047000001</v>
      </c>
      <c r="K207">
        <v>2400</v>
      </c>
      <c r="L207">
        <v>0</v>
      </c>
      <c r="M207">
        <v>0</v>
      </c>
      <c r="N207">
        <v>2400</v>
      </c>
    </row>
    <row r="208" spans="1:14" x14ac:dyDescent="0.25">
      <c r="A208">
        <v>6.8819169999999996</v>
      </c>
      <c r="B208" s="1">
        <f>DATE(2010,5,7) + TIME(21,9,57)</f>
        <v>40305.881909722222</v>
      </c>
      <c r="C208">
        <v>80</v>
      </c>
      <c r="D208">
        <v>79.963417053000001</v>
      </c>
      <c r="E208">
        <v>50</v>
      </c>
      <c r="F208">
        <v>14.999776839999999</v>
      </c>
      <c r="G208">
        <v>1337.4357910000001</v>
      </c>
      <c r="H208">
        <v>1335.5256348</v>
      </c>
      <c r="I208">
        <v>1325.4669189000001</v>
      </c>
      <c r="J208">
        <v>1323.4873047000001</v>
      </c>
      <c r="K208">
        <v>2400</v>
      </c>
      <c r="L208">
        <v>0</v>
      </c>
      <c r="M208">
        <v>0</v>
      </c>
      <c r="N208">
        <v>2400</v>
      </c>
    </row>
    <row r="209" spans="1:14" x14ac:dyDescent="0.25">
      <c r="A209">
        <v>6.9317320000000002</v>
      </c>
      <c r="B209" s="1">
        <f>DATE(2010,5,7) + TIME(22,21,41)</f>
        <v>40305.93172453704</v>
      </c>
      <c r="C209">
        <v>80</v>
      </c>
      <c r="D209">
        <v>79.963401794000006</v>
      </c>
      <c r="E209">
        <v>50</v>
      </c>
      <c r="F209">
        <v>14.999776839999999</v>
      </c>
      <c r="G209">
        <v>1337.4321289</v>
      </c>
      <c r="H209">
        <v>1335.5230713000001</v>
      </c>
      <c r="I209">
        <v>1325.4669189000001</v>
      </c>
      <c r="J209">
        <v>1323.4873047000001</v>
      </c>
      <c r="K209">
        <v>2400</v>
      </c>
      <c r="L209">
        <v>0</v>
      </c>
      <c r="M209">
        <v>0</v>
      </c>
      <c r="N209">
        <v>2400</v>
      </c>
    </row>
    <row r="210" spans="1:14" x14ac:dyDescent="0.25">
      <c r="A210">
        <v>6.9815459999999998</v>
      </c>
      <c r="B210" s="1">
        <f>DATE(2010,5,7) + TIME(23,33,25)</f>
        <v>40305.981539351851</v>
      </c>
      <c r="C210">
        <v>80</v>
      </c>
      <c r="D210">
        <v>79.963378906000003</v>
      </c>
      <c r="E210">
        <v>50</v>
      </c>
      <c r="F210">
        <v>14.999777794</v>
      </c>
      <c r="G210">
        <v>1337.4284668</v>
      </c>
      <c r="H210">
        <v>1335.5206298999999</v>
      </c>
      <c r="I210">
        <v>1325.4669189000001</v>
      </c>
      <c r="J210">
        <v>1323.4873047000001</v>
      </c>
      <c r="K210">
        <v>2400</v>
      </c>
      <c r="L210">
        <v>0</v>
      </c>
      <c r="M210">
        <v>0</v>
      </c>
      <c r="N210">
        <v>2400</v>
      </c>
    </row>
    <row r="211" spans="1:14" x14ac:dyDescent="0.25">
      <c r="A211">
        <v>7.0313610000000004</v>
      </c>
      <c r="B211" s="1">
        <f>DATE(2010,5,8) + TIME(0,45,9)</f>
        <v>40306.031354166669</v>
      </c>
      <c r="C211">
        <v>80</v>
      </c>
      <c r="D211">
        <v>79.963363646999994</v>
      </c>
      <c r="E211">
        <v>50</v>
      </c>
      <c r="F211">
        <v>14.999777794</v>
      </c>
      <c r="G211">
        <v>1337.4249268000001</v>
      </c>
      <c r="H211">
        <v>1335.5181885</v>
      </c>
      <c r="I211">
        <v>1325.4670410000001</v>
      </c>
      <c r="J211">
        <v>1323.4874268000001</v>
      </c>
      <c r="K211">
        <v>2400</v>
      </c>
      <c r="L211">
        <v>0</v>
      </c>
      <c r="M211">
        <v>0</v>
      </c>
      <c r="N211">
        <v>2400</v>
      </c>
    </row>
    <row r="212" spans="1:14" x14ac:dyDescent="0.25">
      <c r="A212">
        <v>7.081175</v>
      </c>
      <c r="B212" s="1">
        <f>DATE(2010,5,8) + TIME(1,56,53)</f>
        <v>40306.08116898148</v>
      </c>
      <c r="C212">
        <v>80</v>
      </c>
      <c r="D212">
        <v>79.963348389000004</v>
      </c>
      <c r="E212">
        <v>50</v>
      </c>
      <c r="F212">
        <v>14.999777794</v>
      </c>
      <c r="G212">
        <v>1337.4212646000001</v>
      </c>
      <c r="H212">
        <v>1335.5157471</v>
      </c>
      <c r="I212">
        <v>1325.4670410000001</v>
      </c>
      <c r="J212">
        <v>1323.4874268000001</v>
      </c>
      <c r="K212">
        <v>2400</v>
      </c>
      <c r="L212">
        <v>0</v>
      </c>
      <c r="M212">
        <v>0</v>
      </c>
      <c r="N212">
        <v>2400</v>
      </c>
    </row>
    <row r="213" spans="1:14" x14ac:dyDescent="0.25">
      <c r="A213">
        <v>7.1309899999999997</v>
      </c>
      <c r="B213" s="1">
        <f>DATE(2010,5,8) + TIME(3,8,37)</f>
        <v>40306.130983796298</v>
      </c>
      <c r="C213">
        <v>80</v>
      </c>
      <c r="D213">
        <v>79.963325499999996</v>
      </c>
      <c r="E213">
        <v>50</v>
      </c>
      <c r="F213">
        <v>14.999778748000001</v>
      </c>
      <c r="G213">
        <v>1337.4177245999999</v>
      </c>
      <c r="H213">
        <v>1335.5134277</v>
      </c>
      <c r="I213">
        <v>1325.4671631000001</v>
      </c>
      <c r="J213">
        <v>1323.4874268000001</v>
      </c>
      <c r="K213">
        <v>2400</v>
      </c>
      <c r="L213">
        <v>0</v>
      </c>
      <c r="M213">
        <v>0</v>
      </c>
      <c r="N213">
        <v>2400</v>
      </c>
    </row>
    <row r="214" spans="1:14" x14ac:dyDescent="0.25">
      <c r="A214">
        <v>7.1808040000000002</v>
      </c>
      <c r="B214" s="1">
        <f>DATE(2010,5,8) + TIME(4,20,21)</f>
        <v>40306.180798611109</v>
      </c>
      <c r="C214">
        <v>80</v>
      </c>
      <c r="D214">
        <v>79.963310242000006</v>
      </c>
      <c r="E214">
        <v>50</v>
      </c>
      <c r="F214">
        <v>14.999778748000001</v>
      </c>
      <c r="G214">
        <v>1337.4141846</v>
      </c>
      <c r="H214">
        <v>1335.5109863</v>
      </c>
      <c r="I214">
        <v>1325.4671631000001</v>
      </c>
      <c r="J214">
        <v>1323.4874268000001</v>
      </c>
      <c r="K214">
        <v>2400</v>
      </c>
      <c r="L214">
        <v>0</v>
      </c>
      <c r="M214">
        <v>0</v>
      </c>
      <c r="N214">
        <v>2400</v>
      </c>
    </row>
    <row r="215" spans="1:14" x14ac:dyDescent="0.25">
      <c r="A215">
        <v>7.2306189999999999</v>
      </c>
      <c r="B215" s="1">
        <f>DATE(2010,5,8) + TIME(5,32,5)</f>
        <v>40306.230613425927</v>
      </c>
      <c r="C215">
        <v>80</v>
      </c>
      <c r="D215">
        <v>79.963287354000002</v>
      </c>
      <c r="E215">
        <v>50</v>
      </c>
      <c r="F215">
        <v>14.999779701</v>
      </c>
      <c r="G215">
        <v>1337.4107666</v>
      </c>
      <c r="H215">
        <v>1335.5086670000001</v>
      </c>
      <c r="I215">
        <v>1325.4671631000001</v>
      </c>
      <c r="J215">
        <v>1323.4875488</v>
      </c>
      <c r="K215">
        <v>2400</v>
      </c>
      <c r="L215">
        <v>0</v>
      </c>
      <c r="M215">
        <v>0</v>
      </c>
      <c r="N215">
        <v>2400</v>
      </c>
    </row>
    <row r="216" spans="1:14" x14ac:dyDescent="0.25">
      <c r="A216">
        <v>7.2804330000000004</v>
      </c>
      <c r="B216" s="1">
        <f>DATE(2010,5,8) + TIME(6,43,49)</f>
        <v>40306.280428240738</v>
      </c>
      <c r="C216">
        <v>80</v>
      </c>
      <c r="D216">
        <v>79.963272094999994</v>
      </c>
      <c r="E216">
        <v>50</v>
      </c>
      <c r="F216">
        <v>14.999779701</v>
      </c>
      <c r="G216">
        <v>1337.4072266000001</v>
      </c>
      <c r="H216">
        <v>1335.5063477000001</v>
      </c>
      <c r="I216">
        <v>1325.4672852000001</v>
      </c>
      <c r="J216">
        <v>1323.4875488</v>
      </c>
      <c r="K216">
        <v>2400</v>
      </c>
      <c r="L216">
        <v>0</v>
      </c>
      <c r="M216">
        <v>0</v>
      </c>
      <c r="N216">
        <v>2400</v>
      </c>
    </row>
    <row r="217" spans="1:14" x14ac:dyDescent="0.25">
      <c r="A217">
        <v>7.3800629999999998</v>
      </c>
      <c r="B217" s="1">
        <f>DATE(2010,5,8) + TIME(9,7,17)</f>
        <v>40306.380057870374</v>
      </c>
      <c r="C217">
        <v>80</v>
      </c>
      <c r="D217">
        <v>79.963233947999996</v>
      </c>
      <c r="E217">
        <v>50</v>
      </c>
      <c r="F217">
        <v>14.999780655</v>
      </c>
      <c r="G217">
        <v>1337.4039307</v>
      </c>
      <c r="H217">
        <v>1335.5041504000001</v>
      </c>
      <c r="I217">
        <v>1325.4672852000001</v>
      </c>
      <c r="J217">
        <v>1323.4875488</v>
      </c>
      <c r="K217">
        <v>2400</v>
      </c>
      <c r="L217">
        <v>0</v>
      </c>
      <c r="M217">
        <v>0</v>
      </c>
      <c r="N217">
        <v>2400</v>
      </c>
    </row>
    <row r="218" spans="1:14" x14ac:dyDescent="0.25">
      <c r="A218">
        <v>7.4800709999999997</v>
      </c>
      <c r="B218" s="1">
        <f>DATE(2010,5,8) + TIME(11,31,18)</f>
        <v>40306.480069444442</v>
      </c>
      <c r="C218">
        <v>80</v>
      </c>
      <c r="D218">
        <v>79.963203429999993</v>
      </c>
      <c r="E218">
        <v>50</v>
      </c>
      <c r="F218">
        <v>14.999780655</v>
      </c>
      <c r="G218">
        <v>1337.3970947</v>
      </c>
      <c r="H218">
        <v>1335.4995117000001</v>
      </c>
      <c r="I218">
        <v>1325.4674072</v>
      </c>
      <c r="J218">
        <v>1323.4876709</v>
      </c>
      <c r="K218">
        <v>2400</v>
      </c>
      <c r="L218">
        <v>0</v>
      </c>
      <c r="M218">
        <v>0</v>
      </c>
      <c r="N218">
        <v>2400</v>
      </c>
    </row>
    <row r="219" spans="1:14" x14ac:dyDescent="0.25">
      <c r="A219">
        <v>7.5811320000000002</v>
      </c>
      <c r="B219" s="1">
        <f>DATE(2010,5,8) + TIME(13,56,49)</f>
        <v>40306.581122685187</v>
      </c>
      <c r="C219">
        <v>80</v>
      </c>
      <c r="D219">
        <v>79.963172912999994</v>
      </c>
      <c r="E219">
        <v>50</v>
      </c>
      <c r="F219">
        <v>14.999781608999999</v>
      </c>
      <c r="G219">
        <v>1337.3902588000001</v>
      </c>
      <c r="H219">
        <v>1335.4949951000001</v>
      </c>
      <c r="I219">
        <v>1325.4675293</v>
      </c>
      <c r="J219">
        <v>1323.4876709</v>
      </c>
      <c r="K219">
        <v>2400</v>
      </c>
      <c r="L219">
        <v>0</v>
      </c>
      <c r="M219">
        <v>0</v>
      </c>
      <c r="N219">
        <v>2400</v>
      </c>
    </row>
    <row r="220" spans="1:14" x14ac:dyDescent="0.25">
      <c r="A220">
        <v>7.68344</v>
      </c>
      <c r="B220" s="1">
        <f>DATE(2010,5,8) + TIME(16,24,9)</f>
        <v>40306.683437500003</v>
      </c>
      <c r="C220">
        <v>80</v>
      </c>
      <c r="D220">
        <v>79.963134765999996</v>
      </c>
      <c r="E220">
        <v>50</v>
      </c>
      <c r="F220">
        <v>14.999782562</v>
      </c>
      <c r="G220">
        <v>1337.3834228999999</v>
      </c>
      <c r="H220">
        <v>1335.4904785000001</v>
      </c>
      <c r="I220">
        <v>1325.4675293</v>
      </c>
      <c r="J220">
        <v>1323.487793</v>
      </c>
      <c r="K220">
        <v>2400</v>
      </c>
      <c r="L220">
        <v>0</v>
      </c>
      <c r="M220">
        <v>0</v>
      </c>
      <c r="N220">
        <v>2400</v>
      </c>
    </row>
    <row r="221" spans="1:14" x14ac:dyDescent="0.25">
      <c r="A221">
        <v>7.7872000000000003</v>
      </c>
      <c r="B221" s="1">
        <f>DATE(2010,5,8) + TIME(18,53,34)</f>
        <v>40306.787199074075</v>
      </c>
      <c r="C221">
        <v>80</v>
      </c>
      <c r="D221">
        <v>79.963096618999998</v>
      </c>
      <c r="E221">
        <v>50</v>
      </c>
      <c r="F221">
        <v>14.999783516000001</v>
      </c>
      <c r="G221">
        <v>1337.3767089999999</v>
      </c>
      <c r="H221">
        <v>1335.4859618999999</v>
      </c>
      <c r="I221">
        <v>1325.4676514</v>
      </c>
      <c r="J221">
        <v>1323.487793</v>
      </c>
      <c r="K221">
        <v>2400</v>
      </c>
      <c r="L221">
        <v>0</v>
      </c>
      <c r="M221">
        <v>0</v>
      </c>
      <c r="N221">
        <v>2400</v>
      </c>
    </row>
    <row r="222" spans="1:14" x14ac:dyDescent="0.25">
      <c r="A222">
        <v>7.8926259999999999</v>
      </c>
      <c r="B222" s="1">
        <f>DATE(2010,5,8) + TIME(21,25,22)</f>
        <v>40306.89261574074</v>
      </c>
      <c r="C222">
        <v>80</v>
      </c>
      <c r="D222">
        <v>79.963058472</v>
      </c>
      <c r="E222">
        <v>50</v>
      </c>
      <c r="F222">
        <v>14.999783516000001</v>
      </c>
      <c r="G222">
        <v>1337.3699951000001</v>
      </c>
      <c r="H222">
        <v>1335.4814452999999</v>
      </c>
      <c r="I222">
        <v>1325.4677733999999</v>
      </c>
      <c r="J222">
        <v>1323.4879149999999</v>
      </c>
      <c r="K222">
        <v>2400</v>
      </c>
      <c r="L222">
        <v>0</v>
      </c>
      <c r="M222">
        <v>0</v>
      </c>
      <c r="N222">
        <v>2400</v>
      </c>
    </row>
    <row r="223" spans="1:14" x14ac:dyDescent="0.25">
      <c r="A223">
        <v>7.9999960000000003</v>
      </c>
      <c r="B223" s="1">
        <f>DATE(2010,5,8) + TIME(23,59,59)</f>
        <v>40306.999988425923</v>
      </c>
      <c r="C223">
        <v>80</v>
      </c>
      <c r="D223">
        <v>79.963020325000002</v>
      </c>
      <c r="E223">
        <v>50</v>
      </c>
      <c r="F223">
        <v>14.99978447</v>
      </c>
      <c r="G223">
        <v>1337.3631591999999</v>
      </c>
      <c r="H223">
        <v>1335.4769286999999</v>
      </c>
      <c r="I223">
        <v>1325.4678954999999</v>
      </c>
      <c r="J223">
        <v>1323.4879149999999</v>
      </c>
      <c r="K223">
        <v>2400</v>
      </c>
      <c r="L223">
        <v>0</v>
      </c>
      <c r="M223">
        <v>0</v>
      </c>
      <c r="N223">
        <v>2400</v>
      </c>
    </row>
    <row r="224" spans="1:14" x14ac:dyDescent="0.25">
      <c r="A224">
        <v>8.1095070000000007</v>
      </c>
      <c r="B224" s="1">
        <f>DATE(2010,5,9) + TIME(2,37,41)</f>
        <v>40307.109502314815</v>
      </c>
      <c r="C224">
        <v>80</v>
      </c>
      <c r="D224">
        <v>79.962982178000004</v>
      </c>
      <c r="E224">
        <v>50</v>
      </c>
      <c r="F224">
        <v>14.999785423000001</v>
      </c>
      <c r="G224">
        <v>1337.3563231999999</v>
      </c>
      <c r="H224">
        <v>1335.4724120999999</v>
      </c>
      <c r="I224">
        <v>1325.4680175999999</v>
      </c>
      <c r="J224">
        <v>1323.4880370999999</v>
      </c>
      <c r="K224">
        <v>2400</v>
      </c>
      <c r="L224">
        <v>0</v>
      </c>
      <c r="M224">
        <v>0</v>
      </c>
      <c r="N224">
        <v>2400</v>
      </c>
    </row>
    <row r="225" spans="1:14" x14ac:dyDescent="0.25">
      <c r="A225">
        <v>8.2207349999999995</v>
      </c>
      <c r="B225" s="1">
        <f>DATE(2010,5,9) + TIME(5,17,51)</f>
        <v>40307.220729166664</v>
      </c>
      <c r="C225">
        <v>80</v>
      </c>
      <c r="D225">
        <v>79.962944031000006</v>
      </c>
      <c r="E225">
        <v>50</v>
      </c>
      <c r="F225">
        <v>14.999786377</v>
      </c>
      <c r="G225">
        <v>1337.3494873</v>
      </c>
      <c r="H225">
        <v>1335.4678954999999</v>
      </c>
      <c r="I225">
        <v>1325.4680175999999</v>
      </c>
      <c r="J225">
        <v>1323.4880370999999</v>
      </c>
      <c r="K225">
        <v>2400</v>
      </c>
      <c r="L225">
        <v>0</v>
      </c>
      <c r="M225">
        <v>0</v>
      </c>
      <c r="N225">
        <v>2400</v>
      </c>
    </row>
    <row r="226" spans="1:14" x14ac:dyDescent="0.25">
      <c r="A226">
        <v>8.3339630000000007</v>
      </c>
      <c r="B226" s="1">
        <f>DATE(2010,5,9) + TIME(8,0,54)</f>
        <v>40307.333958333336</v>
      </c>
      <c r="C226">
        <v>80</v>
      </c>
      <c r="D226">
        <v>79.962898253999995</v>
      </c>
      <c r="E226">
        <v>50</v>
      </c>
      <c r="F226">
        <v>14.999786377</v>
      </c>
      <c r="G226">
        <v>1337.3426514</v>
      </c>
      <c r="H226">
        <v>1335.4633789</v>
      </c>
      <c r="I226">
        <v>1325.4681396000001</v>
      </c>
      <c r="J226">
        <v>1323.4881591999999</v>
      </c>
      <c r="K226">
        <v>2400</v>
      </c>
      <c r="L226">
        <v>0</v>
      </c>
      <c r="M226">
        <v>0</v>
      </c>
      <c r="N226">
        <v>2400</v>
      </c>
    </row>
    <row r="227" spans="1:14" x14ac:dyDescent="0.25">
      <c r="A227">
        <v>8.4494159999999994</v>
      </c>
      <c r="B227" s="1">
        <f>DATE(2010,5,9) + TIME(10,47,9)</f>
        <v>40307.44940972222</v>
      </c>
      <c r="C227">
        <v>80</v>
      </c>
      <c r="D227">
        <v>79.962860106999997</v>
      </c>
      <c r="E227">
        <v>50</v>
      </c>
      <c r="F227">
        <v>14.999787331</v>
      </c>
      <c r="G227">
        <v>1337.3356934000001</v>
      </c>
      <c r="H227">
        <v>1335.4588623</v>
      </c>
      <c r="I227">
        <v>1325.4682617000001</v>
      </c>
      <c r="J227">
        <v>1323.4882812000001</v>
      </c>
      <c r="K227">
        <v>2400</v>
      </c>
      <c r="L227">
        <v>0</v>
      </c>
      <c r="M227">
        <v>0</v>
      </c>
      <c r="N227">
        <v>2400</v>
      </c>
    </row>
    <row r="228" spans="1:14" x14ac:dyDescent="0.25">
      <c r="A228">
        <v>8.5079809999999991</v>
      </c>
      <c r="B228" s="1">
        <f>DATE(2010,5,9) + TIME(12,11,29)</f>
        <v>40307.507974537039</v>
      </c>
      <c r="C228">
        <v>80</v>
      </c>
      <c r="D228">
        <v>79.962837218999994</v>
      </c>
      <c r="E228">
        <v>50</v>
      </c>
      <c r="F228">
        <v>14.999787331</v>
      </c>
      <c r="G228">
        <v>1337.3287353999999</v>
      </c>
      <c r="H228">
        <v>1335.4541016000001</v>
      </c>
      <c r="I228">
        <v>1325.4683838000001</v>
      </c>
      <c r="J228">
        <v>1323.4882812000001</v>
      </c>
      <c r="K228">
        <v>2400</v>
      </c>
      <c r="L228">
        <v>0</v>
      </c>
      <c r="M228">
        <v>0</v>
      </c>
      <c r="N228">
        <v>2400</v>
      </c>
    </row>
    <row r="229" spans="1:14" x14ac:dyDescent="0.25">
      <c r="A229">
        <v>8.5665469999999999</v>
      </c>
      <c r="B229" s="1">
        <f>DATE(2010,5,9) + TIME(13,35,49)</f>
        <v>40307.56653935185</v>
      </c>
      <c r="C229">
        <v>80</v>
      </c>
      <c r="D229">
        <v>79.962806701999995</v>
      </c>
      <c r="E229">
        <v>50</v>
      </c>
      <c r="F229">
        <v>14.999788283999999</v>
      </c>
      <c r="G229">
        <v>1337.3251952999999</v>
      </c>
      <c r="H229">
        <v>1335.4519043</v>
      </c>
      <c r="I229">
        <v>1325.4683838000001</v>
      </c>
      <c r="J229">
        <v>1323.4882812000001</v>
      </c>
      <c r="K229">
        <v>2400</v>
      </c>
      <c r="L229">
        <v>0</v>
      </c>
      <c r="M229">
        <v>0</v>
      </c>
      <c r="N229">
        <v>2400</v>
      </c>
    </row>
    <row r="230" spans="1:14" x14ac:dyDescent="0.25">
      <c r="A230">
        <v>8.6251119999999997</v>
      </c>
      <c r="B230" s="1">
        <f>DATE(2010,5,9) + TIME(15,0,9)</f>
        <v>40307.625104166669</v>
      </c>
      <c r="C230">
        <v>80</v>
      </c>
      <c r="D230">
        <v>79.962783813000001</v>
      </c>
      <c r="E230">
        <v>50</v>
      </c>
      <c r="F230">
        <v>14.999788283999999</v>
      </c>
      <c r="G230">
        <v>1337.3217772999999</v>
      </c>
      <c r="H230">
        <v>1335.4495850000001</v>
      </c>
      <c r="I230">
        <v>1325.4685059000001</v>
      </c>
      <c r="J230">
        <v>1323.4884033000001</v>
      </c>
      <c r="K230">
        <v>2400</v>
      </c>
      <c r="L230">
        <v>0</v>
      </c>
      <c r="M230">
        <v>0</v>
      </c>
      <c r="N230">
        <v>2400</v>
      </c>
    </row>
    <row r="231" spans="1:14" x14ac:dyDescent="0.25">
      <c r="A231">
        <v>8.6836780000000005</v>
      </c>
      <c r="B231" s="1">
        <f>DATE(2010,5,9) + TIME(16,24,29)</f>
        <v>40307.683668981481</v>
      </c>
      <c r="C231">
        <v>80</v>
      </c>
      <c r="D231">
        <v>79.962760924999998</v>
      </c>
      <c r="E231">
        <v>50</v>
      </c>
      <c r="F231">
        <v>14.999789238</v>
      </c>
      <c r="G231">
        <v>1337.3183594</v>
      </c>
      <c r="H231">
        <v>1335.4473877</v>
      </c>
      <c r="I231">
        <v>1325.4685059000001</v>
      </c>
      <c r="J231">
        <v>1323.4884033000001</v>
      </c>
      <c r="K231">
        <v>2400</v>
      </c>
      <c r="L231">
        <v>0</v>
      </c>
      <c r="M231">
        <v>0</v>
      </c>
      <c r="N231">
        <v>2400</v>
      </c>
    </row>
    <row r="232" spans="1:14" x14ac:dyDescent="0.25">
      <c r="A232">
        <v>8.7422439999999995</v>
      </c>
      <c r="B232" s="1">
        <f>DATE(2010,5,9) + TIME(17,48,49)</f>
        <v>40307.7422337963</v>
      </c>
      <c r="C232">
        <v>80</v>
      </c>
      <c r="D232">
        <v>79.962738036999994</v>
      </c>
      <c r="E232">
        <v>50</v>
      </c>
      <c r="F232">
        <v>14.999789238</v>
      </c>
      <c r="G232">
        <v>1337.3149414</v>
      </c>
      <c r="H232">
        <v>1335.4451904</v>
      </c>
      <c r="I232">
        <v>1325.4686279</v>
      </c>
      <c r="J232">
        <v>1323.4884033000001</v>
      </c>
      <c r="K232">
        <v>2400</v>
      </c>
      <c r="L232">
        <v>0</v>
      </c>
      <c r="M232">
        <v>0</v>
      </c>
      <c r="N232">
        <v>2400</v>
      </c>
    </row>
    <row r="233" spans="1:14" x14ac:dyDescent="0.25">
      <c r="A233">
        <v>8.8008089999999992</v>
      </c>
      <c r="B233" s="1">
        <f>DATE(2010,5,9) + TIME(19,13,9)</f>
        <v>40307.800798611112</v>
      </c>
      <c r="C233">
        <v>80</v>
      </c>
      <c r="D233">
        <v>79.962715149000005</v>
      </c>
      <c r="E233">
        <v>50</v>
      </c>
      <c r="F233">
        <v>14.999789238</v>
      </c>
      <c r="G233">
        <v>1337.3115233999999</v>
      </c>
      <c r="H233">
        <v>1335.4429932</v>
      </c>
      <c r="I233">
        <v>1325.4686279</v>
      </c>
      <c r="J233">
        <v>1323.4885254000001</v>
      </c>
      <c r="K233">
        <v>2400</v>
      </c>
      <c r="L233">
        <v>0</v>
      </c>
      <c r="M233">
        <v>0</v>
      </c>
      <c r="N233">
        <v>2400</v>
      </c>
    </row>
    <row r="234" spans="1:14" x14ac:dyDescent="0.25">
      <c r="A234">
        <v>8.859375</v>
      </c>
      <c r="B234" s="1">
        <f>DATE(2010,5,9) + TIME(20,37,29)</f>
        <v>40307.859363425923</v>
      </c>
      <c r="C234">
        <v>80</v>
      </c>
      <c r="D234">
        <v>79.962692261000001</v>
      </c>
      <c r="E234">
        <v>50</v>
      </c>
      <c r="F234">
        <v>14.999790192000001</v>
      </c>
      <c r="G234">
        <v>1337.3082274999999</v>
      </c>
      <c r="H234">
        <v>1335.4407959</v>
      </c>
      <c r="I234">
        <v>1325.46875</v>
      </c>
      <c r="J234">
        <v>1323.4885254000001</v>
      </c>
      <c r="K234">
        <v>2400</v>
      </c>
      <c r="L234">
        <v>0</v>
      </c>
      <c r="M234">
        <v>0</v>
      </c>
      <c r="N234">
        <v>2400</v>
      </c>
    </row>
    <row r="235" spans="1:14" x14ac:dyDescent="0.25">
      <c r="A235">
        <v>8.9179399999999998</v>
      </c>
      <c r="B235" s="1">
        <f>DATE(2010,5,9) + TIME(22,1,50)</f>
        <v>40307.917939814812</v>
      </c>
      <c r="C235">
        <v>80</v>
      </c>
      <c r="D235">
        <v>79.962669372999997</v>
      </c>
      <c r="E235">
        <v>50</v>
      </c>
      <c r="F235">
        <v>14.999790192000001</v>
      </c>
      <c r="G235">
        <v>1337.3048096</v>
      </c>
      <c r="H235">
        <v>1335.4385986</v>
      </c>
      <c r="I235">
        <v>1325.46875</v>
      </c>
      <c r="J235">
        <v>1323.4885254000001</v>
      </c>
      <c r="K235">
        <v>2400</v>
      </c>
      <c r="L235">
        <v>0</v>
      </c>
      <c r="M235">
        <v>0</v>
      </c>
      <c r="N235">
        <v>2400</v>
      </c>
    </row>
    <row r="236" spans="1:14" x14ac:dyDescent="0.25">
      <c r="A236">
        <v>8.9765060000000005</v>
      </c>
      <c r="B236" s="1">
        <f>DATE(2010,5,9) + TIME(23,26,10)</f>
        <v>40307.976504629631</v>
      </c>
      <c r="C236">
        <v>80</v>
      </c>
      <c r="D236">
        <v>79.962654114000003</v>
      </c>
      <c r="E236">
        <v>50</v>
      </c>
      <c r="F236">
        <v>14.999791145</v>
      </c>
      <c r="G236">
        <v>1337.3015137</v>
      </c>
      <c r="H236">
        <v>1335.4365233999999</v>
      </c>
      <c r="I236">
        <v>1325.4688721</v>
      </c>
      <c r="J236">
        <v>1323.4886475000001</v>
      </c>
      <c r="K236">
        <v>2400</v>
      </c>
      <c r="L236">
        <v>0</v>
      </c>
      <c r="M236">
        <v>0</v>
      </c>
      <c r="N236">
        <v>2400</v>
      </c>
    </row>
    <row r="237" spans="1:14" x14ac:dyDescent="0.25">
      <c r="A237">
        <v>9.0350710000000003</v>
      </c>
      <c r="B237" s="1">
        <f>DATE(2010,5,10) + TIME(0,50,30)</f>
        <v>40308.035069444442</v>
      </c>
      <c r="C237">
        <v>80</v>
      </c>
      <c r="D237">
        <v>79.962631225999999</v>
      </c>
      <c r="E237">
        <v>50</v>
      </c>
      <c r="F237">
        <v>14.999791145</v>
      </c>
      <c r="G237">
        <v>1337.2982178</v>
      </c>
      <c r="H237">
        <v>1335.4343262</v>
      </c>
      <c r="I237">
        <v>1325.4688721</v>
      </c>
      <c r="J237">
        <v>1323.4886475000001</v>
      </c>
      <c r="K237">
        <v>2400</v>
      </c>
      <c r="L237">
        <v>0</v>
      </c>
      <c r="M237">
        <v>0</v>
      </c>
      <c r="N237">
        <v>2400</v>
      </c>
    </row>
    <row r="238" spans="1:14" x14ac:dyDescent="0.25">
      <c r="A238">
        <v>9.0936369999999993</v>
      </c>
      <c r="B238" s="1">
        <f>DATE(2010,5,10) + TIME(2,14,50)</f>
        <v>40308.093634259261</v>
      </c>
      <c r="C238">
        <v>80</v>
      </c>
      <c r="D238">
        <v>79.962608337000006</v>
      </c>
      <c r="E238">
        <v>50</v>
      </c>
      <c r="F238">
        <v>14.999791145</v>
      </c>
      <c r="G238">
        <v>1337.2949219</v>
      </c>
      <c r="H238">
        <v>1335.432251</v>
      </c>
      <c r="I238">
        <v>1325.4688721</v>
      </c>
      <c r="J238">
        <v>1323.4886475000001</v>
      </c>
      <c r="K238">
        <v>2400</v>
      </c>
      <c r="L238">
        <v>0</v>
      </c>
      <c r="M238">
        <v>0</v>
      </c>
      <c r="N238">
        <v>2400</v>
      </c>
    </row>
    <row r="239" spans="1:14" x14ac:dyDescent="0.25">
      <c r="A239">
        <v>9.1522030000000001</v>
      </c>
      <c r="B239" s="1">
        <f>DATE(2010,5,10) + TIME(3,39,10)</f>
        <v>40308.152199074073</v>
      </c>
      <c r="C239">
        <v>80</v>
      </c>
      <c r="D239">
        <v>79.962585449000002</v>
      </c>
      <c r="E239">
        <v>50</v>
      </c>
      <c r="F239">
        <v>14.999792099</v>
      </c>
      <c r="G239">
        <v>1337.2917480000001</v>
      </c>
      <c r="H239">
        <v>1335.4301757999999</v>
      </c>
      <c r="I239">
        <v>1325.4689940999999</v>
      </c>
      <c r="J239">
        <v>1323.4886475000001</v>
      </c>
      <c r="K239">
        <v>2400</v>
      </c>
      <c r="L239">
        <v>0</v>
      </c>
      <c r="M239">
        <v>0</v>
      </c>
      <c r="N239">
        <v>2400</v>
      </c>
    </row>
    <row r="240" spans="1:14" x14ac:dyDescent="0.25">
      <c r="A240">
        <v>9.2107679999999998</v>
      </c>
      <c r="B240" s="1">
        <f>DATE(2010,5,10) + TIME(5,3,30)</f>
        <v>40308.210763888892</v>
      </c>
      <c r="C240">
        <v>80</v>
      </c>
      <c r="D240">
        <v>79.962562560999999</v>
      </c>
      <c r="E240">
        <v>50</v>
      </c>
      <c r="F240">
        <v>14.999792099</v>
      </c>
      <c r="G240">
        <v>1337.2884521000001</v>
      </c>
      <c r="H240">
        <v>1335.4281006000001</v>
      </c>
      <c r="I240">
        <v>1325.4689940999999</v>
      </c>
      <c r="J240">
        <v>1323.4887695</v>
      </c>
      <c r="K240">
        <v>2400</v>
      </c>
      <c r="L240">
        <v>0</v>
      </c>
      <c r="M240">
        <v>0</v>
      </c>
      <c r="N240">
        <v>2400</v>
      </c>
    </row>
    <row r="241" spans="1:14" x14ac:dyDescent="0.25">
      <c r="A241">
        <v>9.2693340000000006</v>
      </c>
      <c r="B241" s="1">
        <f>DATE(2010,5,10) + TIME(6,27,50)</f>
        <v>40308.269328703704</v>
      </c>
      <c r="C241">
        <v>80</v>
      </c>
      <c r="D241">
        <v>79.962547302000004</v>
      </c>
      <c r="E241">
        <v>50</v>
      </c>
      <c r="F241">
        <v>14.999792099</v>
      </c>
      <c r="G241">
        <v>1337.2852783000001</v>
      </c>
      <c r="H241">
        <v>1335.4260254000001</v>
      </c>
      <c r="I241">
        <v>1325.4691161999999</v>
      </c>
      <c r="J241">
        <v>1323.4887695</v>
      </c>
      <c r="K241">
        <v>2400</v>
      </c>
      <c r="L241">
        <v>0</v>
      </c>
      <c r="M241">
        <v>0</v>
      </c>
      <c r="N241">
        <v>2400</v>
      </c>
    </row>
    <row r="242" spans="1:14" x14ac:dyDescent="0.25">
      <c r="A242">
        <v>9.3278990000000004</v>
      </c>
      <c r="B242" s="1">
        <f>DATE(2010,5,10) + TIME(7,52,10)</f>
        <v>40308.327893518515</v>
      </c>
      <c r="C242">
        <v>80</v>
      </c>
      <c r="D242">
        <v>79.962524414000001</v>
      </c>
      <c r="E242">
        <v>50</v>
      </c>
      <c r="F242">
        <v>14.999793052999999</v>
      </c>
      <c r="G242">
        <v>1337.2821045000001</v>
      </c>
      <c r="H242">
        <v>1335.4239502</v>
      </c>
      <c r="I242">
        <v>1325.4691161999999</v>
      </c>
      <c r="J242">
        <v>1323.4887695</v>
      </c>
      <c r="K242">
        <v>2400</v>
      </c>
      <c r="L242">
        <v>0</v>
      </c>
      <c r="M242">
        <v>0</v>
      </c>
      <c r="N242">
        <v>2400</v>
      </c>
    </row>
    <row r="243" spans="1:14" x14ac:dyDescent="0.25">
      <c r="A243">
        <v>9.3864649999999994</v>
      </c>
      <c r="B243" s="1">
        <f>DATE(2010,5,10) + TIME(9,16,30)</f>
        <v>40308.386458333334</v>
      </c>
      <c r="C243">
        <v>80</v>
      </c>
      <c r="D243">
        <v>79.962501525999997</v>
      </c>
      <c r="E243">
        <v>50</v>
      </c>
      <c r="F243">
        <v>14.999793052999999</v>
      </c>
      <c r="G243">
        <v>1337.2789307</v>
      </c>
      <c r="H243">
        <v>1335.421875</v>
      </c>
      <c r="I243">
        <v>1325.4692382999999</v>
      </c>
      <c r="J243">
        <v>1323.4888916</v>
      </c>
      <c r="K243">
        <v>2400</v>
      </c>
      <c r="L243">
        <v>0</v>
      </c>
      <c r="M243">
        <v>0</v>
      </c>
      <c r="N243">
        <v>2400</v>
      </c>
    </row>
    <row r="244" spans="1:14" x14ac:dyDescent="0.25">
      <c r="A244">
        <v>9.5035959999999999</v>
      </c>
      <c r="B244" s="1">
        <f>DATE(2010,5,10) + TIME(12,5,10)</f>
        <v>40308.503587962965</v>
      </c>
      <c r="C244">
        <v>80</v>
      </c>
      <c r="D244">
        <v>79.962471007999994</v>
      </c>
      <c r="E244">
        <v>50</v>
      </c>
      <c r="F244">
        <v>14.999794006</v>
      </c>
      <c r="G244">
        <v>1337.2758789</v>
      </c>
      <c r="H244">
        <v>1335.4200439000001</v>
      </c>
      <c r="I244">
        <v>1325.4692382999999</v>
      </c>
      <c r="J244">
        <v>1323.4888916</v>
      </c>
      <c r="K244">
        <v>2400</v>
      </c>
      <c r="L244">
        <v>0</v>
      </c>
      <c r="M244">
        <v>0</v>
      </c>
      <c r="N244">
        <v>2400</v>
      </c>
    </row>
    <row r="245" spans="1:14" x14ac:dyDescent="0.25">
      <c r="A245">
        <v>9.6208030000000004</v>
      </c>
      <c r="B245" s="1">
        <f>DATE(2010,5,10) + TIME(14,53,57)</f>
        <v>40308.620798611111</v>
      </c>
      <c r="C245">
        <v>80</v>
      </c>
      <c r="D245">
        <v>79.962432860999996</v>
      </c>
      <c r="E245">
        <v>50</v>
      </c>
      <c r="F245">
        <v>14.999794959999999</v>
      </c>
      <c r="G245">
        <v>1337.2696533000001</v>
      </c>
      <c r="H245">
        <v>1335.4160156</v>
      </c>
      <c r="I245">
        <v>1325.4693603999999</v>
      </c>
      <c r="J245">
        <v>1323.4890137</v>
      </c>
      <c r="K245">
        <v>2400</v>
      </c>
      <c r="L245">
        <v>0</v>
      </c>
      <c r="M245">
        <v>0</v>
      </c>
      <c r="N245">
        <v>2400</v>
      </c>
    </row>
    <row r="246" spans="1:14" x14ac:dyDescent="0.25">
      <c r="A246">
        <v>9.7392280000000007</v>
      </c>
      <c r="B246" s="1">
        <f>DATE(2010,5,10) + TIME(17,44,29)</f>
        <v>40308.739224537036</v>
      </c>
      <c r="C246">
        <v>80</v>
      </c>
      <c r="D246">
        <v>79.962394713999998</v>
      </c>
      <c r="E246">
        <v>50</v>
      </c>
      <c r="F246">
        <v>14.999794959999999</v>
      </c>
      <c r="G246">
        <v>1337.2635498</v>
      </c>
      <c r="H246">
        <v>1335.4121094</v>
      </c>
      <c r="I246">
        <v>1325.4694824000001</v>
      </c>
      <c r="J246">
        <v>1323.4890137</v>
      </c>
      <c r="K246">
        <v>2400</v>
      </c>
      <c r="L246">
        <v>0</v>
      </c>
      <c r="M246">
        <v>0</v>
      </c>
      <c r="N246">
        <v>2400</v>
      </c>
    </row>
    <row r="247" spans="1:14" x14ac:dyDescent="0.25">
      <c r="A247">
        <v>9.8590800000000005</v>
      </c>
      <c r="B247" s="1">
        <f>DATE(2010,5,10) + TIME(20,37,4)</f>
        <v>40308.859074074076</v>
      </c>
      <c r="C247">
        <v>80</v>
      </c>
      <c r="D247">
        <v>79.962356567</v>
      </c>
      <c r="E247">
        <v>50</v>
      </c>
      <c r="F247">
        <v>14.999795914</v>
      </c>
      <c r="G247">
        <v>1337.2574463000001</v>
      </c>
      <c r="H247">
        <v>1335.4082031</v>
      </c>
      <c r="I247">
        <v>1325.4696045000001</v>
      </c>
      <c r="J247">
        <v>1323.4891356999999</v>
      </c>
      <c r="K247">
        <v>2400</v>
      </c>
      <c r="L247">
        <v>0</v>
      </c>
      <c r="M247">
        <v>0</v>
      </c>
      <c r="N247">
        <v>2400</v>
      </c>
    </row>
    <row r="248" spans="1:14" x14ac:dyDescent="0.25">
      <c r="A248">
        <v>9.9805890000000002</v>
      </c>
      <c r="B248" s="1">
        <f>DATE(2010,5,10) + TIME(23,32,2)</f>
        <v>40308.980578703704</v>
      </c>
      <c r="C248">
        <v>80</v>
      </c>
      <c r="D248">
        <v>79.962318420000003</v>
      </c>
      <c r="E248">
        <v>50</v>
      </c>
      <c r="F248">
        <v>14.999796867000001</v>
      </c>
      <c r="G248">
        <v>1337.2513428</v>
      </c>
      <c r="H248">
        <v>1335.4042969</v>
      </c>
      <c r="I248">
        <v>1325.4697266000001</v>
      </c>
      <c r="J248">
        <v>1323.4891356999999</v>
      </c>
      <c r="K248">
        <v>2400</v>
      </c>
      <c r="L248">
        <v>0</v>
      </c>
      <c r="M248">
        <v>0</v>
      </c>
      <c r="N248">
        <v>2400</v>
      </c>
    </row>
    <row r="249" spans="1:14" x14ac:dyDescent="0.25">
      <c r="A249">
        <v>10.104034</v>
      </c>
      <c r="B249" s="1">
        <f>DATE(2010,5,11) + TIME(2,29,48)</f>
        <v>40309.104027777779</v>
      </c>
      <c r="C249">
        <v>80</v>
      </c>
      <c r="D249">
        <v>79.962280273000005</v>
      </c>
      <c r="E249">
        <v>50</v>
      </c>
      <c r="F249">
        <v>14.999796867000001</v>
      </c>
      <c r="G249">
        <v>1337.2452393000001</v>
      </c>
      <c r="H249">
        <v>1335.4003906</v>
      </c>
      <c r="I249">
        <v>1325.4698486</v>
      </c>
      <c r="J249">
        <v>1323.4892577999999</v>
      </c>
      <c r="K249">
        <v>2400</v>
      </c>
      <c r="L249">
        <v>0</v>
      </c>
      <c r="M249">
        <v>0</v>
      </c>
      <c r="N249">
        <v>2400</v>
      </c>
    </row>
    <row r="250" spans="1:14" x14ac:dyDescent="0.25">
      <c r="A250">
        <v>10.229748000000001</v>
      </c>
      <c r="B250" s="1">
        <f>DATE(2010,5,11) + TIME(5,30,50)</f>
        <v>40309.229745370372</v>
      </c>
      <c r="C250">
        <v>80</v>
      </c>
      <c r="D250">
        <v>79.962242126000007</v>
      </c>
      <c r="E250">
        <v>50</v>
      </c>
      <c r="F250">
        <v>14.999797821</v>
      </c>
      <c r="G250">
        <v>1337.2390137</v>
      </c>
      <c r="H250">
        <v>1335.3964844</v>
      </c>
      <c r="I250">
        <v>1325.4699707</v>
      </c>
      <c r="J250">
        <v>1323.4893798999999</v>
      </c>
      <c r="K250">
        <v>2400</v>
      </c>
      <c r="L250">
        <v>0</v>
      </c>
      <c r="M250">
        <v>0</v>
      </c>
      <c r="N250">
        <v>2400</v>
      </c>
    </row>
    <row r="251" spans="1:14" x14ac:dyDescent="0.25">
      <c r="A251">
        <v>10.357343</v>
      </c>
      <c r="B251" s="1">
        <f>DATE(2010,5,11) + TIME(8,34,34)</f>
        <v>40309.35733796296</v>
      </c>
      <c r="C251">
        <v>80</v>
      </c>
      <c r="D251">
        <v>79.962196349999999</v>
      </c>
      <c r="E251">
        <v>50</v>
      </c>
      <c r="F251">
        <v>14.999798775</v>
      </c>
      <c r="G251">
        <v>1337.2329102000001</v>
      </c>
      <c r="H251">
        <v>1335.3925781</v>
      </c>
      <c r="I251">
        <v>1325.4700928</v>
      </c>
      <c r="J251">
        <v>1323.4893798999999</v>
      </c>
      <c r="K251">
        <v>2400</v>
      </c>
      <c r="L251">
        <v>0</v>
      </c>
      <c r="M251">
        <v>0</v>
      </c>
      <c r="N251">
        <v>2400</v>
      </c>
    </row>
    <row r="252" spans="1:14" x14ac:dyDescent="0.25">
      <c r="A252">
        <v>10.486793</v>
      </c>
      <c r="B252" s="1">
        <f>DATE(2010,5,11) + TIME(11,40,58)</f>
        <v>40309.48678240741</v>
      </c>
      <c r="C252">
        <v>80</v>
      </c>
      <c r="D252">
        <v>79.962158203000001</v>
      </c>
      <c r="E252">
        <v>50</v>
      </c>
      <c r="F252">
        <v>14.999798775</v>
      </c>
      <c r="G252">
        <v>1337.2266846</v>
      </c>
      <c r="H252">
        <v>1335.3886719</v>
      </c>
      <c r="I252">
        <v>1325.4702147999999</v>
      </c>
      <c r="J252">
        <v>1323.4895019999999</v>
      </c>
      <c r="K252">
        <v>2400</v>
      </c>
      <c r="L252">
        <v>0</v>
      </c>
      <c r="M252">
        <v>0</v>
      </c>
      <c r="N252">
        <v>2400</v>
      </c>
    </row>
    <row r="253" spans="1:14" x14ac:dyDescent="0.25">
      <c r="A253">
        <v>10.618410000000001</v>
      </c>
      <c r="B253" s="1">
        <f>DATE(2010,5,11) + TIME(14,50,30)</f>
        <v>40309.618402777778</v>
      </c>
      <c r="C253">
        <v>80</v>
      </c>
      <c r="D253">
        <v>79.962120056000003</v>
      </c>
      <c r="E253">
        <v>50</v>
      </c>
      <c r="F253">
        <v>14.999799727999999</v>
      </c>
      <c r="G253">
        <v>1337.2205810999999</v>
      </c>
      <c r="H253">
        <v>1335.3846435999999</v>
      </c>
      <c r="I253">
        <v>1325.4703368999999</v>
      </c>
      <c r="J253">
        <v>1323.489624</v>
      </c>
      <c r="K253">
        <v>2400</v>
      </c>
      <c r="L253">
        <v>0</v>
      </c>
      <c r="M253">
        <v>0</v>
      </c>
      <c r="N253">
        <v>2400</v>
      </c>
    </row>
    <row r="254" spans="1:14" x14ac:dyDescent="0.25">
      <c r="A254">
        <v>10.685460000000001</v>
      </c>
      <c r="B254" s="1">
        <f>DATE(2010,5,11) + TIME(16,27,3)</f>
        <v>40309.68545138889</v>
      </c>
      <c r="C254">
        <v>80</v>
      </c>
      <c r="D254">
        <v>79.962089539000004</v>
      </c>
      <c r="E254">
        <v>50</v>
      </c>
      <c r="F254">
        <v>14.999800682</v>
      </c>
      <c r="G254">
        <v>1337.2142334</v>
      </c>
      <c r="H254">
        <v>1335.3806152</v>
      </c>
      <c r="I254">
        <v>1325.4704589999999</v>
      </c>
      <c r="J254">
        <v>1323.489624</v>
      </c>
      <c r="K254">
        <v>2400</v>
      </c>
      <c r="L254">
        <v>0</v>
      </c>
      <c r="M254">
        <v>0</v>
      </c>
      <c r="N254">
        <v>2400</v>
      </c>
    </row>
    <row r="255" spans="1:14" x14ac:dyDescent="0.25">
      <c r="A255">
        <v>10.752509999999999</v>
      </c>
      <c r="B255" s="1">
        <f>DATE(2010,5,11) + TIME(18,3,36)</f>
        <v>40309.752500000002</v>
      </c>
      <c r="C255">
        <v>80</v>
      </c>
      <c r="D255">
        <v>79.962066649999997</v>
      </c>
      <c r="E255">
        <v>50</v>
      </c>
      <c r="F255">
        <v>14.999800682</v>
      </c>
      <c r="G255">
        <v>1337.2111815999999</v>
      </c>
      <c r="H255">
        <v>1335.3786620999999</v>
      </c>
      <c r="I255">
        <v>1325.4704589999999</v>
      </c>
      <c r="J255">
        <v>1323.4897461</v>
      </c>
      <c r="K255">
        <v>2400</v>
      </c>
      <c r="L255">
        <v>0</v>
      </c>
      <c r="M255">
        <v>0</v>
      </c>
      <c r="N255">
        <v>2400</v>
      </c>
    </row>
    <row r="256" spans="1:14" x14ac:dyDescent="0.25">
      <c r="A256">
        <v>10.819559999999999</v>
      </c>
      <c r="B256" s="1">
        <f>DATE(2010,5,11) + TIME(19,40,9)</f>
        <v>40309.819548611114</v>
      </c>
      <c r="C256">
        <v>80</v>
      </c>
      <c r="D256">
        <v>79.962043761999993</v>
      </c>
      <c r="E256">
        <v>50</v>
      </c>
      <c r="F256">
        <v>14.999800682</v>
      </c>
      <c r="G256">
        <v>1337.2080077999999</v>
      </c>
      <c r="H256">
        <v>1335.3765868999999</v>
      </c>
      <c r="I256">
        <v>1325.4705810999999</v>
      </c>
      <c r="J256">
        <v>1323.4897461</v>
      </c>
      <c r="K256">
        <v>2400</v>
      </c>
      <c r="L256">
        <v>0</v>
      </c>
      <c r="M256">
        <v>0</v>
      </c>
      <c r="N256">
        <v>2400</v>
      </c>
    </row>
    <row r="257" spans="1:14" x14ac:dyDescent="0.25">
      <c r="A257">
        <v>10.886609999999999</v>
      </c>
      <c r="B257" s="1">
        <f>DATE(2010,5,11) + TIME(21,16,43)</f>
        <v>40309.886608796296</v>
      </c>
      <c r="C257">
        <v>80</v>
      </c>
      <c r="D257">
        <v>79.962020874000004</v>
      </c>
      <c r="E257">
        <v>50</v>
      </c>
      <c r="F257">
        <v>14.999801636000001</v>
      </c>
      <c r="G257">
        <v>1337.2049560999999</v>
      </c>
      <c r="H257">
        <v>1335.3746338000001</v>
      </c>
      <c r="I257">
        <v>1325.4705810999999</v>
      </c>
      <c r="J257">
        <v>1323.4897461</v>
      </c>
      <c r="K257">
        <v>2400</v>
      </c>
      <c r="L257">
        <v>0</v>
      </c>
      <c r="M257">
        <v>0</v>
      </c>
      <c r="N257">
        <v>2400</v>
      </c>
    </row>
    <row r="258" spans="1:14" x14ac:dyDescent="0.25">
      <c r="A258">
        <v>10.953659999999999</v>
      </c>
      <c r="B258" s="1">
        <f>DATE(2010,5,11) + TIME(22,53,16)</f>
        <v>40309.953657407408</v>
      </c>
      <c r="C258">
        <v>80</v>
      </c>
      <c r="D258">
        <v>79.961997986</v>
      </c>
      <c r="E258">
        <v>50</v>
      </c>
      <c r="F258">
        <v>14.999801636000001</v>
      </c>
      <c r="G258">
        <v>1337.2019043</v>
      </c>
      <c r="H258">
        <v>1335.3726807</v>
      </c>
      <c r="I258">
        <v>1325.4707031</v>
      </c>
      <c r="J258">
        <v>1323.4898682</v>
      </c>
      <c r="K258">
        <v>2400</v>
      </c>
      <c r="L258">
        <v>0</v>
      </c>
      <c r="M258">
        <v>0</v>
      </c>
      <c r="N258">
        <v>2400</v>
      </c>
    </row>
    <row r="259" spans="1:14" x14ac:dyDescent="0.25">
      <c r="A259">
        <v>11.020709999999999</v>
      </c>
      <c r="B259" s="1">
        <f>DATE(2010,5,12) + TIME(0,29,49)</f>
        <v>40310.02070601852</v>
      </c>
      <c r="C259">
        <v>80</v>
      </c>
      <c r="D259">
        <v>79.961975097999996</v>
      </c>
      <c r="E259">
        <v>50</v>
      </c>
      <c r="F259">
        <v>14.999801636000001</v>
      </c>
      <c r="G259">
        <v>1337.1988524999999</v>
      </c>
      <c r="H259">
        <v>1335.3707274999999</v>
      </c>
      <c r="I259">
        <v>1325.4707031</v>
      </c>
      <c r="J259">
        <v>1323.4898682</v>
      </c>
      <c r="K259">
        <v>2400</v>
      </c>
      <c r="L259">
        <v>0</v>
      </c>
      <c r="M259">
        <v>0</v>
      </c>
      <c r="N259">
        <v>2400</v>
      </c>
    </row>
    <row r="260" spans="1:14" x14ac:dyDescent="0.25">
      <c r="A260">
        <v>11.087759999999999</v>
      </c>
      <c r="B260" s="1">
        <f>DATE(2010,5,12) + TIME(2,6,22)</f>
        <v>40310.087754629632</v>
      </c>
      <c r="C260">
        <v>80</v>
      </c>
      <c r="D260">
        <v>79.961959839000002</v>
      </c>
      <c r="E260">
        <v>50</v>
      </c>
      <c r="F260">
        <v>14.999802589</v>
      </c>
      <c r="G260">
        <v>1337.1958007999999</v>
      </c>
      <c r="H260">
        <v>1335.3687743999999</v>
      </c>
      <c r="I260">
        <v>1325.4708252</v>
      </c>
      <c r="J260">
        <v>1323.4898682</v>
      </c>
      <c r="K260">
        <v>2400</v>
      </c>
      <c r="L260">
        <v>0</v>
      </c>
      <c r="M260">
        <v>0</v>
      </c>
      <c r="N260">
        <v>2400</v>
      </c>
    </row>
    <row r="261" spans="1:14" x14ac:dyDescent="0.25">
      <c r="A261">
        <v>11.154809999999999</v>
      </c>
      <c r="B261" s="1">
        <f>DATE(2010,5,12) + TIME(3,42,55)</f>
        <v>40310.154803240737</v>
      </c>
      <c r="C261">
        <v>80</v>
      </c>
      <c r="D261">
        <v>79.961936950999998</v>
      </c>
      <c r="E261">
        <v>50</v>
      </c>
      <c r="F261">
        <v>14.999802589</v>
      </c>
      <c r="G261">
        <v>1337.192749</v>
      </c>
      <c r="H261">
        <v>1335.3668213000001</v>
      </c>
      <c r="I261">
        <v>1325.4708252</v>
      </c>
      <c r="J261">
        <v>1323.4899902</v>
      </c>
      <c r="K261">
        <v>2400</v>
      </c>
      <c r="L261">
        <v>0</v>
      </c>
      <c r="M261">
        <v>0</v>
      </c>
      <c r="N261">
        <v>2400</v>
      </c>
    </row>
    <row r="262" spans="1:14" x14ac:dyDescent="0.25">
      <c r="A262">
        <v>11.22186</v>
      </c>
      <c r="B262" s="1">
        <f>DATE(2010,5,12) + TIME(5,19,28)</f>
        <v>40310.221851851849</v>
      </c>
      <c r="C262">
        <v>80</v>
      </c>
      <c r="D262">
        <v>79.961914062000005</v>
      </c>
      <c r="E262">
        <v>50</v>
      </c>
      <c r="F262">
        <v>14.999802589</v>
      </c>
      <c r="G262">
        <v>1337.1898193</v>
      </c>
      <c r="H262">
        <v>1335.3649902</v>
      </c>
      <c r="I262">
        <v>1325.4709473</v>
      </c>
      <c r="J262">
        <v>1323.4899902</v>
      </c>
      <c r="K262">
        <v>2400</v>
      </c>
      <c r="L262">
        <v>0</v>
      </c>
      <c r="M262">
        <v>0</v>
      </c>
      <c r="N262">
        <v>2400</v>
      </c>
    </row>
    <row r="263" spans="1:14" x14ac:dyDescent="0.25">
      <c r="A263">
        <v>11.28891</v>
      </c>
      <c r="B263" s="1">
        <f>DATE(2010,5,12) + TIME(6,56,1)</f>
        <v>40310.288900462961</v>
      </c>
      <c r="C263">
        <v>80</v>
      </c>
      <c r="D263">
        <v>79.961898804</v>
      </c>
      <c r="E263">
        <v>50</v>
      </c>
      <c r="F263">
        <v>14.999803543000001</v>
      </c>
      <c r="G263">
        <v>1337.1867675999999</v>
      </c>
      <c r="H263">
        <v>1335.3630370999999</v>
      </c>
      <c r="I263">
        <v>1325.4709473</v>
      </c>
      <c r="J263">
        <v>1323.4899902</v>
      </c>
      <c r="K263">
        <v>2400</v>
      </c>
      <c r="L263">
        <v>0</v>
      </c>
      <c r="M263">
        <v>0</v>
      </c>
      <c r="N263">
        <v>2400</v>
      </c>
    </row>
    <row r="264" spans="1:14" x14ac:dyDescent="0.25">
      <c r="A264">
        <v>11.35596</v>
      </c>
      <c r="B264" s="1">
        <f>DATE(2010,5,12) + TIME(8,32,34)</f>
        <v>40310.355949074074</v>
      </c>
      <c r="C264">
        <v>80</v>
      </c>
      <c r="D264">
        <v>79.961875915999997</v>
      </c>
      <c r="E264">
        <v>50</v>
      </c>
      <c r="F264">
        <v>14.999803543000001</v>
      </c>
      <c r="G264">
        <v>1337.1838379000001</v>
      </c>
      <c r="H264">
        <v>1335.3612060999999</v>
      </c>
      <c r="I264">
        <v>1325.4710693</v>
      </c>
      <c r="J264">
        <v>1323.4901123</v>
      </c>
      <c r="K264">
        <v>2400</v>
      </c>
      <c r="L264">
        <v>0</v>
      </c>
      <c r="M264">
        <v>0</v>
      </c>
      <c r="N264">
        <v>2400</v>
      </c>
    </row>
    <row r="265" spans="1:14" x14ac:dyDescent="0.25">
      <c r="A265">
        <v>11.42301</v>
      </c>
      <c r="B265" s="1">
        <f>DATE(2010,5,12) + TIME(10,9,8)</f>
        <v>40310.423009259262</v>
      </c>
      <c r="C265">
        <v>80</v>
      </c>
      <c r="D265">
        <v>79.961853027000004</v>
      </c>
      <c r="E265">
        <v>50</v>
      </c>
      <c r="F265">
        <v>14.999804497</v>
      </c>
      <c r="G265">
        <v>1337.1809082</v>
      </c>
      <c r="H265">
        <v>1335.359375</v>
      </c>
      <c r="I265">
        <v>1325.4711914</v>
      </c>
      <c r="J265">
        <v>1323.4901123</v>
      </c>
      <c r="K265">
        <v>2400</v>
      </c>
      <c r="L265">
        <v>0</v>
      </c>
      <c r="M265">
        <v>0</v>
      </c>
      <c r="N265">
        <v>2400</v>
      </c>
    </row>
    <row r="266" spans="1:14" x14ac:dyDescent="0.25">
      <c r="A266">
        <v>11.49006</v>
      </c>
      <c r="B266" s="1">
        <f>DATE(2010,5,12) + TIME(11,45,41)</f>
        <v>40310.490057870367</v>
      </c>
      <c r="C266">
        <v>80</v>
      </c>
      <c r="D266">
        <v>79.961837768999999</v>
      </c>
      <c r="E266">
        <v>50</v>
      </c>
      <c r="F266">
        <v>14.999804497</v>
      </c>
      <c r="G266">
        <v>1337.1779785000001</v>
      </c>
      <c r="H266">
        <v>1335.3574219</v>
      </c>
      <c r="I266">
        <v>1325.4711914</v>
      </c>
      <c r="J266">
        <v>1323.4901123</v>
      </c>
      <c r="K266">
        <v>2400</v>
      </c>
      <c r="L266">
        <v>0</v>
      </c>
      <c r="M266">
        <v>0</v>
      </c>
      <c r="N266">
        <v>2400</v>
      </c>
    </row>
    <row r="267" spans="1:14" x14ac:dyDescent="0.25">
      <c r="A267">
        <v>11.55711</v>
      </c>
      <c r="B267" s="1">
        <f>DATE(2010,5,12) + TIME(13,22,14)</f>
        <v>40310.557106481479</v>
      </c>
      <c r="C267">
        <v>80</v>
      </c>
      <c r="D267">
        <v>79.961814880000006</v>
      </c>
      <c r="E267">
        <v>50</v>
      </c>
      <c r="F267">
        <v>14.999804497</v>
      </c>
      <c r="G267">
        <v>1337.1750488</v>
      </c>
      <c r="H267">
        <v>1335.3555908000001</v>
      </c>
      <c r="I267">
        <v>1325.4713135</v>
      </c>
      <c r="J267">
        <v>1323.4902344</v>
      </c>
      <c r="K267">
        <v>2400</v>
      </c>
      <c r="L267">
        <v>0</v>
      </c>
      <c r="M267">
        <v>0</v>
      </c>
      <c r="N267">
        <v>2400</v>
      </c>
    </row>
    <row r="268" spans="1:14" x14ac:dyDescent="0.25">
      <c r="A268">
        <v>11.62416</v>
      </c>
      <c r="B268" s="1">
        <f>DATE(2010,5,12) + TIME(14,58,47)</f>
        <v>40310.624155092592</v>
      </c>
      <c r="C268">
        <v>80</v>
      </c>
      <c r="D268">
        <v>79.961799622000001</v>
      </c>
      <c r="E268">
        <v>50</v>
      </c>
      <c r="F268">
        <v>14.99980545</v>
      </c>
      <c r="G268">
        <v>1337.1722411999999</v>
      </c>
      <c r="H268">
        <v>1335.3537598</v>
      </c>
      <c r="I268">
        <v>1325.4713135</v>
      </c>
      <c r="J268">
        <v>1323.4902344</v>
      </c>
      <c r="K268">
        <v>2400</v>
      </c>
      <c r="L268">
        <v>0</v>
      </c>
      <c r="M268">
        <v>0</v>
      </c>
      <c r="N268">
        <v>2400</v>
      </c>
    </row>
    <row r="269" spans="1:14" x14ac:dyDescent="0.25">
      <c r="A269">
        <v>11.69121</v>
      </c>
      <c r="B269" s="1">
        <f>DATE(2010,5,12) + TIME(16,35,20)</f>
        <v>40310.691203703704</v>
      </c>
      <c r="C269">
        <v>80</v>
      </c>
      <c r="D269">
        <v>79.961776732999994</v>
      </c>
      <c r="E269">
        <v>50</v>
      </c>
      <c r="F269">
        <v>14.99980545</v>
      </c>
      <c r="G269">
        <v>1337.1693115</v>
      </c>
      <c r="H269">
        <v>1335.3519286999999</v>
      </c>
      <c r="I269">
        <v>1325.4714355000001</v>
      </c>
      <c r="J269">
        <v>1323.4903564000001</v>
      </c>
      <c r="K269">
        <v>2400</v>
      </c>
      <c r="L269">
        <v>0</v>
      </c>
      <c r="M269">
        <v>0</v>
      </c>
      <c r="N269">
        <v>2400</v>
      </c>
    </row>
    <row r="270" spans="1:14" x14ac:dyDescent="0.25">
      <c r="A270">
        <v>11.75826</v>
      </c>
      <c r="B270" s="1">
        <f>DATE(2010,5,12) + TIME(18,11,53)</f>
        <v>40310.758252314816</v>
      </c>
      <c r="C270">
        <v>80</v>
      </c>
      <c r="D270">
        <v>79.961761475000003</v>
      </c>
      <c r="E270">
        <v>50</v>
      </c>
      <c r="F270">
        <v>14.99980545</v>
      </c>
      <c r="G270">
        <v>1337.1665039</v>
      </c>
      <c r="H270">
        <v>1335.3502197</v>
      </c>
      <c r="I270">
        <v>1325.4714355000001</v>
      </c>
      <c r="J270">
        <v>1323.4903564000001</v>
      </c>
      <c r="K270">
        <v>2400</v>
      </c>
      <c r="L270">
        <v>0</v>
      </c>
      <c r="M270">
        <v>0</v>
      </c>
      <c r="N270">
        <v>2400</v>
      </c>
    </row>
    <row r="271" spans="1:14" x14ac:dyDescent="0.25">
      <c r="A271">
        <v>11.89236</v>
      </c>
      <c r="B271" s="1">
        <f>DATE(2010,5,12) + TIME(21,24,59)</f>
        <v>40310.89234953704</v>
      </c>
      <c r="C271">
        <v>80</v>
      </c>
      <c r="D271">
        <v>79.961730957</v>
      </c>
      <c r="E271">
        <v>50</v>
      </c>
      <c r="F271">
        <v>14.999806403999999</v>
      </c>
      <c r="G271">
        <v>1337.1636963000001</v>
      </c>
      <c r="H271">
        <v>1335.3485106999999</v>
      </c>
      <c r="I271">
        <v>1325.4715576000001</v>
      </c>
      <c r="J271">
        <v>1323.4903564000001</v>
      </c>
      <c r="K271">
        <v>2400</v>
      </c>
      <c r="L271">
        <v>0</v>
      </c>
      <c r="M271">
        <v>0</v>
      </c>
      <c r="N271">
        <v>2400</v>
      </c>
    </row>
    <row r="272" spans="1:14" x14ac:dyDescent="0.25">
      <c r="A272">
        <v>12.026786</v>
      </c>
      <c r="B272" s="1">
        <f>DATE(2010,5,13) + TIME(0,38,34)</f>
        <v>40311.026782407411</v>
      </c>
      <c r="C272">
        <v>80</v>
      </c>
      <c r="D272">
        <v>79.961692810000002</v>
      </c>
      <c r="E272">
        <v>50</v>
      </c>
      <c r="F272">
        <v>14.999807358</v>
      </c>
      <c r="G272">
        <v>1337.1580810999999</v>
      </c>
      <c r="H272">
        <v>1335.3449707</v>
      </c>
      <c r="I272">
        <v>1325.4716797000001</v>
      </c>
      <c r="J272">
        <v>1323.4904785000001</v>
      </c>
      <c r="K272">
        <v>2400</v>
      </c>
      <c r="L272">
        <v>0</v>
      </c>
      <c r="M272">
        <v>0</v>
      </c>
      <c r="N272">
        <v>2400</v>
      </c>
    </row>
    <row r="273" spans="1:14" x14ac:dyDescent="0.25">
      <c r="A273">
        <v>12.162754</v>
      </c>
      <c r="B273" s="1">
        <f>DATE(2010,5,13) + TIME(3,54,21)</f>
        <v>40311.162743055553</v>
      </c>
      <c r="C273">
        <v>80</v>
      </c>
      <c r="D273">
        <v>79.961662292</v>
      </c>
      <c r="E273">
        <v>50</v>
      </c>
      <c r="F273">
        <v>14.999807358</v>
      </c>
      <c r="G273">
        <v>1337.1524658000001</v>
      </c>
      <c r="H273">
        <v>1335.3414307</v>
      </c>
      <c r="I273">
        <v>1325.4718018000001</v>
      </c>
      <c r="J273">
        <v>1323.4906006000001</v>
      </c>
      <c r="K273">
        <v>2400</v>
      </c>
      <c r="L273">
        <v>0</v>
      </c>
      <c r="M273">
        <v>0</v>
      </c>
      <c r="N273">
        <v>2400</v>
      </c>
    </row>
    <row r="274" spans="1:14" x14ac:dyDescent="0.25">
      <c r="A274">
        <v>12.300522000000001</v>
      </c>
      <c r="B274" s="1">
        <f>DATE(2010,5,13) + TIME(7,12,45)</f>
        <v>40311.300520833334</v>
      </c>
      <c r="C274">
        <v>80</v>
      </c>
      <c r="D274">
        <v>79.961624146000005</v>
      </c>
      <c r="E274">
        <v>50</v>
      </c>
      <c r="F274">
        <v>14.999808311000001</v>
      </c>
      <c r="G274">
        <v>1337.1469727000001</v>
      </c>
      <c r="H274">
        <v>1335.3380127</v>
      </c>
      <c r="I274">
        <v>1325.4719238</v>
      </c>
      <c r="J274">
        <v>1323.4907227000001</v>
      </c>
      <c r="K274">
        <v>2400</v>
      </c>
      <c r="L274">
        <v>0</v>
      </c>
      <c r="M274">
        <v>0</v>
      </c>
      <c r="N274">
        <v>2400</v>
      </c>
    </row>
    <row r="275" spans="1:14" x14ac:dyDescent="0.25">
      <c r="A275">
        <v>12.440371000000001</v>
      </c>
      <c r="B275" s="1">
        <f>DATE(2010,5,13) + TIME(10,34,8)</f>
        <v>40311.440370370372</v>
      </c>
      <c r="C275">
        <v>80</v>
      </c>
      <c r="D275">
        <v>79.961585998999993</v>
      </c>
      <c r="E275">
        <v>50</v>
      </c>
      <c r="F275">
        <v>14.999808311000001</v>
      </c>
      <c r="G275">
        <v>1337.1413574000001</v>
      </c>
      <c r="H275">
        <v>1335.3344727000001</v>
      </c>
      <c r="I275">
        <v>1325.4720459</v>
      </c>
      <c r="J275">
        <v>1323.4907227000001</v>
      </c>
      <c r="K275">
        <v>2400</v>
      </c>
      <c r="L275">
        <v>0</v>
      </c>
      <c r="M275">
        <v>0</v>
      </c>
      <c r="N275">
        <v>2400</v>
      </c>
    </row>
    <row r="276" spans="1:14" x14ac:dyDescent="0.25">
      <c r="A276">
        <v>12.582639</v>
      </c>
      <c r="B276" s="1">
        <f>DATE(2010,5,13) + TIME(13,59,0)</f>
        <v>40311.582638888889</v>
      </c>
      <c r="C276">
        <v>80</v>
      </c>
      <c r="D276">
        <v>79.961547851999995</v>
      </c>
      <c r="E276">
        <v>50</v>
      </c>
      <c r="F276">
        <v>14.999809265</v>
      </c>
      <c r="G276">
        <v>1337.1357422000001</v>
      </c>
      <c r="H276">
        <v>1335.3310547000001</v>
      </c>
      <c r="I276">
        <v>1325.472168</v>
      </c>
      <c r="J276">
        <v>1323.4908447</v>
      </c>
      <c r="K276">
        <v>2400</v>
      </c>
      <c r="L276">
        <v>0</v>
      </c>
      <c r="M276">
        <v>0</v>
      </c>
      <c r="N276">
        <v>2400</v>
      </c>
    </row>
    <row r="277" spans="1:14" x14ac:dyDescent="0.25">
      <c r="A277">
        <v>12.727261</v>
      </c>
      <c r="B277" s="1">
        <f>DATE(2010,5,13) + TIME(17,27,15)</f>
        <v>40311.727256944447</v>
      </c>
      <c r="C277">
        <v>80</v>
      </c>
      <c r="D277">
        <v>79.961509704999997</v>
      </c>
      <c r="E277">
        <v>50</v>
      </c>
      <c r="F277">
        <v>14.999810219</v>
      </c>
      <c r="G277">
        <v>1337.1301269999999</v>
      </c>
      <c r="H277">
        <v>1335.3275146000001</v>
      </c>
      <c r="I277">
        <v>1325.4722899999999</v>
      </c>
      <c r="J277">
        <v>1323.4909668</v>
      </c>
      <c r="K277">
        <v>2400</v>
      </c>
      <c r="L277">
        <v>0</v>
      </c>
      <c r="M277">
        <v>0</v>
      </c>
      <c r="N277">
        <v>2400</v>
      </c>
    </row>
    <row r="278" spans="1:14" x14ac:dyDescent="0.25">
      <c r="A278">
        <v>12.873589000000001</v>
      </c>
      <c r="B278" s="1">
        <f>DATE(2010,5,13) + TIME(20,57,58)</f>
        <v>40311.87358796296</v>
      </c>
      <c r="C278">
        <v>80</v>
      </c>
      <c r="D278">
        <v>79.961471558</v>
      </c>
      <c r="E278">
        <v>50</v>
      </c>
      <c r="F278">
        <v>14.999810219</v>
      </c>
      <c r="G278">
        <v>1337.1245117000001</v>
      </c>
      <c r="H278">
        <v>1335.3240966999999</v>
      </c>
      <c r="I278">
        <v>1325.4725341999999</v>
      </c>
      <c r="J278">
        <v>1323.4910889</v>
      </c>
      <c r="K278">
        <v>2400</v>
      </c>
      <c r="L278">
        <v>0</v>
      </c>
      <c r="M278">
        <v>0</v>
      </c>
      <c r="N278">
        <v>2400</v>
      </c>
    </row>
    <row r="279" spans="1:14" x14ac:dyDescent="0.25">
      <c r="A279">
        <v>13.021932</v>
      </c>
      <c r="B279" s="1">
        <f>DATE(2010,5,14) + TIME(0,31,34)</f>
        <v>40312.021921296298</v>
      </c>
      <c r="C279">
        <v>80</v>
      </c>
      <c r="D279">
        <v>79.961433411000002</v>
      </c>
      <c r="E279">
        <v>50</v>
      </c>
      <c r="F279">
        <v>14.999811171999999</v>
      </c>
      <c r="G279">
        <v>1337.1188964999999</v>
      </c>
      <c r="H279">
        <v>1335.3205565999999</v>
      </c>
      <c r="I279">
        <v>1325.4726562000001</v>
      </c>
      <c r="J279">
        <v>1323.4910889</v>
      </c>
      <c r="K279">
        <v>2400</v>
      </c>
      <c r="L279">
        <v>0</v>
      </c>
      <c r="M279">
        <v>0</v>
      </c>
      <c r="N279">
        <v>2400</v>
      </c>
    </row>
    <row r="280" spans="1:14" x14ac:dyDescent="0.25">
      <c r="A280">
        <v>13.097269000000001</v>
      </c>
      <c r="B280" s="1">
        <f>DATE(2010,5,14) + TIME(2,20,4)</f>
        <v>40312.097268518519</v>
      </c>
      <c r="C280">
        <v>80</v>
      </c>
      <c r="D280">
        <v>79.961410521999994</v>
      </c>
      <c r="E280">
        <v>50</v>
      </c>
      <c r="F280">
        <v>14.999811171999999</v>
      </c>
      <c r="G280">
        <v>1337.1131591999999</v>
      </c>
      <c r="H280">
        <v>1335.3168945</v>
      </c>
      <c r="I280">
        <v>1325.4727783000001</v>
      </c>
      <c r="J280">
        <v>1323.4912108999999</v>
      </c>
      <c r="K280">
        <v>2400</v>
      </c>
      <c r="L280">
        <v>0</v>
      </c>
      <c r="M280">
        <v>0</v>
      </c>
      <c r="N280">
        <v>2400</v>
      </c>
    </row>
    <row r="281" spans="1:14" x14ac:dyDescent="0.25">
      <c r="A281">
        <v>13.172606999999999</v>
      </c>
      <c r="B281" s="1">
        <f>DATE(2010,5,14) + TIME(4,8,33)</f>
        <v>40312.17260416667</v>
      </c>
      <c r="C281">
        <v>80</v>
      </c>
      <c r="D281">
        <v>79.961387634000005</v>
      </c>
      <c r="E281">
        <v>50</v>
      </c>
      <c r="F281">
        <v>14.999812126</v>
      </c>
      <c r="G281">
        <v>1337.1102295000001</v>
      </c>
      <c r="H281">
        <v>1335.3150635</v>
      </c>
      <c r="I281">
        <v>1325.4729004000001</v>
      </c>
      <c r="J281">
        <v>1323.4912108999999</v>
      </c>
      <c r="K281">
        <v>2400</v>
      </c>
      <c r="L281">
        <v>0</v>
      </c>
      <c r="M281">
        <v>0</v>
      </c>
      <c r="N281">
        <v>2400</v>
      </c>
    </row>
    <row r="282" spans="1:14" x14ac:dyDescent="0.25">
      <c r="A282">
        <v>13.247944</v>
      </c>
      <c r="B282" s="1">
        <f>DATE(2010,5,14) + TIME(5,57,2)</f>
        <v>40312.247939814813</v>
      </c>
      <c r="C282">
        <v>80</v>
      </c>
      <c r="D282">
        <v>79.961364746000001</v>
      </c>
      <c r="E282">
        <v>50</v>
      </c>
      <c r="F282">
        <v>14.999812126</v>
      </c>
      <c r="G282">
        <v>1337.1074219</v>
      </c>
      <c r="H282">
        <v>1335.3133545000001</v>
      </c>
      <c r="I282">
        <v>1325.4729004000001</v>
      </c>
      <c r="J282">
        <v>1323.4913329999999</v>
      </c>
      <c r="K282">
        <v>2400</v>
      </c>
      <c r="L282">
        <v>0</v>
      </c>
      <c r="M282">
        <v>0</v>
      </c>
      <c r="N282">
        <v>2400</v>
      </c>
    </row>
    <row r="283" spans="1:14" x14ac:dyDescent="0.25">
      <c r="A283">
        <v>13.323281</v>
      </c>
      <c r="B283" s="1">
        <f>DATE(2010,5,14) + TIME(7,45,31)</f>
        <v>40312.323275462964</v>
      </c>
      <c r="C283">
        <v>80</v>
      </c>
      <c r="D283">
        <v>79.961341857999997</v>
      </c>
      <c r="E283">
        <v>50</v>
      </c>
      <c r="F283">
        <v>14.999812126</v>
      </c>
      <c r="G283">
        <v>1337.1046143000001</v>
      </c>
      <c r="H283">
        <v>1335.3115233999999</v>
      </c>
      <c r="I283">
        <v>1325.4730225000001</v>
      </c>
      <c r="J283">
        <v>1323.4913329999999</v>
      </c>
      <c r="K283">
        <v>2400</v>
      </c>
      <c r="L283">
        <v>0</v>
      </c>
      <c r="M283">
        <v>0</v>
      </c>
      <c r="N283">
        <v>2400</v>
      </c>
    </row>
    <row r="284" spans="1:14" x14ac:dyDescent="0.25">
      <c r="A284">
        <v>13.398618000000001</v>
      </c>
      <c r="B284" s="1">
        <f>DATE(2010,5,14) + TIME(9,34,0)</f>
        <v>40312.398611111108</v>
      </c>
      <c r="C284">
        <v>80</v>
      </c>
      <c r="D284">
        <v>79.961326599000003</v>
      </c>
      <c r="E284">
        <v>50</v>
      </c>
      <c r="F284">
        <v>14.999813079999999</v>
      </c>
      <c r="G284">
        <v>1337.1018065999999</v>
      </c>
      <c r="H284">
        <v>1335.3098144999999</v>
      </c>
      <c r="I284">
        <v>1325.4730225000001</v>
      </c>
      <c r="J284">
        <v>1323.4914550999999</v>
      </c>
      <c r="K284">
        <v>2400</v>
      </c>
      <c r="L284">
        <v>0</v>
      </c>
      <c r="M284">
        <v>0</v>
      </c>
      <c r="N284">
        <v>2400</v>
      </c>
    </row>
    <row r="285" spans="1:14" x14ac:dyDescent="0.25">
      <c r="A285">
        <v>13.473955999999999</v>
      </c>
      <c r="B285" s="1">
        <f>DATE(2010,5,14) + TIME(11,22,29)</f>
        <v>40312.473946759259</v>
      </c>
      <c r="C285">
        <v>80</v>
      </c>
      <c r="D285">
        <v>79.961303710999999</v>
      </c>
      <c r="E285">
        <v>50</v>
      </c>
      <c r="F285">
        <v>14.999813079999999</v>
      </c>
      <c r="G285">
        <v>1337.098999</v>
      </c>
      <c r="H285">
        <v>1335.3079834</v>
      </c>
      <c r="I285">
        <v>1325.4731445</v>
      </c>
      <c r="J285">
        <v>1323.4914550999999</v>
      </c>
      <c r="K285">
        <v>2400</v>
      </c>
      <c r="L285">
        <v>0</v>
      </c>
      <c r="M285">
        <v>0</v>
      </c>
      <c r="N285">
        <v>2400</v>
      </c>
    </row>
    <row r="286" spans="1:14" x14ac:dyDescent="0.25">
      <c r="A286">
        <v>13.549186000000001</v>
      </c>
      <c r="B286" s="1">
        <f>DATE(2010,5,14) + TIME(13,10,49)</f>
        <v>40312.549178240741</v>
      </c>
      <c r="C286">
        <v>80</v>
      </c>
      <c r="D286">
        <v>79.961280822999996</v>
      </c>
      <c r="E286">
        <v>50</v>
      </c>
      <c r="F286">
        <v>14.999814034</v>
      </c>
      <c r="G286">
        <v>1337.0963135</v>
      </c>
      <c r="H286">
        <v>1335.3062743999999</v>
      </c>
      <c r="I286">
        <v>1325.4732666</v>
      </c>
      <c r="J286">
        <v>1323.4914550999999</v>
      </c>
      <c r="K286">
        <v>2400</v>
      </c>
      <c r="L286">
        <v>0</v>
      </c>
      <c r="M286">
        <v>0</v>
      </c>
      <c r="N286">
        <v>2400</v>
      </c>
    </row>
    <row r="287" spans="1:14" x14ac:dyDescent="0.25">
      <c r="A287">
        <v>13.62434</v>
      </c>
      <c r="B287" s="1">
        <f>DATE(2010,5,14) + TIME(14,59,2)</f>
        <v>40312.624328703707</v>
      </c>
      <c r="C287">
        <v>80</v>
      </c>
      <c r="D287">
        <v>79.961265564000001</v>
      </c>
      <c r="E287">
        <v>50</v>
      </c>
      <c r="F287">
        <v>14.999814034</v>
      </c>
      <c r="G287">
        <v>1337.0935059000001</v>
      </c>
      <c r="H287">
        <v>1335.3045654</v>
      </c>
      <c r="I287">
        <v>1325.4732666</v>
      </c>
      <c r="J287">
        <v>1323.4915771000001</v>
      </c>
      <c r="K287">
        <v>2400</v>
      </c>
      <c r="L287">
        <v>0</v>
      </c>
      <c r="M287">
        <v>0</v>
      </c>
      <c r="N287">
        <v>2400</v>
      </c>
    </row>
    <row r="288" spans="1:14" x14ac:dyDescent="0.25">
      <c r="A288">
        <v>13.699458999999999</v>
      </c>
      <c r="B288" s="1">
        <f>DATE(2010,5,14) + TIME(16,47,13)</f>
        <v>40312.699456018519</v>
      </c>
      <c r="C288">
        <v>80</v>
      </c>
      <c r="D288">
        <v>79.961242675999998</v>
      </c>
      <c r="E288">
        <v>50</v>
      </c>
      <c r="F288">
        <v>14.999814034</v>
      </c>
      <c r="G288">
        <v>1337.0908202999999</v>
      </c>
      <c r="H288">
        <v>1335.3028564000001</v>
      </c>
      <c r="I288">
        <v>1325.4733887</v>
      </c>
      <c r="J288">
        <v>1323.4915771000001</v>
      </c>
      <c r="K288">
        <v>2400</v>
      </c>
      <c r="L288">
        <v>0</v>
      </c>
      <c r="M288">
        <v>0</v>
      </c>
      <c r="N288">
        <v>2400</v>
      </c>
    </row>
    <row r="289" spans="1:14" x14ac:dyDescent="0.25">
      <c r="A289">
        <v>13.774578999999999</v>
      </c>
      <c r="B289" s="1">
        <f>DATE(2010,5,14) + TIME(18,35,23)</f>
        <v>40312.774571759262</v>
      </c>
      <c r="C289">
        <v>80</v>
      </c>
      <c r="D289">
        <v>79.961227417000003</v>
      </c>
      <c r="E289">
        <v>50</v>
      </c>
      <c r="F289">
        <v>14.999814987000001</v>
      </c>
      <c r="G289">
        <v>1337.0880127</v>
      </c>
      <c r="H289">
        <v>1335.3011475000001</v>
      </c>
      <c r="I289">
        <v>1325.4733887</v>
      </c>
      <c r="J289">
        <v>1323.4916992000001</v>
      </c>
      <c r="K289">
        <v>2400</v>
      </c>
      <c r="L289">
        <v>0</v>
      </c>
      <c r="M289">
        <v>0</v>
      </c>
      <c r="N289">
        <v>2400</v>
      </c>
    </row>
    <row r="290" spans="1:14" x14ac:dyDescent="0.25">
      <c r="A290">
        <v>13.849698</v>
      </c>
      <c r="B290" s="1">
        <f>DATE(2010,5,14) + TIME(20,23,33)</f>
        <v>40312.849687499998</v>
      </c>
      <c r="C290">
        <v>80</v>
      </c>
      <c r="D290">
        <v>79.961212157999995</v>
      </c>
      <c r="E290">
        <v>50</v>
      </c>
      <c r="F290">
        <v>14.999814987000001</v>
      </c>
      <c r="G290">
        <v>1337.0853271000001</v>
      </c>
      <c r="H290">
        <v>1335.2994385</v>
      </c>
      <c r="I290">
        <v>1325.4735106999999</v>
      </c>
      <c r="J290">
        <v>1323.4916992000001</v>
      </c>
      <c r="K290">
        <v>2400</v>
      </c>
      <c r="L290">
        <v>0</v>
      </c>
      <c r="M290">
        <v>0</v>
      </c>
      <c r="N290">
        <v>2400</v>
      </c>
    </row>
    <row r="291" spans="1:14" x14ac:dyDescent="0.25">
      <c r="A291">
        <v>13.924817000000001</v>
      </c>
      <c r="B291" s="1">
        <f>DATE(2010,5,14) + TIME(22,11,44)</f>
        <v>40312.924814814818</v>
      </c>
      <c r="C291">
        <v>80</v>
      </c>
      <c r="D291">
        <v>79.961189270000006</v>
      </c>
      <c r="E291">
        <v>50</v>
      </c>
      <c r="F291">
        <v>14.999814987000001</v>
      </c>
      <c r="G291">
        <v>1337.0826416</v>
      </c>
      <c r="H291">
        <v>1335.2977295000001</v>
      </c>
      <c r="I291">
        <v>1325.4736327999999</v>
      </c>
      <c r="J291">
        <v>1323.4916992000001</v>
      </c>
      <c r="K291">
        <v>2400</v>
      </c>
      <c r="L291">
        <v>0</v>
      </c>
      <c r="M291">
        <v>0</v>
      </c>
      <c r="N291">
        <v>2400</v>
      </c>
    </row>
    <row r="292" spans="1:14" x14ac:dyDescent="0.25">
      <c r="A292">
        <v>13.999936</v>
      </c>
      <c r="B292" s="1">
        <f>DATE(2010,5,14) + TIME(23,59,54)</f>
        <v>40312.999930555554</v>
      </c>
      <c r="C292">
        <v>80</v>
      </c>
      <c r="D292">
        <v>79.961174010999997</v>
      </c>
      <c r="E292">
        <v>50</v>
      </c>
      <c r="F292">
        <v>14.999815941</v>
      </c>
      <c r="G292">
        <v>1337.0800781</v>
      </c>
      <c r="H292">
        <v>1335.2960204999999</v>
      </c>
      <c r="I292">
        <v>1325.4736327999999</v>
      </c>
      <c r="J292">
        <v>1323.4918213000001</v>
      </c>
      <c r="K292">
        <v>2400</v>
      </c>
      <c r="L292">
        <v>0</v>
      </c>
      <c r="M292">
        <v>0</v>
      </c>
      <c r="N292">
        <v>2400</v>
      </c>
    </row>
    <row r="293" spans="1:14" x14ac:dyDescent="0.25">
      <c r="A293">
        <v>14.075056</v>
      </c>
      <c r="B293" s="1">
        <f>DATE(2010,5,15) + TIME(1,48,4)</f>
        <v>40313.075046296297</v>
      </c>
      <c r="C293">
        <v>80</v>
      </c>
      <c r="D293">
        <v>79.961151122999993</v>
      </c>
      <c r="E293">
        <v>50</v>
      </c>
      <c r="F293">
        <v>14.999815941</v>
      </c>
      <c r="G293">
        <v>1337.0773925999999</v>
      </c>
      <c r="H293">
        <v>1335.2943115</v>
      </c>
      <c r="I293">
        <v>1325.4737548999999</v>
      </c>
      <c r="J293">
        <v>1323.4918213000001</v>
      </c>
      <c r="K293">
        <v>2400</v>
      </c>
      <c r="L293">
        <v>0</v>
      </c>
      <c r="M293">
        <v>0</v>
      </c>
      <c r="N293">
        <v>2400</v>
      </c>
    </row>
    <row r="294" spans="1:14" x14ac:dyDescent="0.25">
      <c r="A294">
        <v>14.150175000000001</v>
      </c>
      <c r="B294" s="1">
        <f>DATE(2010,5,15) + TIME(3,36,15)</f>
        <v>40313.150173611109</v>
      </c>
      <c r="C294">
        <v>80</v>
      </c>
      <c r="D294">
        <v>79.961135863999999</v>
      </c>
      <c r="E294">
        <v>50</v>
      </c>
      <c r="F294">
        <v>14.999815941</v>
      </c>
      <c r="G294">
        <v>1337.074707</v>
      </c>
      <c r="H294">
        <v>1335.2927245999999</v>
      </c>
      <c r="I294">
        <v>1325.4737548999999</v>
      </c>
      <c r="J294">
        <v>1323.4919434000001</v>
      </c>
      <c r="K294">
        <v>2400</v>
      </c>
      <c r="L294">
        <v>0</v>
      </c>
      <c r="M294">
        <v>0</v>
      </c>
      <c r="N294">
        <v>2400</v>
      </c>
    </row>
    <row r="295" spans="1:14" x14ac:dyDescent="0.25">
      <c r="A295">
        <v>14.225294</v>
      </c>
      <c r="B295" s="1">
        <f>DATE(2010,5,15) + TIME(5,24,25)</f>
        <v>40313.225289351853</v>
      </c>
      <c r="C295">
        <v>80</v>
      </c>
      <c r="D295">
        <v>79.961120605000005</v>
      </c>
      <c r="E295">
        <v>50</v>
      </c>
      <c r="F295">
        <v>14.999816895</v>
      </c>
      <c r="G295">
        <v>1337.0721435999999</v>
      </c>
      <c r="H295">
        <v>1335.2910156</v>
      </c>
      <c r="I295">
        <v>1325.4738769999999</v>
      </c>
      <c r="J295">
        <v>1323.4919434000001</v>
      </c>
      <c r="K295">
        <v>2400</v>
      </c>
      <c r="L295">
        <v>0</v>
      </c>
      <c r="M295">
        <v>0</v>
      </c>
      <c r="N295">
        <v>2400</v>
      </c>
    </row>
    <row r="296" spans="1:14" x14ac:dyDescent="0.25">
      <c r="A296">
        <v>14.375533000000001</v>
      </c>
      <c r="B296" s="1">
        <f>DATE(2010,5,15) + TIME(9,0,46)</f>
        <v>40313.375532407408</v>
      </c>
      <c r="C296">
        <v>80</v>
      </c>
      <c r="D296">
        <v>79.961090088000006</v>
      </c>
      <c r="E296">
        <v>50</v>
      </c>
      <c r="F296">
        <v>14.999816895</v>
      </c>
      <c r="G296">
        <v>1337.0695800999999</v>
      </c>
      <c r="H296">
        <v>1335.2894286999999</v>
      </c>
      <c r="I296">
        <v>1325.473999</v>
      </c>
      <c r="J296">
        <v>1323.4920654</v>
      </c>
      <c r="K296">
        <v>2400</v>
      </c>
      <c r="L296">
        <v>0</v>
      </c>
      <c r="M296">
        <v>0</v>
      </c>
      <c r="N296">
        <v>2400</v>
      </c>
    </row>
    <row r="297" spans="1:14" x14ac:dyDescent="0.25">
      <c r="A297">
        <v>14.526183</v>
      </c>
      <c r="B297" s="1">
        <f>DATE(2010,5,15) + TIME(12,37,42)</f>
        <v>40313.526180555556</v>
      </c>
      <c r="C297">
        <v>80</v>
      </c>
      <c r="D297">
        <v>79.961067200000002</v>
      </c>
      <c r="E297">
        <v>50</v>
      </c>
      <c r="F297">
        <v>14.999817847999999</v>
      </c>
      <c r="G297">
        <v>1337.0643310999999</v>
      </c>
      <c r="H297">
        <v>1335.2861327999999</v>
      </c>
      <c r="I297">
        <v>1325.4741211</v>
      </c>
      <c r="J297">
        <v>1323.4920654</v>
      </c>
      <c r="K297">
        <v>2400</v>
      </c>
      <c r="L297">
        <v>0</v>
      </c>
      <c r="M297">
        <v>0</v>
      </c>
      <c r="N297">
        <v>2400</v>
      </c>
    </row>
    <row r="298" spans="1:14" x14ac:dyDescent="0.25">
      <c r="A298">
        <v>14.678521</v>
      </c>
      <c r="B298" s="1">
        <f>DATE(2010,5,15) + TIME(16,17,4)</f>
        <v>40313.678518518522</v>
      </c>
      <c r="C298">
        <v>80</v>
      </c>
      <c r="D298">
        <v>79.961036682</v>
      </c>
      <c r="E298">
        <v>50</v>
      </c>
      <c r="F298">
        <v>14.999817847999999</v>
      </c>
      <c r="G298">
        <v>1337.0592041</v>
      </c>
      <c r="H298">
        <v>1335.2828368999999</v>
      </c>
      <c r="I298">
        <v>1325.4742432</v>
      </c>
      <c r="J298">
        <v>1323.4921875</v>
      </c>
      <c r="K298">
        <v>2400</v>
      </c>
      <c r="L298">
        <v>0</v>
      </c>
      <c r="M298">
        <v>0</v>
      </c>
      <c r="N298">
        <v>2400</v>
      </c>
    </row>
    <row r="299" spans="1:14" x14ac:dyDescent="0.25">
      <c r="A299">
        <v>14.832853</v>
      </c>
      <c r="B299" s="1">
        <f>DATE(2010,5,15) + TIME(19,59,18)</f>
        <v>40313.83284722222</v>
      </c>
      <c r="C299">
        <v>80</v>
      </c>
      <c r="D299">
        <v>79.961006165000001</v>
      </c>
      <c r="E299">
        <v>50</v>
      </c>
      <c r="F299">
        <v>14.999818802</v>
      </c>
      <c r="G299">
        <v>1337.0540771000001</v>
      </c>
      <c r="H299">
        <v>1335.2795410000001</v>
      </c>
      <c r="I299">
        <v>1325.4743652</v>
      </c>
      <c r="J299">
        <v>1323.4923096</v>
      </c>
      <c r="K299">
        <v>2400</v>
      </c>
      <c r="L299">
        <v>0</v>
      </c>
      <c r="M299">
        <v>0</v>
      </c>
      <c r="N299">
        <v>2400</v>
      </c>
    </row>
    <row r="300" spans="1:14" x14ac:dyDescent="0.25">
      <c r="A300">
        <v>14.989509</v>
      </c>
      <c r="B300" s="1">
        <f>DATE(2010,5,15) + TIME(23,44,53)</f>
        <v>40313.989502314813</v>
      </c>
      <c r="C300">
        <v>80</v>
      </c>
      <c r="D300">
        <v>79.960968018000003</v>
      </c>
      <c r="E300">
        <v>50</v>
      </c>
      <c r="F300">
        <v>14.999819756000001</v>
      </c>
      <c r="G300">
        <v>1337.0489502</v>
      </c>
      <c r="H300">
        <v>1335.2763672000001</v>
      </c>
      <c r="I300">
        <v>1325.4746094</v>
      </c>
      <c r="J300">
        <v>1323.4924315999999</v>
      </c>
      <c r="K300">
        <v>2400</v>
      </c>
      <c r="L300">
        <v>0</v>
      </c>
      <c r="M300">
        <v>0</v>
      </c>
      <c r="N300">
        <v>2400</v>
      </c>
    </row>
    <row r="301" spans="1:14" x14ac:dyDescent="0.25">
      <c r="A301">
        <v>15.148858000000001</v>
      </c>
      <c r="B301" s="1">
        <f>DATE(2010,5,16) + TIME(3,34,21)</f>
        <v>40314.148854166669</v>
      </c>
      <c r="C301">
        <v>80</v>
      </c>
      <c r="D301">
        <v>79.9609375</v>
      </c>
      <c r="E301">
        <v>50</v>
      </c>
      <c r="F301">
        <v>14.999819756000001</v>
      </c>
      <c r="G301">
        <v>1337.0438231999999</v>
      </c>
      <c r="H301">
        <v>1335.2730713000001</v>
      </c>
      <c r="I301">
        <v>1325.4747314000001</v>
      </c>
      <c r="J301">
        <v>1323.4925536999999</v>
      </c>
      <c r="K301">
        <v>2400</v>
      </c>
      <c r="L301">
        <v>0</v>
      </c>
      <c r="M301">
        <v>0</v>
      </c>
      <c r="N301">
        <v>2400</v>
      </c>
    </row>
    <row r="302" spans="1:14" x14ac:dyDescent="0.25">
      <c r="A302">
        <v>15.310001</v>
      </c>
      <c r="B302" s="1">
        <f>DATE(2010,5,16) + TIME(7,26,24)</f>
        <v>40314.31</v>
      </c>
      <c r="C302">
        <v>80</v>
      </c>
      <c r="D302">
        <v>79.960906981999997</v>
      </c>
      <c r="E302">
        <v>50</v>
      </c>
      <c r="F302">
        <v>14.999820709</v>
      </c>
      <c r="G302">
        <v>1337.0385742000001</v>
      </c>
      <c r="H302">
        <v>1335.2697754000001</v>
      </c>
      <c r="I302">
        <v>1325.4748535000001</v>
      </c>
      <c r="J302">
        <v>1323.4926757999999</v>
      </c>
      <c r="K302">
        <v>2400</v>
      </c>
      <c r="L302">
        <v>0</v>
      </c>
      <c r="M302">
        <v>0</v>
      </c>
      <c r="N302">
        <v>2400</v>
      </c>
    </row>
    <row r="303" spans="1:14" x14ac:dyDescent="0.25">
      <c r="A303">
        <v>15.472884000000001</v>
      </c>
      <c r="B303" s="1">
        <f>DATE(2010,5,16) + TIME(11,20,57)</f>
        <v>40314.472881944443</v>
      </c>
      <c r="C303">
        <v>80</v>
      </c>
      <c r="D303">
        <v>79.960876464999998</v>
      </c>
      <c r="E303">
        <v>50</v>
      </c>
      <c r="F303">
        <v>14.999820709</v>
      </c>
      <c r="G303">
        <v>1337.0334473</v>
      </c>
      <c r="H303">
        <v>1335.2664795000001</v>
      </c>
      <c r="I303">
        <v>1325.4750977000001</v>
      </c>
      <c r="J303">
        <v>1323.4926757999999</v>
      </c>
      <c r="K303">
        <v>2400</v>
      </c>
      <c r="L303">
        <v>0</v>
      </c>
      <c r="M303">
        <v>0</v>
      </c>
      <c r="N303">
        <v>2400</v>
      </c>
    </row>
    <row r="304" spans="1:14" x14ac:dyDescent="0.25">
      <c r="A304">
        <v>15.637854000000001</v>
      </c>
      <c r="B304" s="1">
        <f>DATE(2010,5,16) + TIME(15,18,30)</f>
        <v>40314.63784722222</v>
      </c>
      <c r="C304">
        <v>80</v>
      </c>
      <c r="D304">
        <v>79.960838318</v>
      </c>
      <c r="E304">
        <v>50</v>
      </c>
      <c r="F304">
        <v>14.999821663000001</v>
      </c>
      <c r="G304">
        <v>1337.0281981999999</v>
      </c>
      <c r="H304">
        <v>1335.2631836</v>
      </c>
      <c r="I304">
        <v>1325.4752197</v>
      </c>
      <c r="J304">
        <v>1323.4927978999999</v>
      </c>
      <c r="K304">
        <v>2400</v>
      </c>
      <c r="L304">
        <v>0</v>
      </c>
      <c r="M304">
        <v>0</v>
      </c>
      <c r="N304">
        <v>2400</v>
      </c>
    </row>
    <row r="305" spans="1:14" x14ac:dyDescent="0.25">
      <c r="A305">
        <v>15.721278999999999</v>
      </c>
      <c r="B305" s="1">
        <f>DATE(2010,5,16) + TIME(17,18,38)</f>
        <v>40314.721273148149</v>
      </c>
      <c r="C305">
        <v>80</v>
      </c>
      <c r="D305">
        <v>79.960815429999997</v>
      </c>
      <c r="E305">
        <v>50</v>
      </c>
      <c r="F305">
        <v>14.999821663000001</v>
      </c>
      <c r="G305">
        <v>1337.0230713000001</v>
      </c>
      <c r="H305">
        <v>1335.2597656</v>
      </c>
      <c r="I305">
        <v>1325.4753418</v>
      </c>
      <c r="J305">
        <v>1323.4929199000001</v>
      </c>
      <c r="K305">
        <v>2400</v>
      </c>
      <c r="L305">
        <v>0</v>
      </c>
      <c r="M305">
        <v>0</v>
      </c>
      <c r="N305">
        <v>2400</v>
      </c>
    </row>
    <row r="306" spans="1:14" x14ac:dyDescent="0.25">
      <c r="A306">
        <v>15.804703</v>
      </c>
      <c r="B306" s="1">
        <f>DATE(2010,5,16) + TIME(19,18,46)</f>
        <v>40314.804699074077</v>
      </c>
      <c r="C306">
        <v>80</v>
      </c>
      <c r="D306">
        <v>79.960800171000002</v>
      </c>
      <c r="E306">
        <v>50</v>
      </c>
      <c r="F306">
        <v>14.999822617</v>
      </c>
      <c r="G306">
        <v>1337.0203856999999</v>
      </c>
      <c r="H306">
        <v>1335.2581786999999</v>
      </c>
      <c r="I306">
        <v>1325.4754639</v>
      </c>
      <c r="J306">
        <v>1323.4930420000001</v>
      </c>
      <c r="K306">
        <v>2400</v>
      </c>
      <c r="L306">
        <v>0</v>
      </c>
      <c r="M306">
        <v>0</v>
      </c>
      <c r="N306">
        <v>2400</v>
      </c>
    </row>
    <row r="307" spans="1:14" x14ac:dyDescent="0.25">
      <c r="A307">
        <v>15.888128</v>
      </c>
      <c r="B307" s="1">
        <f>DATE(2010,5,16) + TIME(21,18,54)</f>
        <v>40314.888124999998</v>
      </c>
      <c r="C307">
        <v>80</v>
      </c>
      <c r="D307">
        <v>79.960777282999999</v>
      </c>
      <c r="E307">
        <v>50</v>
      </c>
      <c r="F307">
        <v>14.999822617</v>
      </c>
      <c r="G307">
        <v>1337.0178223</v>
      </c>
      <c r="H307">
        <v>1335.2564697</v>
      </c>
      <c r="I307">
        <v>1325.4755858999999</v>
      </c>
      <c r="J307">
        <v>1323.4930420000001</v>
      </c>
      <c r="K307">
        <v>2400</v>
      </c>
      <c r="L307">
        <v>0</v>
      </c>
      <c r="M307">
        <v>0</v>
      </c>
      <c r="N307">
        <v>2400</v>
      </c>
    </row>
    <row r="308" spans="1:14" x14ac:dyDescent="0.25">
      <c r="A308">
        <v>15.971553</v>
      </c>
      <c r="B308" s="1">
        <f>DATE(2010,5,16) + TIME(23,19,2)</f>
        <v>40314.971550925926</v>
      </c>
      <c r="C308">
        <v>80</v>
      </c>
      <c r="D308">
        <v>79.960762024000005</v>
      </c>
      <c r="E308">
        <v>50</v>
      </c>
      <c r="F308">
        <v>14.999822617</v>
      </c>
      <c r="G308">
        <v>1337.0152588000001</v>
      </c>
      <c r="H308">
        <v>1335.2548827999999</v>
      </c>
      <c r="I308">
        <v>1325.4755858999999</v>
      </c>
      <c r="J308">
        <v>1323.4930420000001</v>
      </c>
      <c r="K308">
        <v>2400</v>
      </c>
      <c r="L308">
        <v>0</v>
      </c>
      <c r="M308">
        <v>0</v>
      </c>
      <c r="N308">
        <v>2400</v>
      </c>
    </row>
    <row r="309" spans="1:14" x14ac:dyDescent="0.25">
      <c r="A309">
        <v>16.054977000000001</v>
      </c>
      <c r="B309" s="1">
        <f>DATE(2010,5,17) + TIME(1,19,10)</f>
        <v>40315.054976851854</v>
      </c>
      <c r="C309">
        <v>80</v>
      </c>
      <c r="D309">
        <v>79.960739136000001</v>
      </c>
      <c r="E309">
        <v>50</v>
      </c>
      <c r="F309">
        <v>14.99982357</v>
      </c>
      <c r="G309">
        <v>1337.0126952999999</v>
      </c>
      <c r="H309">
        <v>1335.2531738</v>
      </c>
      <c r="I309">
        <v>1325.4757079999999</v>
      </c>
      <c r="J309">
        <v>1323.4931641000001</v>
      </c>
      <c r="K309">
        <v>2400</v>
      </c>
      <c r="L309">
        <v>0</v>
      </c>
      <c r="M309">
        <v>0</v>
      </c>
      <c r="N309">
        <v>2400</v>
      </c>
    </row>
    <row r="310" spans="1:14" x14ac:dyDescent="0.25">
      <c r="A310">
        <v>16.138401999999999</v>
      </c>
      <c r="B310" s="1">
        <f>DATE(2010,5,17) + TIME(3,19,17)</f>
        <v>40315.138391203705</v>
      </c>
      <c r="C310">
        <v>80</v>
      </c>
      <c r="D310">
        <v>79.960723877000007</v>
      </c>
      <c r="E310">
        <v>50</v>
      </c>
      <c r="F310">
        <v>14.99982357</v>
      </c>
      <c r="G310">
        <v>1337.0101318</v>
      </c>
      <c r="H310">
        <v>1335.2515868999999</v>
      </c>
      <c r="I310">
        <v>1325.4758300999999</v>
      </c>
      <c r="J310">
        <v>1323.4931641000001</v>
      </c>
      <c r="K310">
        <v>2400</v>
      </c>
      <c r="L310">
        <v>0</v>
      </c>
      <c r="M310">
        <v>0</v>
      </c>
      <c r="N310">
        <v>2400</v>
      </c>
    </row>
    <row r="311" spans="1:14" x14ac:dyDescent="0.25">
      <c r="A311">
        <v>16.221826</v>
      </c>
      <c r="B311" s="1">
        <f>DATE(2010,5,17) + TIME(5,19,25)</f>
        <v>40315.221817129626</v>
      </c>
      <c r="C311">
        <v>80</v>
      </c>
      <c r="D311">
        <v>79.960708617999998</v>
      </c>
      <c r="E311">
        <v>50</v>
      </c>
      <c r="F311">
        <v>14.99982357</v>
      </c>
      <c r="G311">
        <v>1337.0076904</v>
      </c>
      <c r="H311">
        <v>1335.25</v>
      </c>
      <c r="I311">
        <v>1325.4758300999999</v>
      </c>
      <c r="J311">
        <v>1323.4932861</v>
      </c>
      <c r="K311">
        <v>2400</v>
      </c>
      <c r="L311">
        <v>0</v>
      </c>
      <c r="M311">
        <v>0</v>
      </c>
      <c r="N311">
        <v>2400</v>
      </c>
    </row>
    <row r="312" spans="1:14" x14ac:dyDescent="0.25">
      <c r="A312">
        <v>16.305250999999998</v>
      </c>
      <c r="B312" s="1">
        <f>DATE(2010,5,17) + TIME(7,19,33)</f>
        <v>40315.305243055554</v>
      </c>
      <c r="C312">
        <v>80</v>
      </c>
      <c r="D312">
        <v>79.960693359000004</v>
      </c>
      <c r="E312">
        <v>50</v>
      </c>
      <c r="F312">
        <v>14.999824523999999</v>
      </c>
      <c r="G312">
        <v>1337.0051269999999</v>
      </c>
      <c r="H312">
        <v>1335.2484131000001</v>
      </c>
      <c r="I312">
        <v>1325.4759521000001</v>
      </c>
      <c r="J312">
        <v>1323.4932861</v>
      </c>
      <c r="K312">
        <v>2400</v>
      </c>
      <c r="L312">
        <v>0</v>
      </c>
      <c r="M312">
        <v>0</v>
      </c>
      <c r="N312">
        <v>2400</v>
      </c>
    </row>
    <row r="313" spans="1:14" x14ac:dyDescent="0.25">
      <c r="A313">
        <v>16.388676</v>
      </c>
      <c r="B313" s="1">
        <f>DATE(2010,5,17) + TIME(9,19,41)</f>
        <v>40315.388668981483</v>
      </c>
      <c r="C313">
        <v>80</v>
      </c>
      <c r="D313">
        <v>79.960678100999999</v>
      </c>
      <c r="E313">
        <v>50</v>
      </c>
      <c r="F313">
        <v>14.999824523999999</v>
      </c>
      <c r="G313">
        <v>1337.0026855000001</v>
      </c>
      <c r="H313">
        <v>1335.2468262</v>
      </c>
      <c r="I313">
        <v>1325.4760742000001</v>
      </c>
      <c r="J313">
        <v>1323.4934082</v>
      </c>
      <c r="K313">
        <v>2400</v>
      </c>
      <c r="L313">
        <v>0</v>
      </c>
      <c r="M313">
        <v>0</v>
      </c>
      <c r="N313">
        <v>2400</v>
      </c>
    </row>
    <row r="314" spans="1:14" x14ac:dyDescent="0.25">
      <c r="A314">
        <v>16.472100000000001</v>
      </c>
      <c r="B314" s="1">
        <f>DATE(2010,5,17) + TIME(11,19,49)</f>
        <v>40315.472094907411</v>
      </c>
      <c r="C314">
        <v>80</v>
      </c>
      <c r="D314">
        <v>79.960662842000005</v>
      </c>
      <c r="E314">
        <v>50</v>
      </c>
      <c r="F314">
        <v>14.999824523999999</v>
      </c>
      <c r="G314">
        <v>1337.0001221</v>
      </c>
      <c r="H314">
        <v>1335.2452393000001</v>
      </c>
      <c r="I314">
        <v>1325.4761963000001</v>
      </c>
      <c r="J314">
        <v>1323.4934082</v>
      </c>
      <c r="K314">
        <v>2400</v>
      </c>
      <c r="L314">
        <v>0</v>
      </c>
      <c r="M314">
        <v>0</v>
      </c>
      <c r="N314">
        <v>2400</v>
      </c>
    </row>
    <row r="315" spans="1:14" x14ac:dyDescent="0.25">
      <c r="A315">
        <v>16.555524999999999</v>
      </c>
      <c r="B315" s="1">
        <f>DATE(2010,5,17) + TIME(13,19,57)</f>
        <v>40315.555520833332</v>
      </c>
      <c r="C315">
        <v>80</v>
      </c>
      <c r="D315">
        <v>79.960639954000001</v>
      </c>
      <c r="E315">
        <v>50</v>
      </c>
      <c r="F315">
        <v>14.999825478</v>
      </c>
      <c r="G315">
        <v>1336.9976807</v>
      </c>
      <c r="H315">
        <v>1335.2436522999999</v>
      </c>
      <c r="I315">
        <v>1325.4761963000001</v>
      </c>
      <c r="J315">
        <v>1323.4935303</v>
      </c>
      <c r="K315">
        <v>2400</v>
      </c>
      <c r="L315">
        <v>0</v>
      </c>
      <c r="M315">
        <v>0</v>
      </c>
      <c r="N315">
        <v>2400</v>
      </c>
    </row>
    <row r="316" spans="1:14" x14ac:dyDescent="0.25">
      <c r="A316">
        <v>16.638950000000001</v>
      </c>
      <c r="B316" s="1">
        <f>DATE(2010,5,17) + TIME(15,20,5)</f>
        <v>40315.63894675926</v>
      </c>
      <c r="C316">
        <v>80</v>
      </c>
      <c r="D316">
        <v>79.960624695000007</v>
      </c>
      <c r="E316">
        <v>50</v>
      </c>
      <c r="F316">
        <v>14.999825478</v>
      </c>
      <c r="G316">
        <v>1336.9952393000001</v>
      </c>
      <c r="H316">
        <v>1335.2420654</v>
      </c>
      <c r="I316">
        <v>1325.4763184000001</v>
      </c>
      <c r="J316">
        <v>1323.4935303</v>
      </c>
      <c r="K316">
        <v>2400</v>
      </c>
      <c r="L316">
        <v>0</v>
      </c>
      <c r="M316">
        <v>0</v>
      </c>
      <c r="N316">
        <v>2400</v>
      </c>
    </row>
    <row r="317" spans="1:14" x14ac:dyDescent="0.25">
      <c r="A317">
        <v>16.722373999999999</v>
      </c>
      <c r="B317" s="1">
        <f>DATE(2010,5,17) + TIME(17,20,13)</f>
        <v>40315.722372685188</v>
      </c>
      <c r="C317">
        <v>80</v>
      </c>
      <c r="D317">
        <v>79.960609435999999</v>
      </c>
      <c r="E317">
        <v>50</v>
      </c>
      <c r="F317">
        <v>14.999825478</v>
      </c>
      <c r="G317">
        <v>1336.9927978999999</v>
      </c>
      <c r="H317">
        <v>1335.2406006000001</v>
      </c>
      <c r="I317">
        <v>1325.4764404</v>
      </c>
      <c r="J317">
        <v>1323.4936522999999</v>
      </c>
      <c r="K317">
        <v>2400</v>
      </c>
      <c r="L317">
        <v>0</v>
      </c>
      <c r="M317">
        <v>0</v>
      </c>
      <c r="N317">
        <v>2400</v>
      </c>
    </row>
    <row r="318" spans="1:14" x14ac:dyDescent="0.25">
      <c r="A318">
        <v>16.805799</v>
      </c>
      <c r="B318" s="1">
        <f>DATE(2010,5,17) + TIME(19,20,21)</f>
        <v>40315.805798611109</v>
      </c>
      <c r="C318">
        <v>80</v>
      </c>
      <c r="D318">
        <v>79.960594177000004</v>
      </c>
      <c r="E318">
        <v>50</v>
      </c>
      <c r="F318">
        <v>14.999826431000001</v>
      </c>
      <c r="G318">
        <v>1336.9903564000001</v>
      </c>
      <c r="H318">
        <v>1335.2390137</v>
      </c>
      <c r="I318">
        <v>1325.4764404</v>
      </c>
      <c r="J318">
        <v>1323.4936522999999</v>
      </c>
      <c r="K318">
        <v>2400</v>
      </c>
      <c r="L318">
        <v>0</v>
      </c>
      <c r="M318">
        <v>0</v>
      </c>
      <c r="N318">
        <v>2400</v>
      </c>
    </row>
    <row r="319" spans="1:14" x14ac:dyDescent="0.25">
      <c r="A319">
        <v>16.889223999999999</v>
      </c>
      <c r="B319" s="1">
        <f>DATE(2010,5,17) + TIME(21,20,28)</f>
        <v>40315.88921296296</v>
      </c>
      <c r="C319">
        <v>80</v>
      </c>
      <c r="D319">
        <v>79.960578917999996</v>
      </c>
      <c r="E319">
        <v>50</v>
      </c>
      <c r="F319">
        <v>14.999826431000001</v>
      </c>
      <c r="G319">
        <v>1336.9880370999999</v>
      </c>
      <c r="H319">
        <v>1335.2374268000001</v>
      </c>
      <c r="I319">
        <v>1325.4765625</v>
      </c>
      <c r="J319">
        <v>1323.4937743999999</v>
      </c>
      <c r="K319">
        <v>2400</v>
      </c>
      <c r="L319">
        <v>0</v>
      </c>
      <c r="M319">
        <v>0</v>
      </c>
      <c r="N319">
        <v>2400</v>
      </c>
    </row>
    <row r="320" spans="1:14" x14ac:dyDescent="0.25">
      <c r="A320">
        <v>16.972648</v>
      </c>
      <c r="B320" s="1">
        <f>DATE(2010,5,17) + TIME(23,20,36)</f>
        <v>40315.972638888888</v>
      </c>
      <c r="C320">
        <v>80</v>
      </c>
      <c r="D320">
        <v>79.960563660000005</v>
      </c>
      <c r="E320">
        <v>50</v>
      </c>
      <c r="F320">
        <v>14.999826431000001</v>
      </c>
      <c r="G320">
        <v>1336.9855957</v>
      </c>
      <c r="H320">
        <v>1335.2359618999999</v>
      </c>
      <c r="I320">
        <v>1325.4766846</v>
      </c>
      <c r="J320">
        <v>1323.4937743999999</v>
      </c>
      <c r="K320">
        <v>2400</v>
      </c>
      <c r="L320">
        <v>0</v>
      </c>
      <c r="M320">
        <v>0</v>
      </c>
      <c r="N320">
        <v>2400</v>
      </c>
    </row>
    <row r="321" spans="1:14" x14ac:dyDescent="0.25">
      <c r="A321">
        <v>17.139498</v>
      </c>
      <c r="B321" s="1">
        <f>DATE(2010,5,18) + TIME(3,20,52)</f>
        <v>40316.139490740738</v>
      </c>
      <c r="C321">
        <v>80</v>
      </c>
      <c r="D321">
        <v>79.960540770999998</v>
      </c>
      <c r="E321">
        <v>50</v>
      </c>
      <c r="F321">
        <v>14.999827385</v>
      </c>
      <c r="G321">
        <v>1336.9832764</v>
      </c>
      <c r="H321">
        <v>1335.2344971</v>
      </c>
      <c r="I321">
        <v>1325.4768065999999</v>
      </c>
      <c r="J321">
        <v>1323.4938964999999</v>
      </c>
      <c r="K321">
        <v>2400</v>
      </c>
      <c r="L321">
        <v>0</v>
      </c>
      <c r="M321">
        <v>0</v>
      </c>
      <c r="N321">
        <v>2400</v>
      </c>
    </row>
    <row r="322" spans="1:14" x14ac:dyDescent="0.25">
      <c r="A322">
        <v>17.306816999999999</v>
      </c>
      <c r="B322" s="1">
        <f>DATE(2010,5,18) + TIME(7,21,48)</f>
        <v>40316.306805555556</v>
      </c>
      <c r="C322">
        <v>80</v>
      </c>
      <c r="D322">
        <v>79.960517882999994</v>
      </c>
      <c r="E322">
        <v>50</v>
      </c>
      <c r="F322">
        <v>14.999827385</v>
      </c>
      <c r="G322">
        <v>1336.9785156</v>
      </c>
      <c r="H322">
        <v>1335.2315673999999</v>
      </c>
      <c r="I322">
        <v>1325.4769286999999</v>
      </c>
      <c r="J322">
        <v>1323.4940185999999</v>
      </c>
      <c r="K322">
        <v>2400</v>
      </c>
      <c r="L322">
        <v>0</v>
      </c>
      <c r="M322">
        <v>0</v>
      </c>
      <c r="N322">
        <v>2400</v>
      </c>
    </row>
    <row r="323" spans="1:14" x14ac:dyDescent="0.25">
      <c r="A323">
        <v>17.476191</v>
      </c>
      <c r="B323" s="1">
        <f>DATE(2010,5,18) + TIME(11,25,42)</f>
        <v>40316.476180555554</v>
      </c>
      <c r="C323">
        <v>80</v>
      </c>
      <c r="D323">
        <v>79.960494995000005</v>
      </c>
      <c r="E323">
        <v>50</v>
      </c>
      <c r="F323">
        <v>14.999828339</v>
      </c>
      <c r="G323">
        <v>1336.9737548999999</v>
      </c>
      <c r="H323">
        <v>1335.2285156</v>
      </c>
      <c r="I323">
        <v>1325.4770507999999</v>
      </c>
      <c r="J323">
        <v>1323.4940185999999</v>
      </c>
      <c r="K323">
        <v>2400</v>
      </c>
      <c r="L323">
        <v>0</v>
      </c>
      <c r="M323">
        <v>0</v>
      </c>
      <c r="N323">
        <v>2400</v>
      </c>
    </row>
    <row r="324" spans="1:14" x14ac:dyDescent="0.25">
      <c r="A324">
        <v>17.647977999999998</v>
      </c>
      <c r="B324" s="1">
        <f>DATE(2010,5,18) + TIME(15,33,5)</f>
        <v>40316.647974537038</v>
      </c>
      <c r="C324">
        <v>80</v>
      </c>
      <c r="D324">
        <v>79.960464478000006</v>
      </c>
      <c r="E324">
        <v>50</v>
      </c>
      <c r="F324">
        <v>14.999828339</v>
      </c>
      <c r="G324">
        <v>1336.9691161999999</v>
      </c>
      <c r="H324">
        <v>1335.2255858999999</v>
      </c>
      <c r="I324">
        <v>1325.4772949000001</v>
      </c>
      <c r="J324">
        <v>1323.4941406</v>
      </c>
      <c r="K324">
        <v>2400</v>
      </c>
      <c r="L324">
        <v>0</v>
      </c>
      <c r="M324">
        <v>0</v>
      </c>
      <c r="N324">
        <v>2400</v>
      </c>
    </row>
    <row r="325" spans="1:14" x14ac:dyDescent="0.25">
      <c r="A325">
        <v>17.822568</v>
      </c>
      <c r="B325" s="1">
        <f>DATE(2010,5,18) + TIME(19,44,29)</f>
        <v>40316.822557870371</v>
      </c>
      <c r="C325">
        <v>80</v>
      </c>
      <c r="D325">
        <v>79.960433960000003</v>
      </c>
      <c r="E325">
        <v>50</v>
      </c>
      <c r="F325">
        <v>14.999829291999999</v>
      </c>
      <c r="G325">
        <v>1336.9643555</v>
      </c>
      <c r="H325">
        <v>1335.2225341999999</v>
      </c>
      <c r="I325">
        <v>1325.4774170000001</v>
      </c>
      <c r="J325">
        <v>1323.4942627</v>
      </c>
      <c r="K325">
        <v>2400</v>
      </c>
      <c r="L325">
        <v>0</v>
      </c>
      <c r="M325">
        <v>0</v>
      </c>
      <c r="N325">
        <v>2400</v>
      </c>
    </row>
    <row r="326" spans="1:14" x14ac:dyDescent="0.25">
      <c r="A326">
        <v>18.000435</v>
      </c>
      <c r="B326" s="1">
        <f>DATE(2010,5,19) + TIME(0,0,37)</f>
        <v>40317.000428240739</v>
      </c>
      <c r="C326">
        <v>80</v>
      </c>
      <c r="D326">
        <v>79.960411071999999</v>
      </c>
      <c r="E326">
        <v>50</v>
      </c>
      <c r="F326">
        <v>14.999830246</v>
      </c>
      <c r="G326">
        <v>1336.9597168</v>
      </c>
      <c r="H326">
        <v>1335.2196045000001</v>
      </c>
      <c r="I326">
        <v>1325.4776611</v>
      </c>
      <c r="J326">
        <v>1323.4943848</v>
      </c>
      <c r="K326">
        <v>2400</v>
      </c>
      <c r="L326">
        <v>0</v>
      </c>
      <c r="M326">
        <v>0</v>
      </c>
      <c r="N326">
        <v>2400</v>
      </c>
    </row>
    <row r="327" spans="1:14" x14ac:dyDescent="0.25">
      <c r="A327">
        <v>18.179684999999999</v>
      </c>
      <c r="B327" s="1">
        <f>DATE(2010,5,19) + TIME(4,18,44)</f>
        <v>40317.179675925923</v>
      </c>
      <c r="C327">
        <v>80</v>
      </c>
      <c r="D327">
        <v>79.960380553999997</v>
      </c>
      <c r="E327">
        <v>50</v>
      </c>
      <c r="F327">
        <v>14.999830246</v>
      </c>
      <c r="G327">
        <v>1336.9548339999999</v>
      </c>
      <c r="H327">
        <v>1335.2165527</v>
      </c>
      <c r="I327">
        <v>1325.4777832</v>
      </c>
      <c r="J327">
        <v>1323.4945068</v>
      </c>
      <c r="K327">
        <v>2400</v>
      </c>
      <c r="L327">
        <v>0</v>
      </c>
      <c r="M327">
        <v>0</v>
      </c>
      <c r="N327">
        <v>2400</v>
      </c>
    </row>
    <row r="328" spans="1:14" x14ac:dyDescent="0.25">
      <c r="A328">
        <v>18.360582000000001</v>
      </c>
      <c r="B328" s="1">
        <f>DATE(2010,5,19) + TIME(8,39,14)</f>
        <v>40317.360578703701</v>
      </c>
      <c r="C328">
        <v>80</v>
      </c>
      <c r="D328">
        <v>79.960350036999998</v>
      </c>
      <c r="E328">
        <v>50</v>
      </c>
      <c r="F328">
        <v>14.999831199999999</v>
      </c>
      <c r="G328">
        <v>1336.9500731999999</v>
      </c>
      <c r="H328">
        <v>1335.213501</v>
      </c>
      <c r="I328">
        <v>1325.4780272999999</v>
      </c>
      <c r="J328">
        <v>1323.4946289</v>
      </c>
      <c r="K328">
        <v>2400</v>
      </c>
      <c r="L328">
        <v>0</v>
      </c>
      <c r="M328">
        <v>0</v>
      </c>
      <c r="N328">
        <v>2400</v>
      </c>
    </row>
    <row r="329" spans="1:14" x14ac:dyDescent="0.25">
      <c r="A329">
        <v>18.543505</v>
      </c>
      <c r="B329" s="1">
        <f>DATE(2010,5,19) + TIME(13,2,38)</f>
        <v>40317.543495370373</v>
      </c>
      <c r="C329">
        <v>80</v>
      </c>
      <c r="D329">
        <v>79.960319518999995</v>
      </c>
      <c r="E329">
        <v>50</v>
      </c>
      <c r="F329">
        <v>14.999831199999999</v>
      </c>
      <c r="G329">
        <v>1336.9454346</v>
      </c>
      <c r="H329">
        <v>1335.2104492000001</v>
      </c>
      <c r="I329">
        <v>1325.4782714999999</v>
      </c>
      <c r="J329">
        <v>1323.494751</v>
      </c>
      <c r="K329">
        <v>2400</v>
      </c>
      <c r="L329">
        <v>0</v>
      </c>
      <c r="M329">
        <v>0</v>
      </c>
      <c r="N329">
        <v>2400</v>
      </c>
    </row>
    <row r="330" spans="1:14" x14ac:dyDescent="0.25">
      <c r="A330">
        <v>18.635152000000001</v>
      </c>
      <c r="B330" s="1">
        <f>DATE(2010,5,19) + TIME(15,14,37)</f>
        <v>40317.635150462964</v>
      </c>
      <c r="C330">
        <v>80</v>
      </c>
      <c r="D330">
        <v>79.960304260000001</v>
      </c>
      <c r="E330">
        <v>50</v>
      </c>
      <c r="F330">
        <v>14.999832153</v>
      </c>
      <c r="G330">
        <v>1336.9405518000001</v>
      </c>
      <c r="H330">
        <v>1335.2073975000001</v>
      </c>
      <c r="I330">
        <v>1325.4783935999999</v>
      </c>
      <c r="J330">
        <v>1323.4948730000001</v>
      </c>
      <c r="K330">
        <v>2400</v>
      </c>
      <c r="L330">
        <v>0</v>
      </c>
      <c r="M330">
        <v>0</v>
      </c>
      <c r="N330">
        <v>2400</v>
      </c>
    </row>
    <row r="331" spans="1:14" x14ac:dyDescent="0.25">
      <c r="A331">
        <v>18.726737</v>
      </c>
      <c r="B331" s="1">
        <f>DATE(2010,5,19) + TIME(17,26,30)</f>
        <v>40317.726736111108</v>
      </c>
      <c r="C331">
        <v>80</v>
      </c>
      <c r="D331">
        <v>79.960289001000007</v>
      </c>
      <c r="E331">
        <v>50</v>
      </c>
      <c r="F331">
        <v>14.999832153</v>
      </c>
      <c r="G331">
        <v>1336.9382324000001</v>
      </c>
      <c r="H331">
        <v>1335.2059326000001</v>
      </c>
      <c r="I331">
        <v>1325.4785156</v>
      </c>
      <c r="J331">
        <v>1323.4949951000001</v>
      </c>
      <c r="K331">
        <v>2400</v>
      </c>
      <c r="L331">
        <v>0</v>
      </c>
      <c r="M331">
        <v>0</v>
      </c>
      <c r="N331">
        <v>2400</v>
      </c>
    </row>
    <row r="332" spans="1:14" x14ac:dyDescent="0.25">
      <c r="A332">
        <v>18.818123</v>
      </c>
      <c r="B332" s="1">
        <f>DATE(2010,5,19) + TIME(19,38,5)</f>
        <v>40317.818113425928</v>
      </c>
      <c r="C332">
        <v>80</v>
      </c>
      <c r="D332">
        <v>79.960266113000003</v>
      </c>
      <c r="E332">
        <v>50</v>
      </c>
      <c r="F332">
        <v>14.999832153</v>
      </c>
      <c r="G332">
        <v>1336.9359131000001</v>
      </c>
      <c r="H332">
        <v>1335.2043457</v>
      </c>
      <c r="I332">
        <v>1325.4786377</v>
      </c>
      <c r="J332">
        <v>1323.4949951000001</v>
      </c>
      <c r="K332">
        <v>2400</v>
      </c>
      <c r="L332">
        <v>0</v>
      </c>
      <c r="M332">
        <v>0</v>
      </c>
      <c r="N332">
        <v>2400</v>
      </c>
    </row>
    <row r="333" spans="1:14" x14ac:dyDescent="0.25">
      <c r="A333">
        <v>18.909362000000002</v>
      </c>
      <c r="B333" s="1">
        <f>DATE(2010,5,19) + TIME(21,49,28)</f>
        <v>40317.909351851849</v>
      </c>
      <c r="C333">
        <v>80</v>
      </c>
      <c r="D333">
        <v>79.960250853999995</v>
      </c>
      <c r="E333">
        <v>50</v>
      </c>
      <c r="F333">
        <v>14.999833107000001</v>
      </c>
      <c r="G333">
        <v>1336.9335937999999</v>
      </c>
      <c r="H333">
        <v>1335.2028809000001</v>
      </c>
      <c r="I333">
        <v>1325.4786377</v>
      </c>
      <c r="J333">
        <v>1323.4951172000001</v>
      </c>
      <c r="K333">
        <v>2400</v>
      </c>
      <c r="L333">
        <v>0</v>
      </c>
      <c r="M333">
        <v>0</v>
      </c>
      <c r="N333">
        <v>2400</v>
      </c>
    </row>
    <row r="334" spans="1:14" x14ac:dyDescent="0.25">
      <c r="A334">
        <v>19.000499999999999</v>
      </c>
      <c r="B334" s="1">
        <f>DATE(2010,5,20) + TIME(0,0,43)</f>
        <v>40318.000497685185</v>
      </c>
      <c r="C334">
        <v>80</v>
      </c>
      <c r="D334">
        <v>79.960235596000004</v>
      </c>
      <c r="E334">
        <v>50</v>
      </c>
      <c r="F334">
        <v>14.999833107000001</v>
      </c>
      <c r="G334">
        <v>1336.9312743999999</v>
      </c>
      <c r="H334">
        <v>1335.2014160000001</v>
      </c>
      <c r="I334">
        <v>1325.4787598</v>
      </c>
      <c r="J334">
        <v>1323.4952393000001</v>
      </c>
      <c r="K334">
        <v>2400</v>
      </c>
      <c r="L334">
        <v>0</v>
      </c>
      <c r="M334">
        <v>0</v>
      </c>
      <c r="N334">
        <v>2400</v>
      </c>
    </row>
    <row r="335" spans="1:14" x14ac:dyDescent="0.25">
      <c r="A335">
        <v>19.091577000000001</v>
      </c>
      <c r="B335" s="1">
        <f>DATE(2010,5,20) + TIME(2,11,52)</f>
        <v>40318.091574074075</v>
      </c>
      <c r="C335">
        <v>80</v>
      </c>
      <c r="D335">
        <v>79.960220336999996</v>
      </c>
      <c r="E335">
        <v>50</v>
      </c>
      <c r="F335">
        <v>14.999833107000001</v>
      </c>
      <c r="G335">
        <v>1336.9289550999999</v>
      </c>
      <c r="H335">
        <v>1335.1999512</v>
      </c>
      <c r="I335">
        <v>1325.4788818</v>
      </c>
      <c r="J335">
        <v>1323.4952393000001</v>
      </c>
      <c r="K335">
        <v>2400</v>
      </c>
      <c r="L335">
        <v>0</v>
      </c>
      <c r="M335">
        <v>0</v>
      </c>
      <c r="N335">
        <v>2400</v>
      </c>
    </row>
    <row r="336" spans="1:14" x14ac:dyDescent="0.25">
      <c r="A336">
        <v>19.182653999999999</v>
      </c>
      <c r="B336" s="1">
        <f>DATE(2010,5,20) + TIME(4,23,1)</f>
        <v>40318.182650462964</v>
      </c>
      <c r="C336">
        <v>80</v>
      </c>
      <c r="D336">
        <v>79.960205078000001</v>
      </c>
      <c r="E336">
        <v>50</v>
      </c>
      <c r="F336">
        <v>14.999834061</v>
      </c>
      <c r="G336">
        <v>1336.9266356999999</v>
      </c>
      <c r="H336">
        <v>1335.1984863</v>
      </c>
      <c r="I336">
        <v>1325.4790039</v>
      </c>
      <c r="J336">
        <v>1323.4953613</v>
      </c>
      <c r="K336">
        <v>2400</v>
      </c>
      <c r="L336">
        <v>0</v>
      </c>
      <c r="M336">
        <v>0</v>
      </c>
      <c r="N336">
        <v>2400</v>
      </c>
    </row>
    <row r="337" spans="1:14" x14ac:dyDescent="0.25">
      <c r="A337">
        <v>19.273731000000002</v>
      </c>
      <c r="B337" s="1">
        <f>DATE(2010,5,20) + TIME(6,34,10)</f>
        <v>40318.273726851854</v>
      </c>
      <c r="C337">
        <v>80</v>
      </c>
      <c r="D337">
        <v>79.960197449000006</v>
      </c>
      <c r="E337">
        <v>50</v>
      </c>
      <c r="F337">
        <v>14.999834061</v>
      </c>
      <c r="G337">
        <v>1336.9244385</v>
      </c>
      <c r="H337">
        <v>1335.1970214999999</v>
      </c>
      <c r="I337">
        <v>1325.479126</v>
      </c>
      <c r="J337">
        <v>1323.4953613</v>
      </c>
      <c r="K337">
        <v>2400</v>
      </c>
      <c r="L337">
        <v>0</v>
      </c>
      <c r="M337">
        <v>0</v>
      </c>
      <c r="N337">
        <v>2400</v>
      </c>
    </row>
    <row r="338" spans="1:14" x14ac:dyDescent="0.25">
      <c r="A338">
        <v>19.364808</v>
      </c>
      <c r="B338" s="1">
        <f>DATE(2010,5,20) + TIME(8,45,19)</f>
        <v>40318.364803240744</v>
      </c>
      <c r="C338">
        <v>80</v>
      </c>
      <c r="D338">
        <v>79.960182189999998</v>
      </c>
      <c r="E338">
        <v>50</v>
      </c>
      <c r="F338">
        <v>14.999834061</v>
      </c>
      <c r="G338">
        <v>1336.9221190999999</v>
      </c>
      <c r="H338">
        <v>1335.1955565999999</v>
      </c>
      <c r="I338">
        <v>1325.4792480000001</v>
      </c>
      <c r="J338">
        <v>1323.4954834</v>
      </c>
      <c r="K338">
        <v>2400</v>
      </c>
      <c r="L338">
        <v>0</v>
      </c>
      <c r="M338">
        <v>0</v>
      </c>
      <c r="N338">
        <v>2400</v>
      </c>
    </row>
    <row r="339" spans="1:14" x14ac:dyDescent="0.25">
      <c r="A339">
        <v>19.455884999999999</v>
      </c>
      <c r="B339" s="1">
        <f>DATE(2010,5,20) + TIME(10,56,28)</f>
        <v>40318.455879629626</v>
      </c>
      <c r="C339">
        <v>80</v>
      </c>
      <c r="D339">
        <v>79.960166931000003</v>
      </c>
      <c r="E339">
        <v>50</v>
      </c>
      <c r="F339">
        <v>14.999835014</v>
      </c>
      <c r="G339">
        <v>1336.9199219</v>
      </c>
      <c r="H339">
        <v>1335.1940918</v>
      </c>
      <c r="I339">
        <v>1325.4792480000001</v>
      </c>
      <c r="J339">
        <v>1323.4954834</v>
      </c>
      <c r="K339">
        <v>2400</v>
      </c>
      <c r="L339">
        <v>0</v>
      </c>
      <c r="M339">
        <v>0</v>
      </c>
      <c r="N339">
        <v>2400</v>
      </c>
    </row>
    <row r="340" spans="1:14" x14ac:dyDescent="0.25">
      <c r="A340">
        <v>19.546962000000001</v>
      </c>
      <c r="B340" s="1">
        <f>DATE(2010,5,20) + TIME(13,7,37)</f>
        <v>40318.546956018516</v>
      </c>
      <c r="C340">
        <v>80</v>
      </c>
      <c r="D340">
        <v>79.960151671999995</v>
      </c>
      <c r="E340">
        <v>50</v>
      </c>
      <c r="F340">
        <v>14.999835014</v>
      </c>
      <c r="G340">
        <v>1336.9176024999999</v>
      </c>
      <c r="H340">
        <v>1335.1926269999999</v>
      </c>
      <c r="I340">
        <v>1325.4793701000001</v>
      </c>
      <c r="J340">
        <v>1323.4956055</v>
      </c>
      <c r="K340">
        <v>2400</v>
      </c>
      <c r="L340">
        <v>0</v>
      </c>
      <c r="M340">
        <v>0</v>
      </c>
      <c r="N340">
        <v>2400</v>
      </c>
    </row>
    <row r="341" spans="1:14" x14ac:dyDescent="0.25">
      <c r="A341">
        <v>19.63804</v>
      </c>
      <c r="B341" s="1">
        <f>DATE(2010,5,20) + TIME(15,18,46)</f>
        <v>40318.638032407405</v>
      </c>
      <c r="C341">
        <v>80</v>
      </c>
      <c r="D341">
        <v>79.960144043</v>
      </c>
      <c r="E341">
        <v>50</v>
      </c>
      <c r="F341">
        <v>14.999835014</v>
      </c>
      <c r="G341">
        <v>1336.9154053</v>
      </c>
      <c r="H341">
        <v>1335.1912841999999</v>
      </c>
      <c r="I341">
        <v>1325.4794922000001</v>
      </c>
      <c r="J341">
        <v>1323.4956055</v>
      </c>
      <c r="K341">
        <v>2400</v>
      </c>
      <c r="L341">
        <v>0</v>
      </c>
      <c r="M341">
        <v>0</v>
      </c>
      <c r="N341">
        <v>2400</v>
      </c>
    </row>
    <row r="342" spans="1:14" x14ac:dyDescent="0.25">
      <c r="A342">
        <v>19.820194000000001</v>
      </c>
      <c r="B342" s="1">
        <f>DATE(2010,5,20) + TIME(19,41,4)</f>
        <v>40318.820185185185</v>
      </c>
      <c r="C342">
        <v>80</v>
      </c>
      <c r="D342">
        <v>79.960121154999996</v>
      </c>
      <c r="E342">
        <v>50</v>
      </c>
      <c r="F342">
        <v>14.999835967999999</v>
      </c>
      <c r="G342">
        <v>1336.9132079999999</v>
      </c>
      <c r="H342">
        <v>1335.1898193</v>
      </c>
      <c r="I342">
        <v>1325.4796143000001</v>
      </c>
      <c r="J342">
        <v>1323.4957274999999</v>
      </c>
      <c r="K342">
        <v>2400</v>
      </c>
      <c r="L342">
        <v>0</v>
      </c>
      <c r="M342">
        <v>0</v>
      </c>
      <c r="N342">
        <v>2400</v>
      </c>
    </row>
    <row r="343" spans="1:14" x14ac:dyDescent="0.25">
      <c r="A343">
        <v>20.002858</v>
      </c>
      <c r="B343" s="1">
        <f>DATE(2010,5,21) + TIME(0,4,6)</f>
        <v>40319.002847222226</v>
      </c>
      <c r="C343">
        <v>80</v>
      </c>
      <c r="D343">
        <v>79.960098267000006</v>
      </c>
      <c r="E343">
        <v>50</v>
      </c>
      <c r="F343">
        <v>14.999835967999999</v>
      </c>
      <c r="G343">
        <v>1336.9088135</v>
      </c>
      <c r="H343">
        <v>1335.1870117000001</v>
      </c>
      <c r="I343">
        <v>1325.4797363</v>
      </c>
      <c r="J343">
        <v>1323.4958495999999</v>
      </c>
      <c r="K343">
        <v>2400</v>
      </c>
      <c r="L343">
        <v>0</v>
      </c>
      <c r="M343">
        <v>0</v>
      </c>
      <c r="N343">
        <v>2400</v>
      </c>
    </row>
    <row r="344" spans="1:14" x14ac:dyDescent="0.25">
      <c r="A344">
        <v>20.187249000000001</v>
      </c>
      <c r="B344" s="1">
        <f>DATE(2010,5,21) + TIME(4,29,38)</f>
        <v>40319.187245370369</v>
      </c>
      <c r="C344">
        <v>80</v>
      </c>
      <c r="D344">
        <v>79.960083007999998</v>
      </c>
      <c r="E344">
        <v>50</v>
      </c>
      <c r="F344">
        <v>14.999836922</v>
      </c>
      <c r="G344">
        <v>1336.9044189000001</v>
      </c>
      <c r="H344">
        <v>1335.1842041</v>
      </c>
      <c r="I344">
        <v>1325.4799805</v>
      </c>
      <c r="J344">
        <v>1323.4959716999999</v>
      </c>
      <c r="K344">
        <v>2400</v>
      </c>
      <c r="L344">
        <v>0</v>
      </c>
      <c r="M344">
        <v>0</v>
      </c>
      <c r="N344">
        <v>2400</v>
      </c>
    </row>
    <row r="345" spans="1:14" x14ac:dyDescent="0.25">
      <c r="A345">
        <v>20.373767000000001</v>
      </c>
      <c r="B345" s="1">
        <f>DATE(2010,5,21) + TIME(8,58,13)</f>
        <v>40319.373761574076</v>
      </c>
      <c r="C345">
        <v>80</v>
      </c>
      <c r="D345">
        <v>79.960052489999995</v>
      </c>
      <c r="E345">
        <v>50</v>
      </c>
      <c r="F345">
        <v>14.999836922</v>
      </c>
      <c r="G345">
        <v>1336.9001464999999</v>
      </c>
      <c r="H345">
        <v>1335.1813964999999</v>
      </c>
      <c r="I345">
        <v>1325.4802245999999</v>
      </c>
      <c r="J345">
        <v>1323.4960937999999</v>
      </c>
      <c r="K345">
        <v>2400</v>
      </c>
      <c r="L345">
        <v>0</v>
      </c>
      <c r="M345">
        <v>0</v>
      </c>
      <c r="N345">
        <v>2400</v>
      </c>
    </row>
    <row r="346" spans="1:14" x14ac:dyDescent="0.25">
      <c r="A346">
        <v>20.562809999999999</v>
      </c>
      <c r="B346" s="1">
        <f>DATE(2010,5,21) + TIME(13,30,26)</f>
        <v>40319.562800925924</v>
      </c>
      <c r="C346">
        <v>80</v>
      </c>
      <c r="D346">
        <v>79.960029602000006</v>
      </c>
      <c r="E346">
        <v>50</v>
      </c>
      <c r="F346">
        <v>14.999837875000001</v>
      </c>
      <c r="G346">
        <v>1336.8957519999999</v>
      </c>
      <c r="H346">
        <v>1335.1785889</v>
      </c>
      <c r="I346">
        <v>1325.4803466999999</v>
      </c>
      <c r="J346">
        <v>1323.4962158000001</v>
      </c>
      <c r="K346">
        <v>2400</v>
      </c>
      <c r="L346">
        <v>0</v>
      </c>
      <c r="M346">
        <v>0</v>
      </c>
      <c r="N346">
        <v>2400</v>
      </c>
    </row>
    <row r="347" spans="1:14" x14ac:dyDescent="0.25">
      <c r="A347">
        <v>20.754807</v>
      </c>
      <c r="B347" s="1">
        <f>DATE(2010,5,21) + TIME(18,6,55)</f>
        <v>40319.754803240743</v>
      </c>
      <c r="C347">
        <v>80</v>
      </c>
      <c r="D347">
        <v>79.960006714000002</v>
      </c>
      <c r="E347">
        <v>50</v>
      </c>
      <c r="F347">
        <v>14.999838829</v>
      </c>
      <c r="G347">
        <v>1336.8913574000001</v>
      </c>
      <c r="H347">
        <v>1335.1757812000001</v>
      </c>
      <c r="I347">
        <v>1325.4805908000001</v>
      </c>
      <c r="J347">
        <v>1323.4963379000001</v>
      </c>
      <c r="K347">
        <v>2400</v>
      </c>
      <c r="L347">
        <v>0</v>
      </c>
      <c r="M347">
        <v>0</v>
      </c>
      <c r="N347">
        <v>2400</v>
      </c>
    </row>
    <row r="348" spans="1:14" x14ac:dyDescent="0.25">
      <c r="A348">
        <v>20.949978000000002</v>
      </c>
      <c r="B348" s="1">
        <f>DATE(2010,5,21) + TIME(22,47,58)</f>
        <v>40319.949976851851</v>
      </c>
      <c r="C348">
        <v>80</v>
      </c>
      <c r="D348">
        <v>79.959983825999998</v>
      </c>
      <c r="E348">
        <v>50</v>
      </c>
      <c r="F348">
        <v>14.999838829</v>
      </c>
      <c r="G348">
        <v>1336.8869629000001</v>
      </c>
      <c r="H348">
        <v>1335.1728516000001</v>
      </c>
      <c r="I348">
        <v>1325.4808350000001</v>
      </c>
      <c r="J348">
        <v>1323.4964600000001</v>
      </c>
      <c r="K348">
        <v>2400</v>
      </c>
      <c r="L348">
        <v>0</v>
      </c>
      <c r="M348">
        <v>0</v>
      </c>
      <c r="N348">
        <v>2400</v>
      </c>
    </row>
    <row r="349" spans="1:14" x14ac:dyDescent="0.25">
      <c r="A349">
        <v>21.146273999999998</v>
      </c>
      <c r="B349" s="1">
        <f>DATE(2010,5,22) + TIME(3,30,38)</f>
        <v>40320.146273148152</v>
      </c>
      <c r="C349">
        <v>80</v>
      </c>
      <c r="D349">
        <v>79.959960937999995</v>
      </c>
      <c r="E349">
        <v>50</v>
      </c>
      <c r="F349">
        <v>14.999839783000001</v>
      </c>
      <c r="G349">
        <v>1336.8824463000001</v>
      </c>
      <c r="H349">
        <v>1335.1700439000001</v>
      </c>
      <c r="I349">
        <v>1325.4810791</v>
      </c>
      <c r="J349">
        <v>1323.4967041</v>
      </c>
      <c r="K349">
        <v>2400</v>
      </c>
      <c r="L349">
        <v>0</v>
      </c>
      <c r="M349">
        <v>0</v>
      </c>
      <c r="N349">
        <v>2400</v>
      </c>
    </row>
    <row r="350" spans="1:14" x14ac:dyDescent="0.25">
      <c r="A350">
        <v>21.344110000000001</v>
      </c>
      <c r="B350" s="1">
        <f>DATE(2010,5,22) + TIME(8,15,31)</f>
        <v>40320.344108796293</v>
      </c>
      <c r="C350">
        <v>80</v>
      </c>
      <c r="D350">
        <v>79.959938049000002</v>
      </c>
      <c r="E350">
        <v>50</v>
      </c>
      <c r="F350">
        <v>14.999839783000001</v>
      </c>
      <c r="G350">
        <v>1336.8780518000001</v>
      </c>
      <c r="H350">
        <v>1335.1671143000001</v>
      </c>
      <c r="I350">
        <v>1325.4812012</v>
      </c>
      <c r="J350">
        <v>1323.4968262</v>
      </c>
      <c r="K350">
        <v>2400</v>
      </c>
      <c r="L350">
        <v>0</v>
      </c>
      <c r="M350">
        <v>0</v>
      </c>
      <c r="N350">
        <v>2400</v>
      </c>
    </row>
    <row r="351" spans="1:14" x14ac:dyDescent="0.25">
      <c r="A351">
        <v>21.444006000000002</v>
      </c>
      <c r="B351" s="1">
        <f>DATE(2010,5,22) + TIME(10,39,22)</f>
        <v>40320.444004629629</v>
      </c>
      <c r="C351">
        <v>80</v>
      </c>
      <c r="D351">
        <v>79.959922790999997</v>
      </c>
      <c r="E351">
        <v>50</v>
      </c>
      <c r="F351">
        <v>14.999840735999999</v>
      </c>
      <c r="G351">
        <v>1336.8736572</v>
      </c>
      <c r="H351">
        <v>1335.1643065999999</v>
      </c>
      <c r="I351">
        <v>1325.4814452999999</v>
      </c>
      <c r="J351">
        <v>1323.4969481999999</v>
      </c>
      <c r="K351">
        <v>2400</v>
      </c>
      <c r="L351">
        <v>0</v>
      </c>
      <c r="M351">
        <v>0</v>
      </c>
      <c r="N351">
        <v>2400</v>
      </c>
    </row>
    <row r="352" spans="1:14" x14ac:dyDescent="0.25">
      <c r="A352">
        <v>21.543901999999999</v>
      </c>
      <c r="B352" s="1">
        <f>DATE(2010,5,22) + TIME(13,3,13)</f>
        <v>40320.543900462966</v>
      </c>
      <c r="C352">
        <v>80</v>
      </c>
      <c r="D352">
        <v>79.959907532000003</v>
      </c>
      <c r="E352">
        <v>50</v>
      </c>
      <c r="F352">
        <v>14.999840735999999</v>
      </c>
      <c r="G352">
        <v>1336.8713379000001</v>
      </c>
      <c r="H352">
        <v>1335.1628418</v>
      </c>
      <c r="I352">
        <v>1325.4815673999999</v>
      </c>
      <c r="J352">
        <v>1323.4969481999999</v>
      </c>
      <c r="K352">
        <v>2400</v>
      </c>
      <c r="L352">
        <v>0</v>
      </c>
      <c r="M352">
        <v>0</v>
      </c>
      <c r="N352">
        <v>2400</v>
      </c>
    </row>
    <row r="353" spans="1:14" x14ac:dyDescent="0.25">
      <c r="A353">
        <v>21.643796999999999</v>
      </c>
      <c r="B353" s="1">
        <f>DATE(2010,5,22) + TIME(15,27,4)</f>
        <v>40320.643796296295</v>
      </c>
      <c r="C353">
        <v>80</v>
      </c>
      <c r="D353">
        <v>79.959892272999994</v>
      </c>
      <c r="E353">
        <v>50</v>
      </c>
      <c r="F353">
        <v>14.999840735999999</v>
      </c>
      <c r="G353">
        <v>1336.8692627</v>
      </c>
      <c r="H353">
        <v>1335.1613769999999</v>
      </c>
      <c r="I353">
        <v>1325.4816894999999</v>
      </c>
      <c r="J353">
        <v>1323.4970702999999</v>
      </c>
      <c r="K353">
        <v>2400</v>
      </c>
      <c r="L353">
        <v>0</v>
      </c>
      <c r="M353">
        <v>0</v>
      </c>
      <c r="N353">
        <v>2400</v>
      </c>
    </row>
    <row r="354" spans="1:14" x14ac:dyDescent="0.25">
      <c r="A354">
        <v>21.743693</v>
      </c>
      <c r="B354" s="1">
        <f>DATE(2010,5,22) + TIME(17,50,55)</f>
        <v>40320.743692129632</v>
      </c>
      <c r="C354">
        <v>80</v>
      </c>
      <c r="D354">
        <v>79.959877014</v>
      </c>
      <c r="E354">
        <v>50</v>
      </c>
      <c r="F354">
        <v>14.99984169</v>
      </c>
      <c r="G354">
        <v>1336.8670654</v>
      </c>
      <c r="H354">
        <v>1335.1599120999999</v>
      </c>
      <c r="I354">
        <v>1325.4818115</v>
      </c>
      <c r="J354">
        <v>1323.4971923999999</v>
      </c>
      <c r="K354">
        <v>2400</v>
      </c>
      <c r="L354">
        <v>0</v>
      </c>
      <c r="M354">
        <v>0</v>
      </c>
      <c r="N354">
        <v>2400</v>
      </c>
    </row>
    <row r="355" spans="1:14" x14ac:dyDescent="0.25">
      <c r="A355">
        <v>21.843589000000001</v>
      </c>
      <c r="B355" s="1">
        <f>DATE(2010,5,22) + TIME(20,14,46)</f>
        <v>40320.843587962961</v>
      </c>
      <c r="C355">
        <v>80</v>
      </c>
      <c r="D355">
        <v>79.959861755000006</v>
      </c>
      <c r="E355">
        <v>50</v>
      </c>
      <c r="F355">
        <v>14.99984169</v>
      </c>
      <c r="G355">
        <v>1336.8648682</v>
      </c>
      <c r="H355">
        <v>1335.1585693</v>
      </c>
      <c r="I355">
        <v>1325.4819336</v>
      </c>
      <c r="J355">
        <v>1323.4971923999999</v>
      </c>
      <c r="K355">
        <v>2400</v>
      </c>
      <c r="L355">
        <v>0</v>
      </c>
      <c r="M355">
        <v>0</v>
      </c>
      <c r="N355">
        <v>2400</v>
      </c>
    </row>
    <row r="356" spans="1:14" x14ac:dyDescent="0.25">
      <c r="A356">
        <v>21.943484999999999</v>
      </c>
      <c r="B356" s="1">
        <f>DATE(2010,5,22) + TIME(22,38,37)</f>
        <v>40320.943483796298</v>
      </c>
      <c r="C356">
        <v>80</v>
      </c>
      <c r="D356">
        <v>79.959854125999996</v>
      </c>
      <c r="E356">
        <v>50</v>
      </c>
      <c r="F356">
        <v>14.99984169</v>
      </c>
      <c r="G356">
        <v>1336.8626709</v>
      </c>
      <c r="H356">
        <v>1335.1571045000001</v>
      </c>
      <c r="I356">
        <v>1325.4820557</v>
      </c>
      <c r="J356">
        <v>1323.4973144999999</v>
      </c>
      <c r="K356">
        <v>2400</v>
      </c>
      <c r="L356">
        <v>0</v>
      </c>
      <c r="M356">
        <v>0</v>
      </c>
      <c r="N356">
        <v>2400</v>
      </c>
    </row>
    <row r="357" spans="1:14" x14ac:dyDescent="0.25">
      <c r="A357">
        <v>22.043379999999999</v>
      </c>
      <c r="B357" s="1">
        <f>DATE(2010,5,23) + TIME(1,2,28)</f>
        <v>40321.043379629627</v>
      </c>
      <c r="C357">
        <v>80</v>
      </c>
      <c r="D357">
        <v>79.959838867000002</v>
      </c>
      <c r="E357">
        <v>50</v>
      </c>
      <c r="F357">
        <v>14.99984169</v>
      </c>
      <c r="G357">
        <v>1336.8605957</v>
      </c>
      <c r="H357">
        <v>1335.1557617000001</v>
      </c>
      <c r="I357">
        <v>1325.4821777</v>
      </c>
      <c r="J357">
        <v>1323.4973144999999</v>
      </c>
      <c r="K357">
        <v>2400</v>
      </c>
      <c r="L357">
        <v>0</v>
      </c>
      <c r="M357">
        <v>0</v>
      </c>
      <c r="N357">
        <v>2400</v>
      </c>
    </row>
    <row r="358" spans="1:14" x14ac:dyDescent="0.25">
      <c r="A358">
        <v>22.143276</v>
      </c>
      <c r="B358" s="1">
        <f>DATE(2010,5,23) + TIME(3,26,19)</f>
        <v>40321.143275462964</v>
      </c>
      <c r="C358">
        <v>80</v>
      </c>
      <c r="D358">
        <v>79.959823607999994</v>
      </c>
      <c r="E358">
        <v>50</v>
      </c>
      <c r="F358">
        <v>14.999842643999999</v>
      </c>
      <c r="G358">
        <v>1336.8583983999999</v>
      </c>
      <c r="H358">
        <v>1335.1542969</v>
      </c>
      <c r="I358">
        <v>1325.4822998</v>
      </c>
      <c r="J358">
        <v>1323.4974365</v>
      </c>
      <c r="K358">
        <v>2400</v>
      </c>
      <c r="L358">
        <v>0</v>
      </c>
      <c r="M358">
        <v>0</v>
      </c>
      <c r="N358">
        <v>2400</v>
      </c>
    </row>
    <row r="359" spans="1:14" x14ac:dyDescent="0.25">
      <c r="A359">
        <v>22.243172000000001</v>
      </c>
      <c r="B359" s="1">
        <f>DATE(2010,5,23) + TIME(5,50,10)</f>
        <v>40321.243171296293</v>
      </c>
      <c r="C359">
        <v>80</v>
      </c>
      <c r="D359">
        <v>79.959815978999998</v>
      </c>
      <c r="E359">
        <v>50</v>
      </c>
      <c r="F359">
        <v>14.999842643999999</v>
      </c>
      <c r="G359">
        <v>1336.8563231999999</v>
      </c>
      <c r="H359">
        <v>1335.1529541</v>
      </c>
      <c r="I359">
        <v>1325.4822998</v>
      </c>
      <c r="J359">
        <v>1323.4975586</v>
      </c>
      <c r="K359">
        <v>2400</v>
      </c>
      <c r="L359">
        <v>0</v>
      </c>
      <c r="M359">
        <v>0</v>
      </c>
      <c r="N359">
        <v>2400</v>
      </c>
    </row>
    <row r="360" spans="1:14" x14ac:dyDescent="0.25">
      <c r="A360">
        <v>22.343067999999999</v>
      </c>
      <c r="B360" s="1">
        <f>DATE(2010,5,23) + TIME(8,14,1)</f>
        <v>40321.34306712963</v>
      </c>
      <c r="C360">
        <v>80</v>
      </c>
      <c r="D360">
        <v>79.959800720000004</v>
      </c>
      <c r="E360">
        <v>50</v>
      </c>
      <c r="F360">
        <v>14.999842643999999</v>
      </c>
      <c r="G360">
        <v>1336.854126</v>
      </c>
      <c r="H360">
        <v>1335.1516113</v>
      </c>
      <c r="I360">
        <v>1325.4824219</v>
      </c>
      <c r="J360">
        <v>1323.4975586</v>
      </c>
      <c r="K360">
        <v>2400</v>
      </c>
      <c r="L360">
        <v>0</v>
      </c>
      <c r="M360">
        <v>0</v>
      </c>
      <c r="N360">
        <v>2400</v>
      </c>
    </row>
    <row r="361" spans="1:14" x14ac:dyDescent="0.25">
      <c r="A361">
        <v>22.442962999999999</v>
      </c>
      <c r="B361" s="1">
        <f>DATE(2010,5,23) + TIME(10,37,52)</f>
        <v>40321.442962962959</v>
      </c>
      <c r="C361">
        <v>80</v>
      </c>
      <c r="D361">
        <v>79.959793090999995</v>
      </c>
      <c r="E361">
        <v>50</v>
      </c>
      <c r="F361">
        <v>14.999843597</v>
      </c>
      <c r="G361">
        <v>1336.8520507999999</v>
      </c>
      <c r="H361">
        <v>1335.1501464999999</v>
      </c>
      <c r="I361">
        <v>1325.4825439000001</v>
      </c>
      <c r="J361">
        <v>1323.4976807</v>
      </c>
      <c r="K361">
        <v>2400</v>
      </c>
      <c r="L361">
        <v>0</v>
      </c>
      <c r="M361">
        <v>0</v>
      </c>
      <c r="N361">
        <v>2400</v>
      </c>
    </row>
    <row r="362" spans="1:14" x14ac:dyDescent="0.25">
      <c r="A362">
        <v>22.542859</v>
      </c>
      <c r="B362" s="1">
        <f>DATE(2010,5,23) + TIME(13,1,43)</f>
        <v>40321.542858796296</v>
      </c>
      <c r="C362">
        <v>80</v>
      </c>
      <c r="D362">
        <v>79.959785460999996</v>
      </c>
      <c r="E362">
        <v>50</v>
      </c>
      <c r="F362">
        <v>14.999843597</v>
      </c>
      <c r="G362">
        <v>1336.8499756000001</v>
      </c>
      <c r="H362">
        <v>1335.1488036999999</v>
      </c>
      <c r="I362">
        <v>1325.4826660000001</v>
      </c>
      <c r="J362">
        <v>1323.4978027</v>
      </c>
      <c r="K362">
        <v>2400</v>
      </c>
      <c r="L362">
        <v>0</v>
      </c>
      <c r="M362">
        <v>0</v>
      </c>
      <c r="N362">
        <v>2400</v>
      </c>
    </row>
    <row r="363" spans="1:14" x14ac:dyDescent="0.25">
      <c r="A363">
        <v>22.642755000000001</v>
      </c>
      <c r="B363" s="1">
        <f>DATE(2010,5,23) + TIME(15,25,34)</f>
        <v>40321.642754629633</v>
      </c>
      <c r="C363">
        <v>80</v>
      </c>
      <c r="D363">
        <v>79.959770203000005</v>
      </c>
      <c r="E363">
        <v>50</v>
      </c>
      <c r="F363">
        <v>14.999843597</v>
      </c>
      <c r="G363">
        <v>1336.8479004000001</v>
      </c>
      <c r="H363">
        <v>1335.1474608999999</v>
      </c>
      <c r="I363">
        <v>1325.4827881000001</v>
      </c>
      <c r="J363">
        <v>1323.4978027</v>
      </c>
      <c r="K363">
        <v>2400</v>
      </c>
      <c r="L363">
        <v>0</v>
      </c>
      <c r="M363">
        <v>0</v>
      </c>
      <c r="N363">
        <v>2400</v>
      </c>
    </row>
    <row r="364" spans="1:14" x14ac:dyDescent="0.25">
      <c r="A364">
        <v>22.742650999999999</v>
      </c>
      <c r="B364" s="1">
        <f>DATE(2010,5,23) + TIME(17,49,25)</f>
        <v>40321.742650462962</v>
      </c>
      <c r="C364">
        <v>80</v>
      </c>
      <c r="D364">
        <v>79.959762573000006</v>
      </c>
      <c r="E364">
        <v>50</v>
      </c>
      <c r="F364">
        <v>14.999843597</v>
      </c>
      <c r="G364">
        <v>1336.8458252</v>
      </c>
      <c r="H364">
        <v>1335.1461182</v>
      </c>
      <c r="I364">
        <v>1325.4829102000001</v>
      </c>
      <c r="J364">
        <v>1323.4979248</v>
      </c>
      <c r="K364">
        <v>2400</v>
      </c>
      <c r="L364">
        <v>0</v>
      </c>
      <c r="M364">
        <v>0</v>
      </c>
      <c r="N364">
        <v>2400</v>
      </c>
    </row>
    <row r="365" spans="1:14" x14ac:dyDescent="0.25">
      <c r="A365">
        <v>22.842545999999999</v>
      </c>
      <c r="B365" s="1">
        <f>DATE(2010,5,23) + TIME(20,13,15)</f>
        <v>40321.842534722222</v>
      </c>
      <c r="C365">
        <v>80</v>
      </c>
      <c r="D365">
        <v>79.959747313999998</v>
      </c>
      <c r="E365">
        <v>50</v>
      </c>
      <c r="F365">
        <v>14.999844551000001</v>
      </c>
      <c r="G365">
        <v>1336.84375</v>
      </c>
      <c r="H365">
        <v>1335.1447754000001</v>
      </c>
      <c r="I365">
        <v>1325.4830322</v>
      </c>
      <c r="J365">
        <v>1323.4979248</v>
      </c>
      <c r="K365">
        <v>2400</v>
      </c>
      <c r="L365">
        <v>0</v>
      </c>
      <c r="M365">
        <v>0</v>
      </c>
      <c r="N365">
        <v>2400</v>
      </c>
    </row>
    <row r="366" spans="1:14" x14ac:dyDescent="0.25">
      <c r="A366">
        <v>23.042338000000001</v>
      </c>
      <c r="B366" s="1">
        <f>DATE(2010,5,24) + TIME(1,0,57)</f>
        <v>40322.042326388888</v>
      </c>
      <c r="C366">
        <v>80</v>
      </c>
      <c r="D366">
        <v>79.959739685000002</v>
      </c>
      <c r="E366">
        <v>50</v>
      </c>
      <c r="F366">
        <v>14.999844551000001</v>
      </c>
      <c r="G366">
        <v>1336.8417969</v>
      </c>
      <c r="H366">
        <v>1335.1434326000001</v>
      </c>
      <c r="I366">
        <v>1325.4831543</v>
      </c>
      <c r="J366">
        <v>1323.4980469</v>
      </c>
      <c r="K366">
        <v>2400</v>
      </c>
      <c r="L366">
        <v>0</v>
      </c>
      <c r="M366">
        <v>0</v>
      </c>
      <c r="N366">
        <v>2400</v>
      </c>
    </row>
    <row r="367" spans="1:14" x14ac:dyDescent="0.25">
      <c r="A367">
        <v>23.242343999999999</v>
      </c>
      <c r="B367" s="1">
        <f>DATE(2010,5,24) + TIME(5,48,58)</f>
        <v>40322.242337962962</v>
      </c>
      <c r="C367">
        <v>80</v>
      </c>
      <c r="D367">
        <v>79.959716796999999</v>
      </c>
      <c r="E367">
        <v>50</v>
      </c>
      <c r="F367">
        <v>14.999845505</v>
      </c>
      <c r="G367">
        <v>1336.8377685999999</v>
      </c>
      <c r="H367">
        <v>1335.1408690999999</v>
      </c>
      <c r="I367">
        <v>1325.4833983999999</v>
      </c>
      <c r="J367">
        <v>1323.4981689000001</v>
      </c>
      <c r="K367">
        <v>2400</v>
      </c>
      <c r="L367">
        <v>0</v>
      </c>
      <c r="M367">
        <v>0</v>
      </c>
      <c r="N367">
        <v>2400</v>
      </c>
    </row>
    <row r="368" spans="1:14" x14ac:dyDescent="0.25">
      <c r="A368">
        <v>23.444763999999999</v>
      </c>
      <c r="B368" s="1">
        <f>DATE(2010,5,24) + TIME(10,40,27)</f>
        <v>40322.444756944446</v>
      </c>
      <c r="C368">
        <v>80</v>
      </c>
      <c r="D368">
        <v>79.959701538000004</v>
      </c>
      <c r="E368">
        <v>50</v>
      </c>
      <c r="F368">
        <v>14.999845505</v>
      </c>
      <c r="G368">
        <v>1336.8337402</v>
      </c>
      <c r="H368">
        <v>1335.1381836</v>
      </c>
      <c r="I368">
        <v>1325.4836425999999</v>
      </c>
      <c r="J368">
        <v>1323.4984131000001</v>
      </c>
      <c r="K368">
        <v>2400</v>
      </c>
      <c r="L368">
        <v>0</v>
      </c>
      <c r="M368">
        <v>0</v>
      </c>
      <c r="N368">
        <v>2400</v>
      </c>
    </row>
    <row r="369" spans="1:14" x14ac:dyDescent="0.25">
      <c r="A369">
        <v>23.650019</v>
      </c>
      <c r="B369" s="1">
        <f>DATE(2010,5,24) + TIME(15,36,1)</f>
        <v>40322.650011574071</v>
      </c>
      <c r="C369">
        <v>80</v>
      </c>
      <c r="D369">
        <v>79.959686278999996</v>
      </c>
      <c r="E369">
        <v>50</v>
      </c>
      <c r="F369">
        <v>14.999846458</v>
      </c>
      <c r="G369">
        <v>1336.8297118999999</v>
      </c>
      <c r="H369">
        <v>1335.1356201000001</v>
      </c>
      <c r="I369">
        <v>1325.4838867000001</v>
      </c>
      <c r="J369">
        <v>1323.4985352000001</v>
      </c>
      <c r="K369">
        <v>2400</v>
      </c>
      <c r="L369">
        <v>0</v>
      </c>
      <c r="M369">
        <v>0</v>
      </c>
      <c r="N369">
        <v>2400</v>
      </c>
    </row>
    <row r="370" spans="1:14" x14ac:dyDescent="0.25">
      <c r="A370">
        <v>23.858581000000001</v>
      </c>
      <c r="B370" s="1">
        <f>DATE(2010,5,24) + TIME(20,36,21)</f>
        <v>40322.858576388891</v>
      </c>
      <c r="C370">
        <v>80</v>
      </c>
      <c r="D370">
        <v>79.959663391000007</v>
      </c>
      <c r="E370">
        <v>50</v>
      </c>
      <c r="F370">
        <v>14.999846458</v>
      </c>
      <c r="G370">
        <v>1336.8255615</v>
      </c>
      <c r="H370">
        <v>1335.1329346</v>
      </c>
      <c r="I370">
        <v>1325.4841309000001</v>
      </c>
      <c r="J370">
        <v>1323.4986572</v>
      </c>
      <c r="K370">
        <v>2400</v>
      </c>
      <c r="L370">
        <v>0</v>
      </c>
      <c r="M370">
        <v>0</v>
      </c>
      <c r="N370">
        <v>2400</v>
      </c>
    </row>
    <row r="371" spans="1:14" x14ac:dyDescent="0.25">
      <c r="A371">
        <v>24.070954</v>
      </c>
      <c r="B371" s="1">
        <f>DATE(2010,5,25) + TIME(1,42,10)</f>
        <v>40323.070949074077</v>
      </c>
      <c r="C371">
        <v>80</v>
      </c>
      <c r="D371">
        <v>79.959648131999998</v>
      </c>
      <c r="E371">
        <v>50</v>
      </c>
      <c r="F371">
        <v>14.999847411999999</v>
      </c>
      <c r="G371">
        <v>1336.8215332</v>
      </c>
      <c r="H371">
        <v>1335.130249</v>
      </c>
      <c r="I371">
        <v>1325.484375</v>
      </c>
      <c r="J371">
        <v>1323.4987793</v>
      </c>
      <c r="K371">
        <v>2400</v>
      </c>
      <c r="L371">
        <v>0</v>
      </c>
      <c r="M371">
        <v>0</v>
      </c>
      <c r="N371">
        <v>2400</v>
      </c>
    </row>
    <row r="372" spans="1:14" x14ac:dyDescent="0.25">
      <c r="A372">
        <v>24.285874</v>
      </c>
      <c r="B372" s="1">
        <f>DATE(2010,5,25) + TIME(6,51,39)</f>
        <v>40323.285868055558</v>
      </c>
      <c r="C372">
        <v>80</v>
      </c>
      <c r="D372">
        <v>79.959625243999994</v>
      </c>
      <c r="E372">
        <v>50</v>
      </c>
      <c r="F372">
        <v>14.999848366</v>
      </c>
      <c r="G372">
        <v>1336.8175048999999</v>
      </c>
      <c r="H372">
        <v>1335.1275635</v>
      </c>
      <c r="I372">
        <v>1325.4846190999999</v>
      </c>
      <c r="J372">
        <v>1323.4990233999999</v>
      </c>
      <c r="K372">
        <v>2400</v>
      </c>
      <c r="L372">
        <v>0</v>
      </c>
      <c r="M372">
        <v>0</v>
      </c>
      <c r="N372">
        <v>2400</v>
      </c>
    </row>
    <row r="373" spans="1:14" x14ac:dyDescent="0.25">
      <c r="A373">
        <v>24.501853000000001</v>
      </c>
      <c r="B373" s="1">
        <f>DATE(2010,5,25) + TIME(12,2,40)</f>
        <v>40323.501851851855</v>
      </c>
      <c r="C373">
        <v>80</v>
      </c>
      <c r="D373">
        <v>79.959609985</v>
      </c>
      <c r="E373">
        <v>50</v>
      </c>
      <c r="F373">
        <v>14.999848366</v>
      </c>
      <c r="G373">
        <v>1336.8133545000001</v>
      </c>
      <c r="H373">
        <v>1335.1248779</v>
      </c>
      <c r="I373">
        <v>1325.4848632999999</v>
      </c>
      <c r="J373">
        <v>1323.4991454999999</v>
      </c>
      <c r="K373">
        <v>2400</v>
      </c>
      <c r="L373">
        <v>0</v>
      </c>
      <c r="M373">
        <v>0</v>
      </c>
      <c r="N373">
        <v>2400</v>
      </c>
    </row>
    <row r="374" spans="1:14" x14ac:dyDescent="0.25">
      <c r="A374">
        <v>24.610605</v>
      </c>
      <c r="B374" s="1">
        <f>DATE(2010,5,25) + TIME(14,39,16)</f>
        <v>40323.610601851855</v>
      </c>
      <c r="C374">
        <v>80</v>
      </c>
      <c r="D374">
        <v>79.959594726999995</v>
      </c>
      <c r="E374">
        <v>50</v>
      </c>
      <c r="F374">
        <v>14.999848366</v>
      </c>
      <c r="G374">
        <v>1336.8092041</v>
      </c>
      <c r="H374">
        <v>1335.1221923999999</v>
      </c>
      <c r="I374">
        <v>1325.4851074000001</v>
      </c>
      <c r="J374">
        <v>1323.4992675999999</v>
      </c>
      <c r="K374">
        <v>2400</v>
      </c>
      <c r="L374">
        <v>0</v>
      </c>
      <c r="M374">
        <v>0</v>
      </c>
      <c r="N374">
        <v>2400</v>
      </c>
    </row>
    <row r="375" spans="1:14" x14ac:dyDescent="0.25">
      <c r="A375">
        <v>24.719356999999999</v>
      </c>
      <c r="B375" s="1">
        <f>DATE(2010,5,25) + TIME(17,15,52)</f>
        <v>40323.719351851854</v>
      </c>
      <c r="C375">
        <v>80</v>
      </c>
      <c r="D375">
        <v>79.959579468000001</v>
      </c>
      <c r="E375">
        <v>50</v>
      </c>
      <c r="F375">
        <v>14.999849319000001</v>
      </c>
      <c r="G375">
        <v>1336.807251</v>
      </c>
      <c r="H375">
        <v>1335.1208495999999</v>
      </c>
      <c r="I375">
        <v>1325.4852295000001</v>
      </c>
      <c r="J375">
        <v>1323.4993896000001</v>
      </c>
      <c r="K375">
        <v>2400</v>
      </c>
      <c r="L375">
        <v>0</v>
      </c>
      <c r="M375">
        <v>0</v>
      </c>
      <c r="N375">
        <v>2400</v>
      </c>
    </row>
    <row r="376" spans="1:14" x14ac:dyDescent="0.25">
      <c r="A376">
        <v>24.827953000000001</v>
      </c>
      <c r="B376" s="1">
        <f>DATE(2010,5,25) + TIME(19,52,15)</f>
        <v>40323.827951388892</v>
      </c>
      <c r="C376">
        <v>80</v>
      </c>
      <c r="D376">
        <v>79.959564209000007</v>
      </c>
      <c r="E376">
        <v>50</v>
      </c>
      <c r="F376">
        <v>14.999849319000001</v>
      </c>
      <c r="G376">
        <v>1336.8051757999999</v>
      </c>
      <c r="H376">
        <v>1335.1195068</v>
      </c>
      <c r="I376">
        <v>1325.4853516000001</v>
      </c>
      <c r="J376">
        <v>1323.4995117000001</v>
      </c>
      <c r="K376">
        <v>2400</v>
      </c>
      <c r="L376">
        <v>0</v>
      </c>
      <c r="M376">
        <v>0</v>
      </c>
      <c r="N376">
        <v>2400</v>
      </c>
    </row>
    <row r="377" spans="1:14" x14ac:dyDescent="0.25">
      <c r="A377">
        <v>24.936295999999999</v>
      </c>
      <c r="B377" s="1">
        <f>DATE(2010,5,25) + TIME(22,28,15)</f>
        <v>40323.936284722222</v>
      </c>
      <c r="C377">
        <v>80</v>
      </c>
      <c r="D377">
        <v>79.959556579999997</v>
      </c>
      <c r="E377">
        <v>50</v>
      </c>
      <c r="F377">
        <v>14.999849319000001</v>
      </c>
      <c r="G377">
        <v>1336.8031006000001</v>
      </c>
      <c r="H377">
        <v>1335.1181641000001</v>
      </c>
      <c r="I377">
        <v>1325.4854736</v>
      </c>
      <c r="J377">
        <v>1323.4995117000001</v>
      </c>
      <c r="K377">
        <v>2400</v>
      </c>
      <c r="L377">
        <v>0</v>
      </c>
      <c r="M377">
        <v>0</v>
      </c>
      <c r="N377">
        <v>2400</v>
      </c>
    </row>
    <row r="378" spans="1:14" x14ac:dyDescent="0.25">
      <c r="A378">
        <v>25.044450000000001</v>
      </c>
      <c r="B378" s="1">
        <f>DATE(2010,5,26) + TIME(1,4,0)</f>
        <v>40324.044444444444</v>
      </c>
      <c r="C378">
        <v>80</v>
      </c>
      <c r="D378">
        <v>79.959548949999999</v>
      </c>
      <c r="E378">
        <v>50</v>
      </c>
      <c r="F378">
        <v>14.999850273</v>
      </c>
      <c r="G378">
        <v>1336.8011475000001</v>
      </c>
      <c r="H378">
        <v>1335.1168213000001</v>
      </c>
      <c r="I378">
        <v>1325.4855957</v>
      </c>
      <c r="J378">
        <v>1323.4996338000001</v>
      </c>
      <c r="K378">
        <v>2400</v>
      </c>
      <c r="L378">
        <v>0</v>
      </c>
      <c r="M378">
        <v>0</v>
      </c>
      <c r="N378">
        <v>2400</v>
      </c>
    </row>
    <row r="379" spans="1:14" x14ac:dyDescent="0.25">
      <c r="A379">
        <v>25.152479</v>
      </c>
      <c r="B379" s="1">
        <f>DATE(2010,5,26) + TIME(3,39,34)</f>
        <v>40324.15247685185</v>
      </c>
      <c r="C379">
        <v>80</v>
      </c>
      <c r="D379">
        <v>79.959533691000004</v>
      </c>
      <c r="E379">
        <v>50</v>
      </c>
      <c r="F379">
        <v>14.999850273</v>
      </c>
      <c r="G379">
        <v>1336.7991943</v>
      </c>
      <c r="H379">
        <v>1335.1156006000001</v>
      </c>
      <c r="I379">
        <v>1325.4857178</v>
      </c>
      <c r="J379">
        <v>1323.4997559000001</v>
      </c>
      <c r="K379">
        <v>2400</v>
      </c>
      <c r="L379">
        <v>0</v>
      </c>
      <c r="M379">
        <v>0</v>
      </c>
      <c r="N379">
        <v>2400</v>
      </c>
    </row>
    <row r="380" spans="1:14" x14ac:dyDescent="0.25">
      <c r="A380">
        <v>25.260432999999999</v>
      </c>
      <c r="B380" s="1">
        <f>DATE(2010,5,26) + TIME(6,15,1)</f>
        <v>40324.260428240741</v>
      </c>
      <c r="C380">
        <v>80</v>
      </c>
      <c r="D380">
        <v>79.959526061999995</v>
      </c>
      <c r="E380">
        <v>50</v>
      </c>
      <c r="F380">
        <v>14.999850273</v>
      </c>
      <c r="G380">
        <v>1336.7972411999999</v>
      </c>
      <c r="H380">
        <v>1335.1142577999999</v>
      </c>
      <c r="I380">
        <v>1325.4858397999999</v>
      </c>
      <c r="J380">
        <v>1323.4997559000001</v>
      </c>
      <c r="K380">
        <v>2400</v>
      </c>
      <c r="L380">
        <v>0</v>
      </c>
      <c r="M380">
        <v>0</v>
      </c>
      <c r="N380">
        <v>2400</v>
      </c>
    </row>
    <row r="381" spans="1:14" x14ac:dyDescent="0.25">
      <c r="A381">
        <v>25.368372000000001</v>
      </c>
      <c r="B381" s="1">
        <f>DATE(2010,5,26) + TIME(8,50,27)</f>
        <v>40324.368368055555</v>
      </c>
      <c r="C381">
        <v>80</v>
      </c>
      <c r="D381">
        <v>79.959518433</v>
      </c>
      <c r="E381">
        <v>50</v>
      </c>
      <c r="F381">
        <v>14.999850273</v>
      </c>
      <c r="G381">
        <v>1336.7952881000001</v>
      </c>
      <c r="H381">
        <v>1335.1129149999999</v>
      </c>
      <c r="I381">
        <v>1325.4859618999999</v>
      </c>
      <c r="J381">
        <v>1323.4998779</v>
      </c>
      <c r="K381">
        <v>2400</v>
      </c>
      <c r="L381">
        <v>0</v>
      </c>
      <c r="M381">
        <v>0</v>
      </c>
      <c r="N381">
        <v>2400</v>
      </c>
    </row>
    <row r="382" spans="1:14" x14ac:dyDescent="0.25">
      <c r="A382">
        <v>25.476310999999999</v>
      </c>
      <c r="B382" s="1">
        <f>DATE(2010,5,26) + TIME(11,25,53)</f>
        <v>40324.476307870369</v>
      </c>
      <c r="C382">
        <v>80</v>
      </c>
      <c r="D382">
        <v>79.959510803000001</v>
      </c>
      <c r="E382">
        <v>50</v>
      </c>
      <c r="F382">
        <v>14.999851227000001</v>
      </c>
      <c r="G382">
        <v>1336.7933350000001</v>
      </c>
      <c r="H382">
        <v>1335.1116943</v>
      </c>
      <c r="I382">
        <v>1325.4860839999999</v>
      </c>
      <c r="J382">
        <v>1323.5</v>
      </c>
      <c r="K382">
        <v>2400</v>
      </c>
      <c r="L382">
        <v>0</v>
      </c>
      <c r="M382">
        <v>0</v>
      </c>
      <c r="N382">
        <v>2400</v>
      </c>
    </row>
    <row r="383" spans="1:14" x14ac:dyDescent="0.25">
      <c r="A383">
        <v>25.584250000000001</v>
      </c>
      <c r="B383" s="1">
        <f>DATE(2010,5,26) + TIME(14,1,19)</f>
        <v>40324.584247685183</v>
      </c>
      <c r="C383">
        <v>80</v>
      </c>
      <c r="D383">
        <v>79.959495544000006</v>
      </c>
      <c r="E383">
        <v>50</v>
      </c>
      <c r="F383">
        <v>14.999851227000001</v>
      </c>
      <c r="G383">
        <v>1336.7913818</v>
      </c>
      <c r="H383">
        <v>1335.1103516000001</v>
      </c>
      <c r="I383">
        <v>1325.4862060999999</v>
      </c>
      <c r="J383">
        <v>1323.5</v>
      </c>
      <c r="K383">
        <v>2400</v>
      </c>
      <c r="L383">
        <v>0</v>
      </c>
      <c r="M383">
        <v>0</v>
      </c>
      <c r="N383">
        <v>2400</v>
      </c>
    </row>
    <row r="384" spans="1:14" x14ac:dyDescent="0.25">
      <c r="A384">
        <v>25.692188000000002</v>
      </c>
      <c r="B384" s="1">
        <f>DATE(2010,5,26) + TIME(16,36,45)</f>
        <v>40324.692187499997</v>
      </c>
      <c r="C384">
        <v>80</v>
      </c>
      <c r="D384">
        <v>79.959487914999997</v>
      </c>
      <c r="E384">
        <v>50</v>
      </c>
      <c r="F384">
        <v>14.999851227000001</v>
      </c>
      <c r="G384">
        <v>1336.7894286999999</v>
      </c>
      <c r="H384">
        <v>1335.1091309000001</v>
      </c>
      <c r="I384">
        <v>1325.4863281</v>
      </c>
      <c r="J384">
        <v>1323.5001221</v>
      </c>
      <c r="K384">
        <v>2400</v>
      </c>
      <c r="L384">
        <v>0</v>
      </c>
      <c r="M384">
        <v>0</v>
      </c>
      <c r="N384">
        <v>2400</v>
      </c>
    </row>
    <row r="385" spans="1:14" x14ac:dyDescent="0.25">
      <c r="A385">
        <v>25.800127</v>
      </c>
      <c r="B385" s="1">
        <f>DATE(2010,5,26) + TIME(19,12,10)</f>
        <v>40324.800115740742</v>
      </c>
      <c r="C385">
        <v>80</v>
      </c>
      <c r="D385">
        <v>79.959480286000002</v>
      </c>
      <c r="E385">
        <v>50</v>
      </c>
      <c r="F385">
        <v>14.99985218</v>
      </c>
      <c r="G385">
        <v>1336.7874756000001</v>
      </c>
      <c r="H385">
        <v>1335.1077881000001</v>
      </c>
      <c r="I385">
        <v>1325.4864502</v>
      </c>
      <c r="J385">
        <v>1323.5002440999999</v>
      </c>
      <c r="K385">
        <v>2400</v>
      </c>
      <c r="L385">
        <v>0</v>
      </c>
      <c r="M385">
        <v>0</v>
      </c>
      <c r="N385">
        <v>2400</v>
      </c>
    </row>
    <row r="386" spans="1:14" x14ac:dyDescent="0.25">
      <c r="A386">
        <v>25.908066000000002</v>
      </c>
      <c r="B386" s="1">
        <f>DATE(2010,5,26) + TIME(21,47,36)</f>
        <v>40324.908055555556</v>
      </c>
      <c r="C386">
        <v>80</v>
      </c>
      <c r="D386">
        <v>79.959472656000003</v>
      </c>
      <c r="E386">
        <v>50</v>
      </c>
      <c r="F386">
        <v>14.99985218</v>
      </c>
      <c r="G386">
        <v>1336.7856445</v>
      </c>
      <c r="H386">
        <v>1335.1065673999999</v>
      </c>
      <c r="I386">
        <v>1325.4865723</v>
      </c>
      <c r="J386">
        <v>1323.5002440999999</v>
      </c>
      <c r="K386">
        <v>2400</v>
      </c>
      <c r="L386">
        <v>0</v>
      </c>
      <c r="M386">
        <v>0</v>
      </c>
      <c r="N386">
        <v>2400</v>
      </c>
    </row>
    <row r="387" spans="1:14" x14ac:dyDescent="0.25">
      <c r="A387">
        <v>26.123943000000001</v>
      </c>
      <c r="B387" s="1">
        <f>DATE(2010,5,27) + TIME(2,58,28)</f>
        <v>40325.123935185184</v>
      </c>
      <c r="C387">
        <v>80</v>
      </c>
      <c r="D387">
        <v>79.959465026999993</v>
      </c>
      <c r="E387">
        <v>50</v>
      </c>
      <c r="F387">
        <v>14.99985218</v>
      </c>
      <c r="G387">
        <v>1336.7836914</v>
      </c>
      <c r="H387">
        <v>1335.1053466999999</v>
      </c>
      <c r="I387">
        <v>1325.4868164</v>
      </c>
      <c r="J387">
        <v>1323.5003661999999</v>
      </c>
      <c r="K387">
        <v>2400</v>
      </c>
      <c r="L387">
        <v>0</v>
      </c>
      <c r="M387">
        <v>0</v>
      </c>
      <c r="N387">
        <v>2400</v>
      </c>
    </row>
    <row r="388" spans="1:14" x14ac:dyDescent="0.25">
      <c r="A388">
        <v>26.340206999999999</v>
      </c>
      <c r="B388" s="1">
        <f>DATE(2010,5,27) + TIME(8,9,53)</f>
        <v>40325.340196759258</v>
      </c>
      <c r="C388">
        <v>80</v>
      </c>
      <c r="D388">
        <v>79.959449767999999</v>
      </c>
      <c r="E388">
        <v>50</v>
      </c>
      <c r="F388">
        <v>14.999853134</v>
      </c>
      <c r="G388">
        <v>1336.7799072</v>
      </c>
      <c r="H388">
        <v>1335.1029053</v>
      </c>
      <c r="I388">
        <v>1325.4870605000001</v>
      </c>
      <c r="J388">
        <v>1323.5006103999999</v>
      </c>
      <c r="K388">
        <v>2400</v>
      </c>
      <c r="L388">
        <v>0</v>
      </c>
      <c r="M388">
        <v>0</v>
      </c>
      <c r="N388">
        <v>2400</v>
      </c>
    </row>
    <row r="389" spans="1:14" x14ac:dyDescent="0.25">
      <c r="A389">
        <v>26.558574</v>
      </c>
      <c r="B389" s="1">
        <f>DATE(2010,5,27) + TIME(13,24,20)</f>
        <v>40325.558564814812</v>
      </c>
      <c r="C389">
        <v>80</v>
      </c>
      <c r="D389">
        <v>79.959434509000005</v>
      </c>
      <c r="E389">
        <v>50</v>
      </c>
      <c r="F389">
        <v>14.999853134</v>
      </c>
      <c r="G389">
        <v>1336.7762451000001</v>
      </c>
      <c r="H389">
        <v>1335.1004639</v>
      </c>
      <c r="I389">
        <v>1325.4873047000001</v>
      </c>
      <c r="J389">
        <v>1323.5007324000001</v>
      </c>
      <c r="K389">
        <v>2400</v>
      </c>
      <c r="L389">
        <v>0</v>
      </c>
      <c r="M389">
        <v>0</v>
      </c>
      <c r="N389">
        <v>2400</v>
      </c>
    </row>
    <row r="390" spans="1:14" x14ac:dyDescent="0.25">
      <c r="A390">
        <v>26.779513000000001</v>
      </c>
      <c r="B390" s="1">
        <f>DATE(2010,5,27) + TIME(18,42,29)</f>
        <v>40325.779502314814</v>
      </c>
      <c r="C390">
        <v>80</v>
      </c>
      <c r="D390">
        <v>79.959419249999996</v>
      </c>
      <c r="E390">
        <v>50</v>
      </c>
      <c r="F390">
        <v>14.999854087999999</v>
      </c>
      <c r="G390">
        <v>1336.7724608999999</v>
      </c>
      <c r="H390">
        <v>1335.0979004000001</v>
      </c>
      <c r="I390">
        <v>1325.4875488</v>
      </c>
      <c r="J390">
        <v>1323.5008545000001</v>
      </c>
      <c r="K390">
        <v>2400</v>
      </c>
      <c r="L390">
        <v>0</v>
      </c>
      <c r="M390">
        <v>0</v>
      </c>
      <c r="N390">
        <v>2400</v>
      </c>
    </row>
    <row r="391" spans="1:14" x14ac:dyDescent="0.25">
      <c r="A391">
        <v>27.003520000000002</v>
      </c>
      <c r="B391" s="1">
        <f>DATE(2010,5,28) + TIME(0,5,4)</f>
        <v>40326.003518518519</v>
      </c>
      <c r="C391">
        <v>80</v>
      </c>
      <c r="D391">
        <v>79.959403992000006</v>
      </c>
      <c r="E391">
        <v>50</v>
      </c>
      <c r="F391">
        <v>14.999854087999999</v>
      </c>
      <c r="G391">
        <v>1336.7687988</v>
      </c>
      <c r="H391">
        <v>1335.0954589999999</v>
      </c>
      <c r="I391">
        <v>1325.487793</v>
      </c>
      <c r="J391">
        <v>1323.5010986</v>
      </c>
      <c r="K391">
        <v>2400</v>
      </c>
      <c r="L391">
        <v>0</v>
      </c>
      <c r="M391">
        <v>0</v>
      </c>
      <c r="N391">
        <v>2400</v>
      </c>
    </row>
    <row r="392" spans="1:14" x14ac:dyDescent="0.25">
      <c r="A392">
        <v>27.231124000000001</v>
      </c>
      <c r="B392" s="1">
        <f>DATE(2010,5,28) + TIME(5,32,49)</f>
        <v>40326.231122685182</v>
      </c>
      <c r="C392">
        <v>80</v>
      </c>
      <c r="D392">
        <v>79.959388732999997</v>
      </c>
      <c r="E392">
        <v>50</v>
      </c>
      <c r="F392">
        <v>14.999855042</v>
      </c>
      <c r="G392">
        <v>1336.7650146000001</v>
      </c>
      <c r="H392">
        <v>1335.0930175999999</v>
      </c>
      <c r="I392">
        <v>1325.4880370999999</v>
      </c>
      <c r="J392">
        <v>1323.5012207</v>
      </c>
      <c r="K392">
        <v>2400</v>
      </c>
      <c r="L392">
        <v>0</v>
      </c>
      <c r="M392">
        <v>0</v>
      </c>
      <c r="N392">
        <v>2400</v>
      </c>
    </row>
    <row r="393" spans="1:14" x14ac:dyDescent="0.25">
      <c r="A393">
        <v>27.462886000000001</v>
      </c>
      <c r="B393" s="1">
        <f>DATE(2010,5,28) + TIME(11,6,33)</f>
        <v>40326.462881944448</v>
      </c>
      <c r="C393">
        <v>80</v>
      </c>
      <c r="D393">
        <v>79.959373474000003</v>
      </c>
      <c r="E393">
        <v>50</v>
      </c>
      <c r="F393">
        <v>14.999855995000001</v>
      </c>
      <c r="G393">
        <v>1336.7612305</v>
      </c>
      <c r="H393">
        <v>1335.0904541</v>
      </c>
      <c r="I393">
        <v>1325.4884033000001</v>
      </c>
      <c r="J393">
        <v>1323.5014647999999</v>
      </c>
      <c r="K393">
        <v>2400</v>
      </c>
      <c r="L393">
        <v>0</v>
      </c>
      <c r="M393">
        <v>0</v>
      </c>
      <c r="N393">
        <v>2400</v>
      </c>
    </row>
    <row r="394" spans="1:14" x14ac:dyDescent="0.25">
      <c r="A394">
        <v>27.696777000000001</v>
      </c>
      <c r="B394" s="1">
        <f>DATE(2010,5,28) + TIME(16,43,21)</f>
        <v>40326.696770833332</v>
      </c>
      <c r="C394">
        <v>80</v>
      </c>
      <c r="D394">
        <v>79.959358214999995</v>
      </c>
      <c r="E394">
        <v>50</v>
      </c>
      <c r="F394">
        <v>14.999855995000001</v>
      </c>
      <c r="G394">
        <v>1336.7574463000001</v>
      </c>
      <c r="H394">
        <v>1335.0880127</v>
      </c>
      <c r="I394">
        <v>1325.4886475000001</v>
      </c>
      <c r="J394">
        <v>1323.5015868999999</v>
      </c>
      <c r="K394">
        <v>2400</v>
      </c>
      <c r="L394">
        <v>0</v>
      </c>
      <c r="M394">
        <v>0</v>
      </c>
      <c r="N394">
        <v>2400</v>
      </c>
    </row>
    <row r="395" spans="1:14" x14ac:dyDescent="0.25">
      <c r="A395">
        <v>27.814157999999999</v>
      </c>
      <c r="B395" s="1">
        <f>DATE(2010,5,28) + TIME(19,32,23)</f>
        <v>40326.814155092594</v>
      </c>
      <c r="C395">
        <v>80</v>
      </c>
      <c r="D395">
        <v>79.959350585999999</v>
      </c>
      <c r="E395">
        <v>50</v>
      </c>
      <c r="F395">
        <v>14.999855995000001</v>
      </c>
      <c r="G395">
        <v>1336.7535399999999</v>
      </c>
      <c r="H395">
        <v>1335.0854492000001</v>
      </c>
      <c r="I395">
        <v>1325.4888916</v>
      </c>
      <c r="J395">
        <v>1323.5018310999999</v>
      </c>
      <c r="K395">
        <v>2400</v>
      </c>
      <c r="L395">
        <v>0</v>
      </c>
      <c r="M395">
        <v>0</v>
      </c>
      <c r="N395">
        <v>2400</v>
      </c>
    </row>
    <row r="396" spans="1:14" x14ac:dyDescent="0.25">
      <c r="A396">
        <v>27.931539000000001</v>
      </c>
      <c r="B396" s="1">
        <f>DATE(2010,5,28) + TIME(22,21,24)</f>
        <v>40326.931527777779</v>
      </c>
      <c r="C396">
        <v>80</v>
      </c>
      <c r="D396">
        <v>79.959335327000005</v>
      </c>
      <c r="E396">
        <v>50</v>
      </c>
      <c r="F396">
        <v>14.999856949</v>
      </c>
      <c r="G396">
        <v>1336.7517089999999</v>
      </c>
      <c r="H396">
        <v>1335.0841064000001</v>
      </c>
      <c r="I396">
        <v>1325.4891356999999</v>
      </c>
      <c r="J396">
        <v>1323.5019531</v>
      </c>
      <c r="K396">
        <v>2400</v>
      </c>
      <c r="L396">
        <v>0</v>
      </c>
      <c r="M396">
        <v>0</v>
      </c>
      <c r="N396">
        <v>2400</v>
      </c>
    </row>
    <row r="397" spans="1:14" x14ac:dyDescent="0.25">
      <c r="A397">
        <v>28.048919999999999</v>
      </c>
      <c r="B397" s="1">
        <f>DATE(2010,5,29) + TIME(1,10,26)</f>
        <v>40327.04891203704</v>
      </c>
      <c r="C397">
        <v>80</v>
      </c>
      <c r="D397">
        <v>79.959327697999996</v>
      </c>
      <c r="E397">
        <v>50</v>
      </c>
      <c r="F397">
        <v>14.999856949</v>
      </c>
      <c r="G397">
        <v>1336.7497559000001</v>
      </c>
      <c r="H397">
        <v>1335.0828856999999</v>
      </c>
      <c r="I397">
        <v>1325.4892577999999</v>
      </c>
      <c r="J397">
        <v>1323.5019531</v>
      </c>
      <c r="K397">
        <v>2400</v>
      </c>
      <c r="L397">
        <v>0</v>
      </c>
      <c r="M397">
        <v>0</v>
      </c>
      <c r="N397">
        <v>2400</v>
      </c>
    </row>
    <row r="398" spans="1:14" x14ac:dyDescent="0.25">
      <c r="A398">
        <v>28.166301000000001</v>
      </c>
      <c r="B398" s="1">
        <f>DATE(2010,5,29) + TIME(3,59,28)</f>
        <v>40327.166296296295</v>
      </c>
      <c r="C398">
        <v>80</v>
      </c>
      <c r="D398">
        <v>79.959320067999997</v>
      </c>
      <c r="E398">
        <v>50</v>
      </c>
      <c r="F398">
        <v>14.999856949</v>
      </c>
      <c r="G398">
        <v>1336.7479248</v>
      </c>
      <c r="H398">
        <v>1335.0816649999999</v>
      </c>
      <c r="I398">
        <v>1325.4893798999999</v>
      </c>
      <c r="J398">
        <v>1323.5020752</v>
      </c>
      <c r="K398">
        <v>2400</v>
      </c>
      <c r="L398">
        <v>0</v>
      </c>
      <c r="M398">
        <v>0</v>
      </c>
      <c r="N398">
        <v>2400</v>
      </c>
    </row>
    <row r="399" spans="1:14" x14ac:dyDescent="0.25">
      <c r="A399">
        <v>28.283681999999999</v>
      </c>
      <c r="B399" s="1">
        <f>DATE(2010,5,29) + TIME(6,48,30)</f>
        <v>40327.283680555556</v>
      </c>
      <c r="C399">
        <v>80</v>
      </c>
      <c r="D399">
        <v>79.959312439000001</v>
      </c>
      <c r="E399">
        <v>50</v>
      </c>
      <c r="F399">
        <v>14.999857903000001</v>
      </c>
      <c r="G399">
        <v>1336.7460937999999</v>
      </c>
      <c r="H399">
        <v>1335.0804443</v>
      </c>
      <c r="I399">
        <v>1325.4895019999999</v>
      </c>
      <c r="J399">
        <v>1323.5021973</v>
      </c>
      <c r="K399">
        <v>2400</v>
      </c>
      <c r="L399">
        <v>0</v>
      </c>
      <c r="M399">
        <v>0</v>
      </c>
      <c r="N399">
        <v>2400</v>
      </c>
    </row>
    <row r="400" spans="1:14" x14ac:dyDescent="0.25">
      <c r="A400">
        <v>28.401063000000001</v>
      </c>
      <c r="B400" s="1">
        <f>DATE(2010,5,29) + TIME(9,37,31)</f>
        <v>40327.401053240741</v>
      </c>
      <c r="C400">
        <v>80</v>
      </c>
      <c r="D400">
        <v>79.959304810000006</v>
      </c>
      <c r="E400">
        <v>50</v>
      </c>
      <c r="F400">
        <v>14.999857903000001</v>
      </c>
      <c r="G400">
        <v>1336.7442627</v>
      </c>
      <c r="H400">
        <v>1335.0792236</v>
      </c>
      <c r="I400">
        <v>1325.489624</v>
      </c>
      <c r="J400">
        <v>1323.5023193</v>
      </c>
      <c r="K400">
        <v>2400</v>
      </c>
      <c r="L400">
        <v>0</v>
      </c>
      <c r="M400">
        <v>0</v>
      </c>
      <c r="N400">
        <v>2400</v>
      </c>
    </row>
    <row r="401" spans="1:14" x14ac:dyDescent="0.25">
      <c r="A401">
        <v>28.518443999999999</v>
      </c>
      <c r="B401" s="1">
        <f>DATE(2010,5,29) + TIME(12,26,33)</f>
        <v>40327.518437500003</v>
      </c>
      <c r="C401">
        <v>80</v>
      </c>
      <c r="D401">
        <v>79.959297179999993</v>
      </c>
      <c r="E401">
        <v>50</v>
      </c>
      <c r="F401">
        <v>14.999857903000001</v>
      </c>
      <c r="G401">
        <v>1336.7424315999999</v>
      </c>
      <c r="H401">
        <v>1335.0780029</v>
      </c>
      <c r="I401">
        <v>1325.4898682</v>
      </c>
      <c r="J401">
        <v>1323.5023193</v>
      </c>
      <c r="K401">
        <v>2400</v>
      </c>
      <c r="L401">
        <v>0</v>
      </c>
      <c r="M401">
        <v>0</v>
      </c>
      <c r="N401">
        <v>2400</v>
      </c>
    </row>
    <row r="402" spans="1:14" x14ac:dyDescent="0.25">
      <c r="A402">
        <v>28.635825000000001</v>
      </c>
      <c r="B402" s="1">
        <f>DATE(2010,5,29) + TIME(15,15,35)</f>
        <v>40327.635821759257</v>
      </c>
      <c r="C402">
        <v>80</v>
      </c>
      <c r="D402">
        <v>79.959289550999998</v>
      </c>
      <c r="E402">
        <v>50</v>
      </c>
      <c r="F402">
        <v>14.999858855999999</v>
      </c>
      <c r="G402">
        <v>1336.7406006000001</v>
      </c>
      <c r="H402">
        <v>1335.0767822</v>
      </c>
      <c r="I402">
        <v>1325.4899902</v>
      </c>
      <c r="J402">
        <v>1323.5024414</v>
      </c>
      <c r="K402">
        <v>2400</v>
      </c>
      <c r="L402">
        <v>0</v>
      </c>
      <c r="M402">
        <v>0</v>
      </c>
      <c r="N402">
        <v>2400</v>
      </c>
    </row>
    <row r="403" spans="1:14" x14ac:dyDescent="0.25">
      <c r="A403">
        <v>28.753205999999999</v>
      </c>
      <c r="B403" s="1">
        <f>DATE(2010,5,29) + TIME(18,4,37)</f>
        <v>40327.753206018519</v>
      </c>
      <c r="C403">
        <v>80</v>
      </c>
      <c r="D403">
        <v>79.959281920999999</v>
      </c>
      <c r="E403">
        <v>50</v>
      </c>
      <c r="F403">
        <v>14.999858855999999</v>
      </c>
      <c r="G403">
        <v>1336.7387695</v>
      </c>
      <c r="H403">
        <v>1335.0755615</v>
      </c>
      <c r="I403">
        <v>1325.4901123</v>
      </c>
      <c r="J403">
        <v>1323.5025635</v>
      </c>
      <c r="K403">
        <v>2400</v>
      </c>
      <c r="L403">
        <v>0</v>
      </c>
      <c r="M403">
        <v>0</v>
      </c>
      <c r="N403">
        <v>2400</v>
      </c>
    </row>
    <row r="404" spans="1:14" x14ac:dyDescent="0.25">
      <c r="A404">
        <v>28.870587</v>
      </c>
      <c r="B404" s="1">
        <f>DATE(2010,5,29) + TIME(20,53,38)</f>
        <v>40327.870578703703</v>
      </c>
      <c r="C404">
        <v>80</v>
      </c>
      <c r="D404">
        <v>79.959274292000003</v>
      </c>
      <c r="E404">
        <v>50</v>
      </c>
      <c r="F404">
        <v>14.999858855999999</v>
      </c>
      <c r="G404">
        <v>1336.7369385</v>
      </c>
      <c r="H404">
        <v>1335.0743408000001</v>
      </c>
      <c r="I404">
        <v>1325.4902344</v>
      </c>
      <c r="J404">
        <v>1323.5026855000001</v>
      </c>
      <c r="K404">
        <v>2400</v>
      </c>
      <c r="L404">
        <v>0</v>
      </c>
      <c r="M404">
        <v>0</v>
      </c>
      <c r="N404">
        <v>2400</v>
      </c>
    </row>
    <row r="405" spans="1:14" x14ac:dyDescent="0.25">
      <c r="A405">
        <v>28.987967999999999</v>
      </c>
      <c r="B405" s="1">
        <f>DATE(2010,5,29) + TIME(23,42,40)</f>
        <v>40327.987962962965</v>
      </c>
      <c r="C405">
        <v>80</v>
      </c>
      <c r="D405">
        <v>79.959266662999994</v>
      </c>
      <c r="E405">
        <v>50</v>
      </c>
      <c r="F405">
        <v>14.999858855999999</v>
      </c>
      <c r="G405">
        <v>1336.7351074000001</v>
      </c>
      <c r="H405">
        <v>1335.0731201000001</v>
      </c>
      <c r="I405">
        <v>1325.4903564000001</v>
      </c>
      <c r="J405">
        <v>1323.5028076000001</v>
      </c>
      <c r="K405">
        <v>2400</v>
      </c>
      <c r="L405">
        <v>0</v>
      </c>
      <c r="M405">
        <v>0</v>
      </c>
      <c r="N405">
        <v>2400</v>
      </c>
    </row>
    <row r="406" spans="1:14" x14ac:dyDescent="0.25">
      <c r="A406">
        <v>29.105349</v>
      </c>
      <c r="B406" s="1">
        <f>DATE(2010,5,30) + TIME(2,31,42)</f>
        <v>40328.105347222219</v>
      </c>
      <c r="C406">
        <v>80</v>
      </c>
      <c r="D406">
        <v>79.959259032999995</v>
      </c>
      <c r="E406">
        <v>50</v>
      </c>
      <c r="F406">
        <v>14.99985981</v>
      </c>
      <c r="G406">
        <v>1336.7332764</v>
      </c>
      <c r="H406">
        <v>1335.0718993999999</v>
      </c>
      <c r="I406">
        <v>1325.4906006000001</v>
      </c>
      <c r="J406">
        <v>1323.5028076000001</v>
      </c>
      <c r="K406">
        <v>2400</v>
      </c>
      <c r="L406">
        <v>0</v>
      </c>
      <c r="M406">
        <v>0</v>
      </c>
      <c r="N406">
        <v>2400</v>
      </c>
    </row>
    <row r="407" spans="1:14" x14ac:dyDescent="0.25">
      <c r="A407">
        <v>29.222729999999999</v>
      </c>
      <c r="B407" s="1">
        <f>DATE(2010,5,30) + TIME(5,20,43)</f>
        <v>40328.222719907404</v>
      </c>
      <c r="C407">
        <v>80</v>
      </c>
      <c r="D407">
        <v>79.959251404</v>
      </c>
      <c r="E407">
        <v>50</v>
      </c>
      <c r="F407">
        <v>14.99985981</v>
      </c>
      <c r="G407">
        <v>1336.7315673999999</v>
      </c>
      <c r="H407">
        <v>1335.0706786999999</v>
      </c>
      <c r="I407">
        <v>1325.4907227000001</v>
      </c>
      <c r="J407">
        <v>1323.5029297000001</v>
      </c>
      <c r="K407">
        <v>2400</v>
      </c>
      <c r="L407">
        <v>0</v>
      </c>
      <c r="M407">
        <v>0</v>
      </c>
      <c r="N407">
        <v>2400</v>
      </c>
    </row>
    <row r="408" spans="1:14" x14ac:dyDescent="0.25">
      <c r="A408">
        <v>29.340112000000001</v>
      </c>
      <c r="B408" s="1">
        <f>DATE(2010,5,30) + TIME(8,9,45)</f>
        <v>40328.340104166666</v>
      </c>
      <c r="C408">
        <v>80</v>
      </c>
      <c r="D408">
        <v>79.959243774000001</v>
      </c>
      <c r="E408">
        <v>50</v>
      </c>
      <c r="F408">
        <v>14.99985981</v>
      </c>
      <c r="G408">
        <v>1336.7297363</v>
      </c>
      <c r="H408">
        <v>1335.0695800999999</v>
      </c>
      <c r="I408">
        <v>1325.4908447</v>
      </c>
      <c r="J408">
        <v>1323.5030518000001</v>
      </c>
      <c r="K408">
        <v>2400</v>
      </c>
      <c r="L408">
        <v>0</v>
      </c>
      <c r="M408">
        <v>0</v>
      </c>
      <c r="N408">
        <v>2400</v>
      </c>
    </row>
    <row r="409" spans="1:14" x14ac:dyDescent="0.25">
      <c r="A409">
        <v>29.457492999999999</v>
      </c>
      <c r="B409" s="1">
        <f>DATE(2010,5,30) + TIME(10,58,47)</f>
        <v>40328.457488425927</v>
      </c>
      <c r="C409">
        <v>80</v>
      </c>
      <c r="D409">
        <v>79.959236145000006</v>
      </c>
      <c r="E409">
        <v>50</v>
      </c>
      <c r="F409">
        <v>14.99985981</v>
      </c>
      <c r="G409">
        <v>1336.7280272999999</v>
      </c>
      <c r="H409">
        <v>1335.0683594</v>
      </c>
      <c r="I409">
        <v>1325.4909668</v>
      </c>
      <c r="J409">
        <v>1323.5031738</v>
      </c>
      <c r="K409">
        <v>2400</v>
      </c>
      <c r="L409">
        <v>0</v>
      </c>
      <c r="M409">
        <v>0</v>
      </c>
      <c r="N409">
        <v>2400</v>
      </c>
    </row>
    <row r="410" spans="1:14" x14ac:dyDescent="0.25">
      <c r="A410">
        <v>29.574874000000001</v>
      </c>
      <c r="B410" s="1">
        <f>DATE(2010,5,30) + TIME(13,47,49)</f>
        <v>40328.574872685182</v>
      </c>
      <c r="C410">
        <v>80</v>
      </c>
      <c r="D410">
        <v>79.959236145000006</v>
      </c>
      <c r="E410">
        <v>50</v>
      </c>
      <c r="F410">
        <v>14.999860763999999</v>
      </c>
      <c r="G410">
        <v>1336.7263184000001</v>
      </c>
      <c r="H410">
        <v>1335.0671387</v>
      </c>
      <c r="I410">
        <v>1325.4912108999999</v>
      </c>
      <c r="J410">
        <v>1323.5032959</v>
      </c>
      <c r="K410">
        <v>2400</v>
      </c>
      <c r="L410">
        <v>0</v>
      </c>
      <c r="M410">
        <v>0</v>
      </c>
      <c r="N410">
        <v>2400</v>
      </c>
    </row>
    <row r="411" spans="1:14" x14ac:dyDescent="0.25">
      <c r="A411">
        <v>29.809636000000001</v>
      </c>
      <c r="B411" s="1">
        <f>DATE(2010,5,30) + TIME(19,25,52)</f>
        <v>40328.809629629628</v>
      </c>
      <c r="C411">
        <v>80</v>
      </c>
      <c r="D411">
        <v>79.959228515999996</v>
      </c>
      <c r="E411">
        <v>50</v>
      </c>
      <c r="F411">
        <v>14.999860763999999</v>
      </c>
      <c r="G411">
        <v>1336.7244873</v>
      </c>
      <c r="H411">
        <v>1335.0660399999999</v>
      </c>
      <c r="I411">
        <v>1325.4913329999999</v>
      </c>
      <c r="J411">
        <v>1323.5032959</v>
      </c>
      <c r="K411">
        <v>2400</v>
      </c>
      <c r="L411">
        <v>0</v>
      </c>
      <c r="M411">
        <v>0</v>
      </c>
      <c r="N411">
        <v>2400</v>
      </c>
    </row>
    <row r="412" spans="1:14" x14ac:dyDescent="0.25">
      <c r="A412">
        <v>30.045007999999999</v>
      </c>
      <c r="B412" s="1">
        <f>DATE(2010,5,31) + TIME(1,4,48)</f>
        <v>40329.044999999998</v>
      </c>
      <c r="C412">
        <v>80</v>
      </c>
      <c r="D412">
        <v>79.959220885999997</v>
      </c>
      <c r="E412">
        <v>50</v>
      </c>
      <c r="F412">
        <v>14.999861717</v>
      </c>
      <c r="G412">
        <v>1336.7210693</v>
      </c>
      <c r="H412">
        <v>1335.0637207</v>
      </c>
      <c r="I412">
        <v>1325.4915771000001</v>
      </c>
      <c r="J412">
        <v>1323.5035399999999</v>
      </c>
      <c r="K412">
        <v>2400</v>
      </c>
      <c r="L412">
        <v>0</v>
      </c>
      <c r="M412">
        <v>0</v>
      </c>
      <c r="N412">
        <v>2400</v>
      </c>
    </row>
    <row r="413" spans="1:14" x14ac:dyDescent="0.25">
      <c r="A413">
        <v>30.283349999999999</v>
      </c>
      <c r="B413" s="1">
        <f>DATE(2010,5,31) + TIME(6,48,1)</f>
        <v>40329.28334490741</v>
      </c>
      <c r="C413">
        <v>80</v>
      </c>
      <c r="D413">
        <v>79.959205627000003</v>
      </c>
      <c r="E413">
        <v>50</v>
      </c>
      <c r="F413">
        <v>14.999861717</v>
      </c>
      <c r="G413">
        <v>1336.7176514</v>
      </c>
      <c r="H413">
        <v>1335.0614014</v>
      </c>
      <c r="I413">
        <v>1325.4919434000001</v>
      </c>
      <c r="J413">
        <v>1323.5037841999999</v>
      </c>
      <c r="K413">
        <v>2400</v>
      </c>
      <c r="L413">
        <v>0</v>
      </c>
      <c r="M413">
        <v>0</v>
      </c>
      <c r="N413">
        <v>2400</v>
      </c>
    </row>
    <row r="414" spans="1:14" x14ac:dyDescent="0.25">
      <c r="A414">
        <v>30.525189999999998</v>
      </c>
      <c r="B414" s="1">
        <f>DATE(2010,5,31) + TIME(12,36,16)</f>
        <v>40329.525185185186</v>
      </c>
      <c r="C414">
        <v>80</v>
      </c>
      <c r="D414">
        <v>79.959197997999993</v>
      </c>
      <c r="E414">
        <v>50</v>
      </c>
      <c r="F414">
        <v>14.999862671000001</v>
      </c>
      <c r="G414">
        <v>1336.7142334</v>
      </c>
      <c r="H414">
        <v>1335.0592041</v>
      </c>
      <c r="I414">
        <v>1325.4921875</v>
      </c>
      <c r="J414">
        <v>1323.5039062000001</v>
      </c>
      <c r="K414">
        <v>2400</v>
      </c>
      <c r="L414">
        <v>0</v>
      </c>
      <c r="M414">
        <v>0</v>
      </c>
      <c r="N414">
        <v>2400</v>
      </c>
    </row>
    <row r="415" spans="1:14" x14ac:dyDescent="0.25">
      <c r="A415">
        <v>30.771101999999999</v>
      </c>
      <c r="B415" s="1">
        <f>DATE(2010,5,31) + TIME(18,30,23)</f>
        <v>40329.771099537036</v>
      </c>
      <c r="C415">
        <v>80</v>
      </c>
      <c r="D415">
        <v>79.959190368999998</v>
      </c>
      <c r="E415">
        <v>50</v>
      </c>
      <c r="F415">
        <v>14.999862671000001</v>
      </c>
      <c r="G415">
        <v>1336.7106934000001</v>
      </c>
      <c r="H415">
        <v>1335.0568848</v>
      </c>
      <c r="I415">
        <v>1325.4925536999999</v>
      </c>
      <c r="J415">
        <v>1323.5041504000001</v>
      </c>
      <c r="K415">
        <v>2400</v>
      </c>
      <c r="L415">
        <v>0</v>
      </c>
      <c r="M415">
        <v>0</v>
      </c>
      <c r="N415">
        <v>2400</v>
      </c>
    </row>
    <row r="416" spans="1:14" x14ac:dyDescent="0.25">
      <c r="A416">
        <v>31</v>
      </c>
      <c r="B416" s="1">
        <f>DATE(2010,6,1) + TIME(0,0,0)</f>
        <v>40330</v>
      </c>
      <c r="C416">
        <v>80</v>
      </c>
      <c r="D416">
        <v>79.959175110000004</v>
      </c>
      <c r="E416">
        <v>50</v>
      </c>
      <c r="F416">
        <v>14.999863625</v>
      </c>
      <c r="G416">
        <v>1336.7072754000001</v>
      </c>
      <c r="H416">
        <v>1335.0545654</v>
      </c>
      <c r="I416">
        <v>1325.4929199000001</v>
      </c>
      <c r="J416">
        <v>1323.5043945</v>
      </c>
      <c r="K416">
        <v>2400</v>
      </c>
      <c r="L416">
        <v>0</v>
      </c>
      <c r="M416">
        <v>0</v>
      </c>
      <c r="N416">
        <v>2400</v>
      </c>
    </row>
    <row r="417" spans="1:14" x14ac:dyDescent="0.25">
      <c r="A417">
        <v>31.250606000000001</v>
      </c>
      <c r="B417" s="1">
        <f>DATE(2010,6,1) + TIME(6,0,52)</f>
        <v>40330.250601851854</v>
      </c>
      <c r="C417">
        <v>80</v>
      </c>
      <c r="D417">
        <v>79.959167480000005</v>
      </c>
      <c r="E417">
        <v>50</v>
      </c>
      <c r="F417">
        <v>14.999863625</v>
      </c>
      <c r="G417">
        <v>1336.7039795000001</v>
      </c>
      <c r="H417">
        <v>1335.0523682</v>
      </c>
      <c r="I417">
        <v>1325.4931641000001</v>
      </c>
      <c r="J417">
        <v>1323.5045166</v>
      </c>
      <c r="K417">
        <v>2400</v>
      </c>
      <c r="L417">
        <v>0</v>
      </c>
      <c r="M417">
        <v>0</v>
      </c>
      <c r="N417">
        <v>2400</v>
      </c>
    </row>
    <row r="418" spans="1:14" x14ac:dyDescent="0.25">
      <c r="A418">
        <v>31.378423999999999</v>
      </c>
      <c r="B418" s="1">
        <f>DATE(2010,6,1) + TIME(9,4,55)</f>
        <v>40330.37841435185</v>
      </c>
      <c r="C418">
        <v>80</v>
      </c>
      <c r="D418">
        <v>79.959152222</v>
      </c>
      <c r="E418">
        <v>50</v>
      </c>
      <c r="F418">
        <v>14.999864578</v>
      </c>
      <c r="G418">
        <v>1336.7005615</v>
      </c>
      <c r="H418">
        <v>1335.0500488</v>
      </c>
      <c r="I418">
        <v>1325.4935303</v>
      </c>
      <c r="J418">
        <v>1323.5047606999999</v>
      </c>
      <c r="K418">
        <v>2400</v>
      </c>
      <c r="L418">
        <v>0</v>
      </c>
      <c r="M418">
        <v>0</v>
      </c>
      <c r="N418">
        <v>2400</v>
      </c>
    </row>
    <row r="419" spans="1:14" x14ac:dyDescent="0.25">
      <c r="A419">
        <v>31.506242</v>
      </c>
      <c r="B419" s="1">
        <f>DATE(2010,6,1) + TIME(12,8,59)</f>
        <v>40330.506238425929</v>
      </c>
      <c r="C419">
        <v>80</v>
      </c>
      <c r="D419">
        <v>79.959144592000001</v>
      </c>
      <c r="E419">
        <v>50</v>
      </c>
      <c r="F419">
        <v>14.999864578</v>
      </c>
      <c r="G419">
        <v>1336.6987305</v>
      </c>
      <c r="H419">
        <v>1335.0488281</v>
      </c>
      <c r="I419">
        <v>1325.4936522999999</v>
      </c>
      <c r="J419">
        <v>1323.5048827999999</v>
      </c>
      <c r="K419">
        <v>2400</v>
      </c>
      <c r="L419">
        <v>0</v>
      </c>
      <c r="M419">
        <v>0</v>
      </c>
      <c r="N419">
        <v>2400</v>
      </c>
    </row>
    <row r="420" spans="1:14" x14ac:dyDescent="0.25">
      <c r="A420">
        <v>31.634060000000002</v>
      </c>
      <c r="B420" s="1">
        <f>DATE(2010,6,1) + TIME(15,13,2)</f>
        <v>40330.634050925924</v>
      </c>
      <c r="C420">
        <v>80</v>
      </c>
      <c r="D420">
        <v>79.959136963000006</v>
      </c>
      <c r="E420">
        <v>50</v>
      </c>
      <c r="F420">
        <v>14.999864578</v>
      </c>
      <c r="G420">
        <v>1336.6970214999999</v>
      </c>
      <c r="H420">
        <v>1335.0477295000001</v>
      </c>
      <c r="I420">
        <v>1325.4937743999999</v>
      </c>
      <c r="J420">
        <v>1323.5050048999999</v>
      </c>
      <c r="K420">
        <v>2400</v>
      </c>
      <c r="L420">
        <v>0</v>
      </c>
      <c r="M420">
        <v>0</v>
      </c>
      <c r="N420">
        <v>2400</v>
      </c>
    </row>
    <row r="421" spans="1:14" x14ac:dyDescent="0.25">
      <c r="A421">
        <v>31.761637</v>
      </c>
      <c r="B421" s="1">
        <f>DATE(2010,6,1) + TIME(18,16,45)</f>
        <v>40330.761631944442</v>
      </c>
      <c r="C421">
        <v>80</v>
      </c>
      <c r="D421">
        <v>79.959129333000007</v>
      </c>
      <c r="E421">
        <v>50</v>
      </c>
      <c r="F421">
        <v>14.999865531999999</v>
      </c>
      <c r="G421">
        <v>1336.6953125</v>
      </c>
      <c r="H421">
        <v>1335.0465088000001</v>
      </c>
      <c r="I421">
        <v>1325.4940185999999</v>
      </c>
      <c r="J421">
        <v>1323.5051269999999</v>
      </c>
      <c r="K421">
        <v>2400</v>
      </c>
      <c r="L421">
        <v>0</v>
      </c>
      <c r="M421">
        <v>0</v>
      </c>
      <c r="N421">
        <v>2400</v>
      </c>
    </row>
    <row r="422" spans="1:14" x14ac:dyDescent="0.25">
      <c r="A422">
        <v>31.888867999999999</v>
      </c>
      <c r="B422" s="1">
        <f>DATE(2010,6,1) + TIME(21,19,58)</f>
        <v>40330.888865740744</v>
      </c>
      <c r="C422">
        <v>80</v>
      </c>
      <c r="D422">
        <v>79.959129333000007</v>
      </c>
      <c r="E422">
        <v>50</v>
      </c>
      <c r="F422">
        <v>14.999865531999999</v>
      </c>
      <c r="G422">
        <v>1336.6934814000001</v>
      </c>
      <c r="H422">
        <v>1335.0454102000001</v>
      </c>
      <c r="I422">
        <v>1325.4941406</v>
      </c>
      <c r="J422">
        <v>1323.5051269999999</v>
      </c>
      <c r="K422">
        <v>2400</v>
      </c>
      <c r="L422">
        <v>0</v>
      </c>
      <c r="M422">
        <v>0</v>
      </c>
      <c r="N422">
        <v>2400</v>
      </c>
    </row>
    <row r="423" spans="1:14" x14ac:dyDescent="0.25">
      <c r="A423">
        <v>32.015832000000003</v>
      </c>
      <c r="B423" s="1">
        <f>DATE(2010,6,2) + TIME(0,22,47)</f>
        <v>40331.015821759262</v>
      </c>
      <c r="C423">
        <v>80</v>
      </c>
      <c r="D423">
        <v>79.959121703999998</v>
      </c>
      <c r="E423">
        <v>50</v>
      </c>
      <c r="F423">
        <v>14.999865531999999</v>
      </c>
      <c r="G423">
        <v>1336.6917725000001</v>
      </c>
      <c r="H423">
        <v>1335.0441894999999</v>
      </c>
      <c r="I423">
        <v>1325.4943848</v>
      </c>
      <c r="J423">
        <v>1323.505249</v>
      </c>
      <c r="K423">
        <v>2400</v>
      </c>
      <c r="L423">
        <v>0</v>
      </c>
      <c r="M423">
        <v>0</v>
      </c>
      <c r="N423">
        <v>2400</v>
      </c>
    </row>
    <row r="424" spans="1:14" x14ac:dyDescent="0.25">
      <c r="A424">
        <v>32.142609</v>
      </c>
      <c r="B424" s="1">
        <f>DATE(2010,6,2) + TIME(3,25,21)</f>
        <v>40331.142604166664</v>
      </c>
      <c r="C424">
        <v>80</v>
      </c>
      <c r="D424">
        <v>79.959114075000002</v>
      </c>
      <c r="E424">
        <v>50</v>
      </c>
      <c r="F424">
        <v>14.999865531999999</v>
      </c>
      <c r="G424">
        <v>1336.6900635</v>
      </c>
      <c r="H424">
        <v>1335.0430908000001</v>
      </c>
      <c r="I424">
        <v>1325.4945068</v>
      </c>
      <c r="J424">
        <v>1323.5053711</v>
      </c>
      <c r="K424">
        <v>2400</v>
      </c>
      <c r="L424">
        <v>0</v>
      </c>
      <c r="M424">
        <v>0</v>
      </c>
      <c r="N424">
        <v>2400</v>
      </c>
    </row>
    <row r="425" spans="1:14" x14ac:dyDescent="0.25">
      <c r="A425">
        <v>32.269277000000002</v>
      </c>
      <c r="B425" s="1">
        <f>DATE(2010,6,2) + TIME(6,27,45)</f>
        <v>40331.269270833334</v>
      </c>
      <c r="C425">
        <v>80</v>
      </c>
      <c r="D425">
        <v>79.959106445000003</v>
      </c>
      <c r="E425">
        <v>50</v>
      </c>
      <c r="F425">
        <v>14.999866486</v>
      </c>
      <c r="G425">
        <v>1336.6883545000001</v>
      </c>
      <c r="H425">
        <v>1335.0419922000001</v>
      </c>
      <c r="I425">
        <v>1325.4946289</v>
      </c>
      <c r="J425">
        <v>1323.5054932</v>
      </c>
      <c r="K425">
        <v>2400</v>
      </c>
      <c r="L425">
        <v>0</v>
      </c>
      <c r="M425">
        <v>0</v>
      </c>
      <c r="N425">
        <v>2400</v>
      </c>
    </row>
    <row r="426" spans="1:14" x14ac:dyDescent="0.25">
      <c r="A426">
        <v>32.395904999999999</v>
      </c>
      <c r="B426" s="1">
        <f>DATE(2010,6,2) + TIME(9,30,6)</f>
        <v>40331.395902777775</v>
      </c>
      <c r="C426">
        <v>80</v>
      </c>
      <c r="D426">
        <v>79.959106445000003</v>
      </c>
      <c r="E426">
        <v>50</v>
      </c>
      <c r="F426">
        <v>14.999866486</v>
      </c>
      <c r="G426">
        <v>1336.6867675999999</v>
      </c>
      <c r="H426">
        <v>1335.0407714999999</v>
      </c>
      <c r="I426">
        <v>1325.4948730000001</v>
      </c>
      <c r="J426">
        <v>1323.5056152</v>
      </c>
      <c r="K426">
        <v>2400</v>
      </c>
      <c r="L426">
        <v>0</v>
      </c>
      <c r="M426">
        <v>0</v>
      </c>
      <c r="N426">
        <v>2400</v>
      </c>
    </row>
    <row r="427" spans="1:14" x14ac:dyDescent="0.25">
      <c r="A427">
        <v>32.522534</v>
      </c>
      <c r="B427" s="1">
        <f>DATE(2010,6,2) + TIME(12,32,26)</f>
        <v>40331.522523148145</v>
      </c>
      <c r="C427">
        <v>80</v>
      </c>
      <c r="D427">
        <v>79.959098815999994</v>
      </c>
      <c r="E427">
        <v>50</v>
      </c>
      <c r="F427">
        <v>14.999866486</v>
      </c>
      <c r="G427">
        <v>1336.6850586</v>
      </c>
      <c r="H427">
        <v>1335.0396728999999</v>
      </c>
      <c r="I427">
        <v>1325.4949951000001</v>
      </c>
      <c r="J427">
        <v>1323.5057373</v>
      </c>
      <c r="K427">
        <v>2400</v>
      </c>
      <c r="L427">
        <v>0</v>
      </c>
      <c r="M427">
        <v>0</v>
      </c>
      <c r="N427">
        <v>2400</v>
      </c>
    </row>
    <row r="428" spans="1:14" x14ac:dyDescent="0.25">
      <c r="A428">
        <v>32.649163000000001</v>
      </c>
      <c r="B428" s="1">
        <f>DATE(2010,6,2) + TIME(15,34,47)</f>
        <v>40331.649155092593</v>
      </c>
      <c r="C428">
        <v>80</v>
      </c>
      <c r="D428">
        <v>79.959091186999999</v>
      </c>
      <c r="E428">
        <v>50</v>
      </c>
      <c r="F428">
        <v>14.999866486</v>
      </c>
      <c r="G428">
        <v>1336.6833495999999</v>
      </c>
      <c r="H428">
        <v>1335.0385742000001</v>
      </c>
      <c r="I428">
        <v>1325.4952393000001</v>
      </c>
      <c r="J428">
        <v>1323.5058594</v>
      </c>
      <c r="K428">
        <v>2400</v>
      </c>
      <c r="L428">
        <v>0</v>
      </c>
      <c r="M428">
        <v>0</v>
      </c>
      <c r="N428">
        <v>2400</v>
      </c>
    </row>
    <row r="429" spans="1:14" x14ac:dyDescent="0.25">
      <c r="A429">
        <v>32.775790999999998</v>
      </c>
      <c r="B429" s="1">
        <f>DATE(2010,6,2) + TIME(18,37,8)</f>
        <v>40331.775787037041</v>
      </c>
      <c r="C429">
        <v>80</v>
      </c>
      <c r="D429">
        <v>79.959091186999999</v>
      </c>
      <c r="E429">
        <v>50</v>
      </c>
      <c r="F429">
        <v>14.999867439000001</v>
      </c>
      <c r="G429">
        <v>1336.6817627</v>
      </c>
      <c r="H429">
        <v>1335.0374756000001</v>
      </c>
      <c r="I429">
        <v>1325.4953613</v>
      </c>
      <c r="J429">
        <v>1323.5059814000001</v>
      </c>
      <c r="K429">
        <v>2400</v>
      </c>
      <c r="L429">
        <v>0</v>
      </c>
      <c r="M429">
        <v>0</v>
      </c>
      <c r="N429">
        <v>2400</v>
      </c>
    </row>
    <row r="430" spans="1:14" x14ac:dyDescent="0.25">
      <c r="A430">
        <v>32.902419999999999</v>
      </c>
      <c r="B430" s="1">
        <f>DATE(2010,6,2) + TIME(21,39,29)</f>
        <v>40331.902418981481</v>
      </c>
      <c r="C430">
        <v>80</v>
      </c>
      <c r="D430">
        <v>79.959083557</v>
      </c>
      <c r="E430">
        <v>50</v>
      </c>
      <c r="F430">
        <v>14.999867439000001</v>
      </c>
      <c r="G430">
        <v>1336.6800536999999</v>
      </c>
      <c r="H430">
        <v>1335.0363769999999</v>
      </c>
      <c r="I430">
        <v>1325.4956055</v>
      </c>
      <c r="J430">
        <v>1323.5061035000001</v>
      </c>
      <c r="K430">
        <v>2400</v>
      </c>
      <c r="L430">
        <v>0</v>
      </c>
      <c r="M430">
        <v>0</v>
      </c>
      <c r="N430">
        <v>2400</v>
      </c>
    </row>
    <row r="431" spans="1:14" x14ac:dyDescent="0.25">
      <c r="A431">
        <v>33.029048000000003</v>
      </c>
      <c r="B431" s="1">
        <f>DATE(2010,6,3) + TIME(0,41,49)</f>
        <v>40332.029039351852</v>
      </c>
      <c r="C431">
        <v>80</v>
      </c>
      <c r="D431">
        <v>79.959083557</v>
      </c>
      <c r="E431">
        <v>50</v>
      </c>
      <c r="F431">
        <v>14.999867439000001</v>
      </c>
      <c r="G431">
        <v>1336.6784668</v>
      </c>
      <c r="H431">
        <v>1335.0352783000001</v>
      </c>
      <c r="I431">
        <v>1325.4957274999999</v>
      </c>
      <c r="J431">
        <v>1323.5062256000001</v>
      </c>
      <c r="K431">
        <v>2400</v>
      </c>
      <c r="L431">
        <v>0</v>
      </c>
      <c r="M431">
        <v>0</v>
      </c>
      <c r="N431">
        <v>2400</v>
      </c>
    </row>
    <row r="432" spans="1:14" x14ac:dyDescent="0.25">
      <c r="A432">
        <v>33.155676999999997</v>
      </c>
      <c r="B432" s="1">
        <f>DATE(2010,6,3) + TIME(3,44,10)</f>
        <v>40332.155671296299</v>
      </c>
      <c r="C432">
        <v>80</v>
      </c>
      <c r="D432">
        <v>79.959075928000004</v>
      </c>
      <c r="E432">
        <v>50</v>
      </c>
      <c r="F432">
        <v>14.999868393</v>
      </c>
      <c r="G432">
        <v>1336.6767577999999</v>
      </c>
      <c r="H432">
        <v>1335.0341797000001</v>
      </c>
      <c r="I432">
        <v>1325.4958495999999</v>
      </c>
      <c r="J432">
        <v>1323.5062256000001</v>
      </c>
      <c r="K432">
        <v>2400</v>
      </c>
      <c r="L432">
        <v>0</v>
      </c>
      <c r="M432">
        <v>0</v>
      </c>
      <c r="N432">
        <v>2400</v>
      </c>
    </row>
    <row r="433" spans="1:14" x14ac:dyDescent="0.25">
      <c r="A433">
        <v>33.408934000000002</v>
      </c>
      <c r="B433" s="1">
        <f>DATE(2010,6,3) + TIME(9,48,51)</f>
        <v>40332.40892361111</v>
      </c>
      <c r="C433">
        <v>80</v>
      </c>
      <c r="D433">
        <v>79.959075928000004</v>
      </c>
      <c r="E433">
        <v>50</v>
      </c>
      <c r="F433">
        <v>14.999868393</v>
      </c>
      <c r="G433">
        <v>1336.6751709</v>
      </c>
      <c r="H433">
        <v>1335.0330810999999</v>
      </c>
      <c r="I433">
        <v>1325.4960937999999</v>
      </c>
      <c r="J433">
        <v>1323.5063477000001</v>
      </c>
      <c r="K433">
        <v>2400</v>
      </c>
      <c r="L433">
        <v>0</v>
      </c>
      <c r="M433">
        <v>0</v>
      </c>
      <c r="N433">
        <v>2400</v>
      </c>
    </row>
    <row r="434" spans="1:14" x14ac:dyDescent="0.25">
      <c r="A434">
        <v>33.662697999999999</v>
      </c>
      <c r="B434" s="1">
        <f>DATE(2010,6,3) + TIME(15,54,17)</f>
        <v>40332.66269675926</v>
      </c>
      <c r="C434">
        <v>80</v>
      </c>
      <c r="D434">
        <v>79.959068298000005</v>
      </c>
      <c r="E434">
        <v>50</v>
      </c>
      <c r="F434">
        <v>14.999869347000001</v>
      </c>
      <c r="G434">
        <v>1336.6719971</v>
      </c>
      <c r="H434">
        <v>1335.0308838000001</v>
      </c>
      <c r="I434">
        <v>1325.4964600000001</v>
      </c>
      <c r="J434">
        <v>1323.5065918</v>
      </c>
      <c r="K434">
        <v>2400</v>
      </c>
      <c r="L434">
        <v>0</v>
      </c>
      <c r="M434">
        <v>0</v>
      </c>
      <c r="N434">
        <v>2400</v>
      </c>
    </row>
    <row r="435" spans="1:14" x14ac:dyDescent="0.25">
      <c r="A435">
        <v>33.919431000000003</v>
      </c>
      <c r="B435" s="1">
        <f>DATE(2010,6,3) + TIME(22,3,58)</f>
        <v>40332.919421296298</v>
      </c>
      <c r="C435">
        <v>80</v>
      </c>
      <c r="D435">
        <v>79.959060668999996</v>
      </c>
      <c r="E435">
        <v>50</v>
      </c>
      <c r="F435">
        <v>14.999869347000001</v>
      </c>
      <c r="G435">
        <v>1336.6688231999999</v>
      </c>
      <c r="H435">
        <v>1335.0288086</v>
      </c>
      <c r="I435">
        <v>1325.4968262</v>
      </c>
      <c r="J435">
        <v>1323.5068358999999</v>
      </c>
      <c r="K435">
        <v>2400</v>
      </c>
      <c r="L435">
        <v>0</v>
      </c>
      <c r="M435">
        <v>0</v>
      </c>
      <c r="N435">
        <v>2400</v>
      </c>
    </row>
    <row r="436" spans="1:14" x14ac:dyDescent="0.25">
      <c r="A436">
        <v>34.179720000000003</v>
      </c>
      <c r="B436" s="1">
        <f>DATE(2010,6,4) + TIME(4,18,47)</f>
        <v>40333.179710648146</v>
      </c>
      <c r="C436">
        <v>80</v>
      </c>
      <c r="D436">
        <v>79.959053040000001</v>
      </c>
      <c r="E436">
        <v>50</v>
      </c>
      <c r="F436">
        <v>14.9998703</v>
      </c>
      <c r="G436">
        <v>1336.6656493999999</v>
      </c>
      <c r="H436">
        <v>1335.0266113</v>
      </c>
      <c r="I436">
        <v>1325.4970702999999</v>
      </c>
      <c r="J436">
        <v>1323.5070800999999</v>
      </c>
      <c r="K436">
        <v>2400</v>
      </c>
      <c r="L436">
        <v>0</v>
      </c>
      <c r="M436">
        <v>0</v>
      </c>
      <c r="N436">
        <v>2400</v>
      </c>
    </row>
    <row r="437" spans="1:14" x14ac:dyDescent="0.25">
      <c r="A437">
        <v>34.444203000000002</v>
      </c>
      <c r="B437" s="1">
        <f>DATE(2010,6,4) + TIME(10,39,39)</f>
        <v>40333.444201388891</v>
      </c>
      <c r="C437">
        <v>80</v>
      </c>
      <c r="D437">
        <v>79.959045410000002</v>
      </c>
      <c r="E437">
        <v>50</v>
      </c>
      <c r="F437">
        <v>14.9998703</v>
      </c>
      <c r="G437">
        <v>1336.6623535000001</v>
      </c>
      <c r="H437">
        <v>1335.0245361</v>
      </c>
      <c r="I437">
        <v>1325.4974365</v>
      </c>
      <c r="J437">
        <v>1323.5073242000001</v>
      </c>
      <c r="K437">
        <v>2400</v>
      </c>
      <c r="L437">
        <v>0</v>
      </c>
      <c r="M437">
        <v>0</v>
      </c>
      <c r="N437">
        <v>2400</v>
      </c>
    </row>
    <row r="438" spans="1:14" x14ac:dyDescent="0.25">
      <c r="A438">
        <v>34.713548000000003</v>
      </c>
      <c r="B438" s="1">
        <f>DATE(2010,6,4) + TIME(17,7,30)</f>
        <v>40333.713541666664</v>
      </c>
      <c r="C438">
        <v>80</v>
      </c>
      <c r="D438">
        <v>79.959037781000006</v>
      </c>
      <c r="E438">
        <v>50</v>
      </c>
      <c r="F438">
        <v>14.999871254</v>
      </c>
      <c r="G438">
        <v>1336.6591797000001</v>
      </c>
      <c r="H438">
        <v>1335.0223389</v>
      </c>
      <c r="I438">
        <v>1325.4978027</v>
      </c>
      <c r="J438">
        <v>1323.5075684000001</v>
      </c>
      <c r="K438">
        <v>2400</v>
      </c>
      <c r="L438">
        <v>0</v>
      </c>
      <c r="M438">
        <v>0</v>
      </c>
      <c r="N438">
        <v>2400</v>
      </c>
    </row>
    <row r="439" spans="1:14" x14ac:dyDescent="0.25">
      <c r="A439">
        <v>34.987628999999998</v>
      </c>
      <c r="B439" s="1">
        <f>DATE(2010,6,4) + TIME(23,42,11)</f>
        <v>40333.987627314818</v>
      </c>
      <c r="C439">
        <v>80</v>
      </c>
      <c r="D439">
        <v>79.959030150999993</v>
      </c>
      <c r="E439">
        <v>50</v>
      </c>
      <c r="F439">
        <v>14.999871254</v>
      </c>
      <c r="G439">
        <v>1336.6558838000001</v>
      </c>
      <c r="H439">
        <v>1335.0201416</v>
      </c>
      <c r="I439">
        <v>1325.4982910000001</v>
      </c>
      <c r="J439">
        <v>1323.5078125</v>
      </c>
      <c r="K439">
        <v>2400</v>
      </c>
      <c r="L439">
        <v>0</v>
      </c>
      <c r="M439">
        <v>0</v>
      </c>
      <c r="N439">
        <v>2400</v>
      </c>
    </row>
    <row r="440" spans="1:14" x14ac:dyDescent="0.25">
      <c r="A440">
        <v>35.125959000000002</v>
      </c>
      <c r="B440" s="1">
        <f>DATE(2010,6,5) + TIME(3,1,22)</f>
        <v>40334.125949074078</v>
      </c>
      <c r="C440">
        <v>80</v>
      </c>
      <c r="D440">
        <v>79.959022521999998</v>
      </c>
      <c r="E440">
        <v>50</v>
      </c>
      <c r="F440">
        <v>14.999871254</v>
      </c>
      <c r="G440">
        <v>1336.6525879000001</v>
      </c>
      <c r="H440">
        <v>1335.0179443</v>
      </c>
      <c r="I440">
        <v>1325.4986572</v>
      </c>
      <c r="J440">
        <v>1323.5080565999999</v>
      </c>
      <c r="K440">
        <v>2400</v>
      </c>
      <c r="L440">
        <v>0</v>
      </c>
      <c r="M440">
        <v>0</v>
      </c>
      <c r="N440">
        <v>2400</v>
      </c>
    </row>
    <row r="441" spans="1:14" x14ac:dyDescent="0.25">
      <c r="A441">
        <v>35.264288999999998</v>
      </c>
      <c r="B441" s="1">
        <f>DATE(2010,6,5) + TIME(6,20,34)</f>
        <v>40334.264282407406</v>
      </c>
      <c r="C441">
        <v>80</v>
      </c>
      <c r="D441">
        <v>79.959014893000003</v>
      </c>
      <c r="E441">
        <v>50</v>
      </c>
      <c r="F441">
        <v>14.999872207999999</v>
      </c>
      <c r="G441">
        <v>1336.651001</v>
      </c>
      <c r="H441">
        <v>1335.0168457</v>
      </c>
      <c r="I441">
        <v>1325.4987793</v>
      </c>
      <c r="J441">
        <v>1323.5081786999999</v>
      </c>
      <c r="K441">
        <v>2400</v>
      </c>
      <c r="L441">
        <v>0</v>
      </c>
      <c r="M441">
        <v>0</v>
      </c>
      <c r="N441">
        <v>2400</v>
      </c>
    </row>
    <row r="442" spans="1:14" x14ac:dyDescent="0.25">
      <c r="A442">
        <v>35.402095000000003</v>
      </c>
      <c r="B442" s="1">
        <f>DATE(2010,6,5) + TIME(9,39,1)</f>
        <v>40334.402094907404</v>
      </c>
      <c r="C442">
        <v>80</v>
      </c>
      <c r="D442">
        <v>79.959014893000003</v>
      </c>
      <c r="E442">
        <v>50</v>
      </c>
      <c r="F442">
        <v>14.999872207999999</v>
      </c>
      <c r="G442">
        <v>1336.6492920000001</v>
      </c>
      <c r="H442">
        <v>1335.0157471</v>
      </c>
      <c r="I442">
        <v>1325.4990233999999</v>
      </c>
      <c r="J442">
        <v>1323.5083007999999</v>
      </c>
      <c r="K442">
        <v>2400</v>
      </c>
      <c r="L442">
        <v>0</v>
      </c>
      <c r="M442">
        <v>0</v>
      </c>
      <c r="N442">
        <v>2400</v>
      </c>
    </row>
    <row r="443" spans="1:14" x14ac:dyDescent="0.25">
      <c r="A443">
        <v>35.539437</v>
      </c>
      <c r="B443" s="1">
        <f>DATE(2010,6,5) + TIME(12,56,47)</f>
        <v>40334.53943287037</v>
      </c>
      <c r="C443">
        <v>80</v>
      </c>
      <c r="D443">
        <v>79.959007263000004</v>
      </c>
      <c r="E443">
        <v>50</v>
      </c>
      <c r="F443">
        <v>14.999872207999999</v>
      </c>
      <c r="G443">
        <v>1336.6477050999999</v>
      </c>
      <c r="H443">
        <v>1335.0146483999999</v>
      </c>
      <c r="I443">
        <v>1325.4992675999999</v>
      </c>
      <c r="J443">
        <v>1323.5084228999999</v>
      </c>
      <c r="K443">
        <v>2400</v>
      </c>
      <c r="L443">
        <v>0</v>
      </c>
      <c r="M443">
        <v>0</v>
      </c>
      <c r="N443">
        <v>2400</v>
      </c>
    </row>
    <row r="444" spans="1:14" x14ac:dyDescent="0.25">
      <c r="A444">
        <v>35.676408000000002</v>
      </c>
      <c r="B444" s="1">
        <f>DATE(2010,6,5) + TIME(16,14,1)</f>
        <v>40334.676400462966</v>
      </c>
      <c r="C444">
        <v>80</v>
      </c>
      <c r="D444">
        <v>79.958999633999994</v>
      </c>
      <c r="E444">
        <v>50</v>
      </c>
      <c r="F444">
        <v>14.999873161</v>
      </c>
      <c r="G444">
        <v>1336.6461182</v>
      </c>
      <c r="H444">
        <v>1335.0135498</v>
      </c>
      <c r="I444">
        <v>1325.4993896000001</v>
      </c>
      <c r="J444">
        <v>1323.5085449000001</v>
      </c>
      <c r="K444">
        <v>2400</v>
      </c>
      <c r="L444">
        <v>0</v>
      </c>
      <c r="M444">
        <v>0</v>
      </c>
      <c r="N444">
        <v>2400</v>
      </c>
    </row>
    <row r="445" spans="1:14" x14ac:dyDescent="0.25">
      <c r="A445">
        <v>35.813099000000001</v>
      </c>
      <c r="B445" s="1">
        <f>DATE(2010,6,5) + TIME(19,30,51)</f>
        <v>40334.813090277778</v>
      </c>
      <c r="C445">
        <v>80</v>
      </c>
      <c r="D445">
        <v>79.958999633999994</v>
      </c>
      <c r="E445">
        <v>50</v>
      </c>
      <c r="F445">
        <v>14.999873161</v>
      </c>
      <c r="G445">
        <v>1336.6445312000001</v>
      </c>
      <c r="H445">
        <v>1335.0124512</v>
      </c>
      <c r="I445">
        <v>1325.4996338000001</v>
      </c>
      <c r="J445">
        <v>1323.5086670000001</v>
      </c>
      <c r="K445">
        <v>2400</v>
      </c>
      <c r="L445">
        <v>0</v>
      </c>
      <c r="M445">
        <v>0</v>
      </c>
      <c r="N445">
        <v>2400</v>
      </c>
    </row>
    <row r="446" spans="1:14" x14ac:dyDescent="0.25">
      <c r="A446">
        <v>35.949596999999997</v>
      </c>
      <c r="B446" s="1">
        <f>DATE(2010,6,5) + TIME(22,47,25)</f>
        <v>40334.949594907404</v>
      </c>
      <c r="C446">
        <v>80</v>
      </c>
      <c r="D446">
        <v>79.958992003999995</v>
      </c>
      <c r="E446">
        <v>50</v>
      </c>
      <c r="F446">
        <v>14.999873161</v>
      </c>
      <c r="G446">
        <v>1336.6429443</v>
      </c>
      <c r="H446">
        <v>1335.0113524999999</v>
      </c>
      <c r="I446">
        <v>1325.4997559000001</v>
      </c>
      <c r="J446">
        <v>1323.5087891000001</v>
      </c>
      <c r="K446">
        <v>2400</v>
      </c>
      <c r="L446">
        <v>0</v>
      </c>
      <c r="M446">
        <v>0</v>
      </c>
      <c r="N446">
        <v>2400</v>
      </c>
    </row>
    <row r="447" spans="1:14" x14ac:dyDescent="0.25">
      <c r="A447">
        <v>36.085988</v>
      </c>
      <c r="B447" s="1">
        <f>DATE(2010,6,6) + TIME(2,3,49)</f>
        <v>40335.0859837963</v>
      </c>
      <c r="C447">
        <v>80</v>
      </c>
      <c r="D447">
        <v>79.958992003999995</v>
      </c>
      <c r="E447">
        <v>50</v>
      </c>
      <c r="F447">
        <v>14.999874115000001</v>
      </c>
      <c r="G447">
        <v>1336.6413574000001</v>
      </c>
      <c r="H447">
        <v>1335.010376</v>
      </c>
      <c r="I447">
        <v>1325.5</v>
      </c>
      <c r="J447">
        <v>1323.5089111</v>
      </c>
      <c r="K447">
        <v>2400</v>
      </c>
      <c r="L447">
        <v>0</v>
      </c>
      <c r="M447">
        <v>0</v>
      </c>
      <c r="N447">
        <v>2400</v>
      </c>
    </row>
    <row r="448" spans="1:14" x14ac:dyDescent="0.25">
      <c r="A448">
        <v>36.222355999999998</v>
      </c>
      <c r="B448" s="1">
        <f>DATE(2010,6,6) + TIME(5,20,11)</f>
        <v>40335.222349537034</v>
      </c>
      <c r="C448">
        <v>80</v>
      </c>
      <c r="D448">
        <v>79.958984375</v>
      </c>
      <c r="E448">
        <v>50</v>
      </c>
      <c r="F448">
        <v>14.999874115000001</v>
      </c>
      <c r="G448">
        <v>1336.6397704999999</v>
      </c>
      <c r="H448">
        <v>1335.0092772999999</v>
      </c>
      <c r="I448">
        <v>1325.5002440999999</v>
      </c>
      <c r="J448">
        <v>1323.5090332</v>
      </c>
      <c r="K448">
        <v>2400</v>
      </c>
      <c r="L448">
        <v>0</v>
      </c>
      <c r="M448">
        <v>0</v>
      </c>
      <c r="N448">
        <v>2400</v>
      </c>
    </row>
    <row r="449" spans="1:14" x14ac:dyDescent="0.25">
      <c r="A449">
        <v>36.358724000000002</v>
      </c>
      <c r="B449" s="1">
        <f>DATE(2010,6,6) + TIME(8,36,33)</f>
        <v>40335.358715277776</v>
      </c>
      <c r="C449">
        <v>80</v>
      </c>
      <c r="D449">
        <v>79.958984375</v>
      </c>
      <c r="E449">
        <v>50</v>
      </c>
      <c r="F449">
        <v>14.999874115000001</v>
      </c>
      <c r="G449">
        <v>1336.6383057</v>
      </c>
      <c r="H449">
        <v>1335.0083007999999</v>
      </c>
      <c r="I449">
        <v>1325.5003661999999</v>
      </c>
      <c r="J449">
        <v>1323.5091553</v>
      </c>
      <c r="K449">
        <v>2400</v>
      </c>
      <c r="L449">
        <v>0</v>
      </c>
      <c r="M449">
        <v>0</v>
      </c>
      <c r="N449">
        <v>2400</v>
      </c>
    </row>
    <row r="450" spans="1:14" x14ac:dyDescent="0.25">
      <c r="A450">
        <v>36.495092999999997</v>
      </c>
      <c r="B450" s="1">
        <f>DATE(2010,6,6) + TIME(11,52,55)</f>
        <v>40335.495081018518</v>
      </c>
      <c r="C450">
        <v>80</v>
      </c>
      <c r="D450">
        <v>79.958984375</v>
      </c>
      <c r="E450">
        <v>50</v>
      </c>
      <c r="F450">
        <v>14.999874115000001</v>
      </c>
      <c r="G450">
        <v>1336.6367187999999</v>
      </c>
      <c r="H450">
        <v>1335.0072021000001</v>
      </c>
      <c r="I450">
        <v>1325.5006103999999</v>
      </c>
      <c r="J450">
        <v>1323.5092772999999</v>
      </c>
      <c r="K450">
        <v>2400</v>
      </c>
      <c r="L450">
        <v>0</v>
      </c>
      <c r="M450">
        <v>0</v>
      </c>
      <c r="N450">
        <v>2400</v>
      </c>
    </row>
    <row r="451" spans="1:14" x14ac:dyDescent="0.25">
      <c r="A451">
        <v>36.631461000000002</v>
      </c>
      <c r="B451" s="1">
        <f>DATE(2010,6,6) + TIME(15,9,18)</f>
        <v>40335.631458333337</v>
      </c>
      <c r="C451">
        <v>80</v>
      </c>
      <c r="D451">
        <v>79.958976746000005</v>
      </c>
      <c r="E451">
        <v>50</v>
      </c>
      <c r="F451">
        <v>14.999875069</v>
      </c>
      <c r="G451">
        <v>1336.6351318</v>
      </c>
      <c r="H451">
        <v>1335.0062256000001</v>
      </c>
      <c r="I451">
        <v>1325.5007324000001</v>
      </c>
      <c r="J451">
        <v>1323.5093993999999</v>
      </c>
      <c r="K451">
        <v>2400</v>
      </c>
      <c r="L451">
        <v>0</v>
      </c>
      <c r="M451">
        <v>0</v>
      </c>
      <c r="N451">
        <v>2400</v>
      </c>
    </row>
    <row r="452" spans="1:14" x14ac:dyDescent="0.25">
      <c r="A452">
        <v>36.767828999999999</v>
      </c>
      <c r="B452" s="1">
        <f>DATE(2010,6,6) + TIME(18,25,40)</f>
        <v>40335.767824074072</v>
      </c>
      <c r="C452">
        <v>80</v>
      </c>
      <c r="D452">
        <v>79.958976746000005</v>
      </c>
      <c r="E452">
        <v>50</v>
      </c>
      <c r="F452">
        <v>14.999875069</v>
      </c>
      <c r="G452">
        <v>1336.6336670000001</v>
      </c>
      <c r="H452">
        <v>1335.0051269999999</v>
      </c>
      <c r="I452">
        <v>1325.5009766000001</v>
      </c>
      <c r="J452">
        <v>1323.5095214999999</v>
      </c>
      <c r="K452">
        <v>2400</v>
      </c>
      <c r="L452">
        <v>0</v>
      </c>
      <c r="M452">
        <v>0</v>
      </c>
      <c r="N452">
        <v>2400</v>
      </c>
    </row>
    <row r="453" spans="1:14" x14ac:dyDescent="0.25">
      <c r="A453">
        <v>36.904197000000003</v>
      </c>
      <c r="B453" s="1">
        <f>DATE(2010,6,6) + TIME(21,42,2)</f>
        <v>40335.904189814813</v>
      </c>
      <c r="C453">
        <v>80</v>
      </c>
      <c r="D453">
        <v>79.958969116000006</v>
      </c>
      <c r="E453">
        <v>50</v>
      </c>
      <c r="F453">
        <v>14.999875069</v>
      </c>
      <c r="G453">
        <v>1336.6322021000001</v>
      </c>
      <c r="H453">
        <v>1335.0041504000001</v>
      </c>
      <c r="I453">
        <v>1325.5012207</v>
      </c>
      <c r="J453">
        <v>1323.5096435999999</v>
      </c>
      <c r="K453">
        <v>2400</v>
      </c>
      <c r="L453">
        <v>0</v>
      </c>
      <c r="M453">
        <v>0</v>
      </c>
      <c r="N453">
        <v>2400</v>
      </c>
    </row>
    <row r="454" spans="1:14" x14ac:dyDescent="0.25">
      <c r="A454">
        <v>37.040565999999998</v>
      </c>
      <c r="B454" s="1">
        <f>DATE(2010,6,7) + TIME(0,58,24)</f>
        <v>40336.040555555555</v>
      </c>
      <c r="C454">
        <v>80</v>
      </c>
      <c r="D454">
        <v>79.958969116000006</v>
      </c>
      <c r="E454">
        <v>50</v>
      </c>
      <c r="F454">
        <v>14.999875069</v>
      </c>
      <c r="G454">
        <v>1336.6306152</v>
      </c>
      <c r="H454">
        <v>1335.0031738</v>
      </c>
      <c r="I454">
        <v>1325.5013428</v>
      </c>
      <c r="J454">
        <v>1323.5097656</v>
      </c>
      <c r="K454">
        <v>2400</v>
      </c>
      <c r="L454">
        <v>0</v>
      </c>
      <c r="M454">
        <v>0</v>
      </c>
      <c r="N454">
        <v>2400</v>
      </c>
    </row>
    <row r="455" spans="1:14" x14ac:dyDescent="0.25">
      <c r="A455">
        <v>37.313302</v>
      </c>
      <c r="B455" s="1">
        <f>DATE(2010,6,7) + TIME(7,31,9)</f>
        <v>40336.313298611109</v>
      </c>
      <c r="C455">
        <v>80</v>
      </c>
      <c r="D455">
        <v>79.958969116000006</v>
      </c>
      <c r="E455">
        <v>50</v>
      </c>
      <c r="F455">
        <v>14.999876022</v>
      </c>
      <c r="G455">
        <v>1336.6291504000001</v>
      </c>
      <c r="H455">
        <v>1335.0021973</v>
      </c>
      <c r="I455">
        <v>1325.5015868999999</v>
      </c>
      <c r="J455">
        <v>1323.5098877</v>
      </c>
      <c r="K455">
        <v>2400</v>
      </c>
      <c r="L455">
        <v>0</v>
      </c>
      <c r="M455">
        <v>0</v>
      </c>
      <c r="N455">
        <v>2400</v>
      </c>
    </row>
    <row r="456" spans="1:14" x14ac:dyDescent="0.25">
      <c r="A456">
        <v>37.586640000000003</v>
      </c>
      <c r="B456" s="1">
        <f>DATE(2010,6,7) + TIME(14,4,45)</f>
        <v>40336.586631944447</v>
      </c>
      <c r="C456">
        <v>80</v>
      </c>
      <c r="D456">
        <v>79.958969116000006</v>
      </c>
      <c r="E456">
        <v>50</v>
      </c>
      <c r="F456">
        <v>14.999876022</v>
      </c>
      <c r="G456">
        <v>1336.6262207</v>
      </c>
      <c r="H456">
        <v>1335.0001221</v>
      </c>
      <c r="I456">
        <v>1325.5019531</v>
      </c>
      <c r="J456">
        <v>1323.5101318</v>
      </c>
      <c r="K456">
        <v>2400</v>
      </c>
      <c r="L456">
        <v>0</v>
      </c>
      <c r="M456">
        <v>0</v>
      </c>
      <c r="N456">
        <v>2400</v>
      </c>
    </row>
    <row r="457" spans="1:14" x14ac:dyDescent="0.25">
      <c r="A457">
        <v>37.863247000000001</v>
      </c>
      <c r="B457" s="1">
        <f>DATE(2010,6,7) + TIME(20,43,4)</f>
        <v>40336.863240740742</v>
      </c>
      <c r="C457">
        <v>80</v>
      </c>
      <c r="D457">
        <v>79.958961486999996</v>
      </c>
      <c r="E457">
        <v>50</v>
      </c>
      <c r="F457">
        <v>14.999876975999999</v>
      </c>
      <c r="G457">
        <v>1336.6231689000001</v>
      </c>
      <c r="H457">
        <v>1334.9981689000001</v>
      </c>
      <c r="I457">
        <v>1325.5024414</v>
      </c>
      <c r="J457">
        <v>1323.510376</v>
      </c>
      <c r="K457">
        <v>2400</v>
      </c>
      <c r="L457">
        <v>0</v>
      </c>
      <c r="M457">
        <v>0</v>
      </c>
      <c r="N457">
        <v>2400</v>
      </c>
    </row>
    <row r="458" spans="1:14" x14ac:dyDescent="0.25">
      <c r="A458">
        <v>38.143757000000001</v>
      </c>
      <c r="B458" s="1">
        <f>DATE(2010,6,8) + TIME(3,27,0)</f>
        <v>40337.143750000003</v>
      </c>
      <c r="C458">
        <v>80</v>
      </c>
      <c r="D458">
        <v>79.958961486999996</v>
      </c>
      <c r="E458">
        <v>50</v>
      </c>
      <c r="F458">
        <v>14.999876975999999</v>
      </c>
      <c r="G458">
        <v>1336.6202393000001</v>
      </c>
      <c r="H458">
        <v>1334.9962158000001</v>
      </c>
      <c r="I458">
        <v>1325.5028076000001</v>
      </c>
      <c r="J458">
        <v>1323.5106201000001</v>
      </c>
      <c r="K458">
        <v>2400</v>
      </c>
      <c r="L458">
        <v>0</v>
      </c>
      <c r="M458">
        <v>0</v>
      </c>
      <c r="N458">
        <v>2400</v>
      </c>
    </row>
    <row r="459" spans="1:14" x14ac:dyDescent="0.25">
      <c r="A459">
        <v>38.428862000000002</v>
      </c>
      <c r="B459" s="1">
        <f>DATE(2010,6,8) + TIME(10,17,33)</f>
        <v>40337.428854166668</v>
      </c>
      <c r="C459">
        <v>80</v>
      </c>
      <c r="D459">
        <v>79.958953856999997</v>
      </c>
      <c r="E459">
        <v>50</v>
      </c>
      <c r="F459">
        <v>14.99987793</v>
      </c>
      <c r="G459">
        <v>1336.6171875</v>
      </c>
      <c r="H459">
        <v>1334.9941406</v>
      </c>
      <c r="I459">
        <v>1325.5032959</v>
      </c>
      <c r="J459">
        <v>1323.5109863</v>
      </c>
      <c r="K459">
        <v>2400</v>
      </c>
      <c r="L459">
        <v>0</v>
      </c>
      <c r="M459">
        <v>0</v>
      </c>
      <c r="N459">
        <v>2400</v>
      </c>
    </row>
    <row r="460" spans="1:14" x14ac:dyDescent="0.25">
      <c r="A460">
        <v>38.719301000000002</v>
      </c>
      <c r="B460" s="1">
        <f>DATE(2010,6,8) + TIME(17,15,47)</f>
        <v>40337.719293981485</v>
      </c>
      <c r="C460">
        <v>80</v>
      </c>
      <c r="D460">
        <v>79.958953856999997</v>
      </c>
      <c r="E460">
        <v>50</v>
      </c>
      <c r="F460">
        <v>14.99987793</v>
      </c>
      <c r="G460">
        <v>1336.6142577999999</v>
      </c>
      <c r="H460">
        <v>1334.9921875</v>
      </c>
      <c r="I460">
        <v>1325.5036620999999</v>
      </c>
      <c r="J460">
        <v>1323.5112305</v>
      </c>
      <c r="K460">
        <v>2400</v>
      </c>
      <c r="L460">
        <v>0</v>
      </c>
      <c r="M460">
        <v>0</v>
      </c>
      <c r="N460">
        <v>2400</v>
      </c>
    </row>
    <row r="461" spans="1:14" x14ac:dyDescent="0.25">
      <c r="A461">
        <v>39.014443999999997</v>
      </c>
      <c r="B461" s="1">
        <f>DATE(2010,6,9) + TIME(0,20,47)</f>
        <v>40338.014432870368</v>
      </c>
      <c r="C461">
        <v>80</v>
      </c>
      <c r="D461">
        <v>79.958946228000002</v>
      </c>
      <c r="E461">
        <v>50</v>
      </c>
      <c r="F461">
        <v>14.999878882999999</v>
      </c>
      <c r="G461">
        <v>1336.6112060999999</v>
      </c>
      <c r="H461">
        <v>1334.9901123</v>
      </c>
      <c r="I461">
        <v>1325.5041504000001</v>
      </c>
      <c r="J461">
        <v>1323.5114745999999</v>
      </c>
      <c r="K461">
        <v>2400</v>
      </c>
      <c r="L461">
        <v>0</v>
      </c>
      <c r="M461">
        <v>0</v>
      </c>
      <c r="N461">
        <v>2400</v>
      </c>
    </row>
    <row r="462" spans="1:14" x14ac:dyDescent="0.25">
      <c r="A462">
        <v>39.162906999999997</v>
      </c>
      <c r="B462" s="1">
        <f>DATE(2010,6,9) + TIME(3,54,35)</f>
        <v>40338.162905092591</v>
      </c>
      <c r="C462">
        <v>80</v>
      </c>
      <c r="D462">
        <v>79.958938599000007</v>
      </c>
      <c r="E462">
        <v>50</v>
      </c>
      <c r="F462">
        <v>14.999878882999999</v>
      </c>
      <c r="G462">
        <v>1336.6081543</v>
      </c>
      <c r="H462">
        <v>1334.9881591999999</v>
      </c>
      <c r="I462">
        <v>1325.5045166</v>
      </c>
      <c r="J462">
        <v>1323.5117187999999</v>
      </c>
      <c r="K462">
        <v>2400</v>
      </c>
      <c r="L462">
        <v>0</v>
      </c>
      <c r="M462">
        <v>0</v>
      </c>
      <c r="N462">
        <v>2400</v>
      </c>
    </row>
    <row r="463" spans="1:14" x14ac:dyDescent="0.25">
      <c r="A463">
        <v>39.311368999999999</v>
      </c>
      <c r="B463" s="1">
        <f>DATE(2010,6,9) + TIME(7,28,22)</f>
        <v>40338.311365740738</v>
      </c>
      <c r="C463">
        <v>80</v>
      </c>
      <c r="D463">
        <v>79.958938599000007</v>
      </c>
      <c r="E463">
        <v>50</v>
      </c>
      <c r="F463">
        <v>14.999879837</v>
      </c>
      <c r="G463">
        <v>1336.6066894999999</v>
      </c>
      <c r="H463">
        <v>1334.9870605000001</v>
      </c>
      <c r="I463">
        <v>1325.5047606999999</v>
      </c>
      <c r="J463">
        <v>1323.5118408000001</v>
      </c>
      <c r="K463">
        <v>2400</v>
      </c>
      <c r="L463">
        <v>0</v>
      </c>
      <c r="M463">
        <v>0</v>
      </c>
      <c r="N463">
        <v>2400</v>
      </c>
    </row>
    <row r="464" spans="1:14" x14ac:dyDescent="0.25">
      <c r="A464">
        <v>39.459831000000001</v>
      </c>
      <c r="B464" s="1">
        <f>DATE(2010,6,9) + TIME(11,2,9)</f>
        <v>40338.459826388891</v>
      </c>
      <c r="C464">
        <v>80</v>
      </c>
      <c r="D464">
        <v>79.958930968999994</v>
      </c>
      <c r="E464">
        <v>50</v>
      </c>
      <c r="F464">
        <v>14.999879837</v>
      </c>
      <c r="G464">
        <v>1336.6051024999999</v>
      </c>
      <c r="H464">
        <v>1334.9860839999999</v>
      </c>
      <c r="I464">
        <v>1325.5050048999999</v>
      </c>
      <c r="J464">
        <v>1323.5120850000001</v>
      </c>
      <c r="K464">
        <v>2400</v>
      </c>
      <c r="L464">
        <v>0</v>
      </c>
      <c r="M464">
        <v>0</v>
      </c>
      <c r="N464">
        <v>2400</v>
      </c>
    </row>
    <row r="465" spans="1:14" x14ac:dyDescent="0.25">
      <c r="A465">
        <v>39.60819</v>
      </c>
      <c r="B465" s="1">
        <f>DATE(2010,6,9) + TIME(14,35,47)</f>
        <v>40338.608182870368</v>
      </c>
      <c r="C465">
        <v>80</v>
      </c>
      <c r="D465">
        <v>79.958930968999994</v>
      </c>
      <c r="E465">
        <v>50</v>
      </c>
      <c r="F465">
        <v>14.999879837</v>
      </c>
      <c r="G465">
        <v>1336.6036377</v>
      </c>
      <c r="H465">
        <v>1334.9851074000001</v>
      </c>
      <c r="I465">
        <v>1325.505249</v>
      </c>
      <c r="J465">
        <v>1323.512207</v>
      </c>
      <c r="K465">
        <v>2400</v>
      </c>
      <c r="L465">
        <v>0</v>
      </c>
      <c r="M465">
        <v>0</v>
      </c>
      <c r="N465">
        <v>2400</v>
      </c>
    </row>
    <row r="466" spans="1:14" x14ac:dyDescent="0.25">
      <c r="A466">
        <v>39.756121999999998</v>
      </c>
      <c r="B466" s="1">
        <f>DATE(2010,6,9) + TIME(18,8,48)</f>
        <v>40338.756111111114</v>
      </c>
      <c r="C466">
        <v>80</v>
      </c>
      <c r="D466">
        <v>79.958930968999994</v>
      </c>
      <c r="E466">
        <v>50</v>
      </c>
      <c r="F466">
        <v>14.999880791000001</v>
      </c>
      <c r="G466">
        <v>1336.6021728999999</v>
      </c>
      <c r="H466">
        <v>1334.9840088000001</v>
      </c>
      <c r="I466">
        <v>1325.5054932</v>
      </c>
      <c r="J466">
        <v>1323.5123291</v>
      </c>
      <c r="K466">
        <v>2400</v>
      </c>
      <c r="L466">
        <v>0</v>
      </c>
      <c r="M466">
        <v>0</v>
      </c>
      <c r="N466">
        <v>2400</v>
      </c>
    </row>
    <row r="467" spans="1:14" x14ac:dyDescent="0.25">
      <c r="A467">
        <v>39.903727000000003</v>
      </c>
      <c r="B467" s="1">
        <f>DATE(2010,6,9) + TIME(21,41,21)</f>
        <v>40338.903715277775</v>
      </c>
      <c r="C467">
        <v>80</v>
      </c>
      <c r="D467">
        <v>79.958923339999998</v>
      </c>
      <c r="E467">
        <v>50</v>
      </c>
      <c r="F467">
        <v>14.999880791000001</v>
      </c>
      <c r="G467">
        <v>1336.6007079999999</v>
      </c>
      <c r="H467">
        <v>1334.9830322</v>
      </c>
      <c r="I467">
        <v>1325.5057373</v>
      </c>
      <c r="J467">
        <v>1323.5124512</v>
      </c>
      <c r="K467">
        <v>2400</v>
      </c>
      <c r="L467">
        <v>0</v>
      </c>
      <c r="M467">
        <v>0</v>
      </c>
      <c r="N467">
        <v>2400</v>
      </c>
    </row>
    <row r="468" spans="1:14" x14ac:dyDescent="0.25">
      <c r="A468">
        <v>40.051099999999998</v>
      </c>
      <c r="B468" s="1">
        <f>DATE(2010,6,10) + TIME(1,13,35)</f>
        <v>40339.051099537035</v>
      </c>
      <c r="C468">
        <v>80</v>
      </c>
      <c r="D468">
        <v>79.958923339999998</v>
      </c>
      <c r="E468">
        <v>50</v>
      </c>
      <c r="F468">
        <v>14.999880791000001</v>
      </c>
      <c r="G468">
        <v>1336.5992432</v>
      </c>
      <c r="H468">
        <v>1334.9820557</v>
      </c>
      <c r="I468">
        <v>1325.5059814000001</v>
      </c>
      <c r="J468">
        <v>1323.5125731999999</v>
      </c>
      <c r="K468">
        <v>2400</v>
      </c>
      <c r="L468">
        <v>0</v>
      </c>
      <c r="M468">
        <v>0</v>
      </c>
      <c r="N468">
        <v>2400</v>
      </c>
    </row>
    <row r="469" spans="1:14" x14ac:dyDescent="0.25">
      <c r="A469">
        <v>40.198338</v>
      </c>
      <c r="B469" s="1">
        <f>DATE(2010,6,10) + TIME(4,45,36)</f>
        <v>40339.198333333334</v>
      </c>
      <c r="C469">
        <v>80</v>
      </c>
      <c r="D469">
        <v>79.958923339999998</v>
      </c>
      <c r="E469">
        <v>50</v>
      </c>
      <c r="F469">
        <v>14.999880791000001</v>
      </c>
      <c r="G469">
        <v>1336.5977783000001</v>
      </c>
      <c r="H469">
        <v>1334.9810791</v>
      </c>
      <c r="I469">
        <v>1325.5062256000001</v>
      </c>
      <c r="J469">
        <v>1323.5128173999999</v>
      </c>
      <c r="K469">
        <v>2400</v>
      </c>
      <c r="L469">
        <v>0</v>
      </c>
      <c r="M469">
        <v>0</v>
      </c>
      <c r="N469">
        <v>2400</v>
      </c>
    </row>
    <row r="470" spans="1:14" x14ac:dyDescent="0.25">
      <c r="A470">
        <v>40.345531999999999</v>
      </c>
      <c r="B470" s="1">
        <f>DATE(2010,6,10) + TIME(8,17,33)</f>
        <v>40339.345520833333</v>
      </c>
      <c r="C470">
        <v>80</v>
      </c>
      <c r="D470">
        <v>79.958923339999998</v>
      </c>
      <c r="E470">
        <v>50</v>
      </c>
      <c r="F470">
        <v>14.999881744</v>
      </c>
      <c r="G470">
        <v>1336.5963135</v>
      </c>
      <c r="H470">
        <v>1334.9801024999999</v>
      </c>
      <c r="I470">
        <v>1325.5063477000001</v>
      </c>
      <c r="J470">
        <v>1323.5129394999999</v>
      </c>
      <c r="K470">
        <v>2400</v>
      </c>
      <c r="L470">
        <v>0</v>
      </c>
      <c r="M470">
        <v>0</v>
      </c>
      <c r="N470">
        <v>2400</v>
      </c>
    </row>
    <row r="471" spans="1:14" x14ac:dyDescent="0.25">
      <c r="A471">
        <v>40.492725999999998</v>
      </c>
      <c r="B471" s="1">
        <f>DATE(2010,6,10) + TIME(11,49,31)</f>
        <v>40339.492719907408</v>
      </c>
      <c r="C471">
        <v>80</v>
      </c>
      <c r="D471">
        <v>79.958915709999999</v>
      </c>
      <c r="E471">
        <v>50</v>
      </c>
      <c r="F471">
        <v>14.999881744</v>
      </c>
      <c r="G471">
        <v>1336.5948486</v>
      </c>
      <c r="H471">
        <v>1334.979126</v>
      </c>
      <c r="I471">
        <v>1325.5065918</v>
      </c>
      <c r="J471">
        <v>1323.5130615</v>
      </c>
      <c r="K471">
        <v>2400</v>
      </c>
      <c r="L471">
        <v>0</v>
      </c>
      <c r="M471">
        <v>0</v>
      </c>
      <c r="N471">
        <v>2400</v>
      </c>
    </row>
    <row r="472" spans="1:14" x14ac:dyDescent="0.25">
      <c r="A472">
        <v>40.639919999999996</v>
      </c>
      <c r="B472" s="1">
        <f>DATE(2010,6,10) + TIME(15,21,29)</f>
        <v>40339.639918981484</v>
      </c>
      <c r="C472">
        <v>80</v>
      </c>
      <c r="D472">
        <v>79.958915709999999</v>
      </c>
      <c r="E472">
        <v>50</v>
      </c>
      <c r="F472">
        <v>14.999881744</v>
      </c>
      <c r="G472">
        <v>1336.5933838000001</v>
      </c>
      <c r="H472">
        <v>1334.9781493999999</v>
      </c>
      <c r="I472">
        <v>1325.5068358999999</v>
      </c>
      <c r="J472">
        <v>1323.5131836</v>
      </c>
      <c r="K472">
        <v>2400</v>
      </c>
      <c r="L472">
        <v>0</v>
      </c>
      <c r="M472">
        <v>0</v>
      </c>
      <c r="N472">
        <v>2400</v>
      </c>
    </row>
    <row r="473" spans="1:14" x14ac:dyDescent="0.25">
      <c r="A473">
        <v>40.787114000000003</v>
      </c>
      <c r="B473" s="1">
        <f>DATE(2010,6,10) + TIME(18,53,26)</f>
        <v>40339.787106481483</v>
      </c>
      <c r="C473">
        <v>80</v>
      </c>
      <c r="D473">
        <v>79.958915709999999</v>
      </c>
      <c r="E473">
        <v>50</v>
      </c>
      <c r="F473">
        <v>14.999882698</v>
      </c>
      <c r="G473">
        <v>1336.5920410000001</v>
      </c>
      <c r="H473">
        <v>1334.9771728999999</v>
      </c>
      <c r="I473">
        <v>1325.5070800999999</v>
      </c>
      <c r="J473">
        <v>1323.5133057</v>
      </c>
      <c r="K473">
        <v>2400</v>
      </c>
      <c r="L473">
        <v>0</v>
      </c>
      <c r="M473">
        <v>0</v>
      </c>
      <c r="N473">
        <v>2400</v>
      </c>
    </row>
    <row r="474" spans="1:14" x14ac:dyDescent="0.25">
      <c r="A474">
        <v>40.934308999999999</v>
      </c>
      <c r="B474" s="1">
        <f>DATE(2010,6,10) + TIME(22,25,24)</f>
        <v>40339.934305555558</v>
      </c>
      <c r="C474">
        <v>80</v>
      </c>
      <c r="D474">
        <v>79.958915709999999</v>
      </c>
      <c r="E474">
        <v>50</v>
      </c>
      <c r="F474">
        <v>14.999882698</v>
      </c>
      <c r="G474">
        <v>1336.5905762</v>
      </c>
      <c r="H474">
        <v>1334.9763184000001</v>
      </c>
      <c r="I474">
        <v>1325.5073242000001</v>
      </c>
      <c r="J474">
        <v>1323.5134277</v>
      </c>
      <c r="K474">
        <v>2400</v>
      </c>
      <c r="L474">
        <v>0</v>
      </c>
      <c r="M474">
        <v>0</v>
      </c>
      <c r="N474">
        <v>2400</v>
      </c>
    </row>
    <row r="475" spans="1:14" x14ac:dyDescent="0.25">
      <c r="A475">
        <v>41.081502999999998</v>
      </c>
      <c r="B475" s="1">
        <f>DATE(2010,6,11) + TIME(1,57,21)</f>
        <v>40340.081493055557</v>
      </c>
      <c r="C475">
        <v>80</v>
      </c>
      <c r="D475">
        <v>79.958915709999999</v>
      </c>
      <c r="E475">
        <v>50</v>
      </c>
      <c r="F475">
        <v>14.999882698</v>
      </c>
      <c r="G475">
        <v>1336.5892334</v>
      </c>
      <c r="H475">
        <v>1334.9753418</v>
      </c>
      <c r="I475">
        <v>1325.5075684000001</v>
      </c>
      <c r="J475">
        <v>1323.5136719</v>
      </c>
      <c r="K475">
        <v>2400</v>
      </c>
      <c r="L475">
        <v>0</v>
      </c>
      <c r="M475">
        <v>0</v>
      </c>
      <c r="N475">
        <v>2400</v>
      </c>
    </row>
    <row r="476" spans="1:14" x14ac:dyDescent="0.25">
      <c r="A476">
        <v>41.228696999999997</v>
      </c>
      <c r="B476" s="1">
        <f>DATE(2010,6,11) + TIME(5,29,19)</f>
        <v>40340.228692129633</v>
      </c>
      <c r="C476">
        <v>80</v>
      </c>
      <c r="D476">
        <v>79.958908081000004</v>
      </c>
      <c r="E476">
        <v>50</v>
      </c>
      <c r="F476">
        <v>14.999882698</v>
      </c>
      <c r="G476">
        <v>1336.5877685999999</v>
      </c>
      <c r="H476">
        <v>1334.9743652</v>
      </c>
      <c r="I476">
        <v>1325.5078125</v>
      </c>
      <c r="J476">
        <v>1323.5137939000001</v>
      </c>
      <c r="K476">
        <v>2400</v>
      </c>
      <c r="L476">
        <v>0</v>
      </c>
      <c r="M476">
        <v>0</v>
      </c>
      <c r="N476">
        <v>2400</v>
      </c>
    </row>
    <row r="477" spans="1:14" x14ac:dyDescent="0.25">
      <c r="A477">
        <v>41.523085000000002</v>
      </c>
      <c r="B477" s="1">
        <f>DATE(2010,6,11) + TIME(12,33,14)</f>
        <v>40340.523078703707</v>
      </c>
      <c r="C477">
        <v>80</v>
      </c>
      <c r="D477">
        <v>79.958915709999999</v>
      </c>
      <c r="E477">
        <v>50</v>
      </c>
      <c r="F477">
        <v>14.999883651999999</v>
      </c>
      <c r="G477">
        <v>1336.5864257999999</v>
      </c>
      <c r="H477">
        <v>1334.9735106999999</v>
      </c>
      <c r="I477">
        <v>1325.5080565999999</v>
      </c>
      <c r="J477">
        <v>1323.5139160000001</v>
      </c>
      <c r="K477">
        <v>2400</v>
      </c>
      <c r="L477">
        <v>0</v>
      </c>
      <c r="M477">
        <v>0</v>
      </c>
      <c r="N477">
        <v>2400</v>
      </c>
    </row>
    <row r="478" spans="1:14" x14ac:dyDescent="0.25">
      <c r="A478">
        <v>41.818016</v>
      </c>
      <c r="B478" s="1">
        <f>DATE(2010,6,11) + TIME(19,37,56)</f>
        <v>40340.818009259259</v>
      </c>
      <c r="C478">
        <v>80</v>
      </c>
      <c r="D478">
        <v>79.958915709999999</v>
      </c>
      <c r="E478">
        <v>50</v>
      </c>
      <c r="F478">
        <v>14.999883651999999</v>
      </c>
      <c r="G478">
        <v>1336.5836182</v>
      </c>
      <c r="H478">
        <v>1334.9715576000001</v>
      </c>
      <c r="I478">
        <v>1325.5085449000001</v>
      </c>
      <c r="J478">
        <v>1323.5142822</v>
      </c>
      <c r="K478">
        <v>2400</v>
      </c>
      <c r="L478">
        <v>0</v>
      </c>
      <c r="M478">
        <v>0</v>
      </c>
      <c r="N478">
        <v>2400</v>
      </c>
    </row>
    <row r="479" spans="1:14" x14ac:dyDescent="0.25">
      <c r="A479">
        <v>42.116810999999998</v>
      </c>
      <c r="B479" s="1">
        <f>DATE(2010,6,12) + TIME(2,48,12)</f>
        <v>40341.116805555554</v>
      </c>
      <c r="C479">
        <v>80</v>
      </c>
      <c r="D479">
        <v>79.958915709999999</v>
      </c>
      <c r="E479">
        <v>50</v>
      </c>
      <c r="F479">
        <v>14.999884605</v>
      </c>
      <c r="G479">
        <v>1336.5809326000001</v>
      </c>
      <c r="H479">
        <v>1334.9697266000001</v>
      </c>
      <c r="I479">
        <v>1325.5090332</v>
      </c>
      <c r="J479">
        <v>1323.5145264</v>
      </c>
      <c r="K479">
        <v>2400</v>
      </c>
      <c r="L479">
        <v>0</v>
      </c>
      <c r="M479">
        <v>0</v>
      </c>
      <c r="N479">
        <v>2400</v>
      </c>
    </row>
    <row r="480" spans="1:14" x14ac:dyDescent="0.25">
      <c r="A480">
        <v>42.420178</v>
      </c>
      <c r="B480" s="1">
        <f>DATE(2010,6,12) + TIME(10,5,3)</f>
        <v>40341.420173611114</v>
      </c>
      <c r="C480">
        <v>80</v>
      </c>
      <c r="D480">
        <v>79.958915709999999</v>
      </c>
      <c r="E480">
        <v>50</v>
      </c>
      <c r="F480">
        <v>14.999884605</v>
      </c>
      <c r="G480">
        <v>1336.578125</v>
      </c>
      <c r="H480">
        <v>1334.9678954999999</v>
      </c>
      <c r="I480">
        <v>1325.5095214999999</v>
      </c>
      <c r="J480">
        <v>1323.5147704999999</v>
      </c>
      <c r="K480">
        <v>2400</v>
      </c>
      <c r="L480">
        <v>0</v>
      </c>
      <c r="M480">
        <v>0</v>
      </c>
      <c r="N480">
        <v>2400</v>
      </c>
    </row>
    <row r="481" spans="1:14" x14ac:dyDescent="0.25">
      <c r="A481">
        <v>42.728900000000003</v>
      </c>
      <c r="B481" s="1">
        <f>DATE(2010,6,12) + TIME(17,29,36)</f>
        <v>40341.728888888887</v>
      </c>
      <c r="C481">
        <v>80</v>
      </c>
      <c r="D481">
        <v>79.958915709999999</v>
      </c>
      <c r="E481">
        <v>50</v>
      </c>
      <c r="F481">
        <v>14.999885559000001</v>
      </c>
      <c r="G481">
        <v>1336.5753173999999</v>
      </c>
      <c r="H481">
        <v>1334.9660644999999</v>
      </c>
      <c r="I481">
        <v>1325.5100098</v>
      </c>
      <c r="J481">
        <v>1323.5151367000001</v>
      </c>
      <c r="K481">
        <v>2400</v>
      </c>
      <c r="L481">
        <v>0</v>
      </c>
      <c r="M481">
        <v>0</v>
      </c>
      <c r="N481">
        <v>2400</v>
      </c>
    </row>
    <row r="482" spans="1:14" x14ac:dyDescent="0.25">
      <c r="A482">
        <v>43.042845999999997</v>
      </c>
      <c r="B482" s="1">
        <f>DATE(2010,6,13) + TIME(1,1,41)</f>
        <v>40342.04283564815</v>
      </c>
      <c r="C482">
        <v>80</v>
      </c>
      <c r="D482">
        <v>79.958915709999999</v>
      </c>
      <c r="E482">
        <v>50</v>
      </c>
      <c r="F482">
        <v>14.999886513</v>
      </c>
      <c r="G482">
        <v>1336.5726318</v>
      </c>
      <c r="H482">
        <v>1334.9642334</v>
      </c>
      <c r="I482">
        <v>1325.5104980000001</v>
      </c>
      <c r="J482">
        <v>1323.5155029</v>
      </c>
      <c r="K482">
        <v>2400</v>
      </c>
      <c r="L482">
        <v>0</v>
      </c>
      <c r="M482">
        <v>0</v>
      </c>
      <c r="N482">
        <v>2400</v>
      </c>
    </row>
    <row r="483" spans="1:14" x14ac:dyDescent="0.25">
      <c r="A483">
        <v>43.360646000000003</v>
      </c>
      <c r="B483" s="1">
        <f>DATE(2010,6,13) + TIME(8,39,19)</f>
        <v>40342.360636574071</v>
      </c>
      <c r="C483">
        <v>80</v>
      </c>
      <c r="D483">
        <v>79.958915709999999</v>
      </c>
      <c r="E483">
        <v>50</v>
      </c>
      <c r="F483">
        <v>14.999886513</v>
      </c>
      <c r="G483">
        <v>1336.5698242000001</v>
      </c>
      <c r="H483">
        <v>1334.9622803</v>
      </c>
      <c r="I483">
        <v>1325.5109863</v>
      </c>
      <c r="J483">
        <v>1323.5157471</v>
      </c>
      <c r="K483">
        <v>2400</v>
      </c>
      <c r="L483">
        <v>0</v>
      </c>
      <c r="M483">
        <v>0</v>
      </c>
      <c r="N483">
        <v>2400</v>
      </c>
    </row>
    <row r="484" spans="1:14" x14ac:dyDescent="0.25">
      <c r="A484">
        <v>43.520068000000002</v>
      </c>
      <c r="B484" s="1">
        <f>DATE(2010,6,13) + TIME(12,28,53)</f>
        <v>40342.520057870373</v>
      </c>
      <c r="C484">
        <v>80</v>
      </c>
      <c r="D484">
        <v>79.958908081000004</v>
      </c>
      <c r="E484">
        <v>50</v>
      </c>
      <c r="F484">
        <v>14.999886513</v>
      </c>
      <c r="G484">
        <v>1336.5668945</v>
      </c>
      <c r="H484">
        <v>1334.9604492000001</v>
      </c>
      <c r="I484">
        <v>1325.5115966999999</v>
      </c>
      <c r="J484">
        <v>1323.5161132999999</v>
      </c>
      <c r="K484">
        <v>2400</v>
      </c>
      <c r="L484">
        <v>0</v>
      </c>
      <c r="M484">
        <v>0</v>
      </c>
      <c r="N484">
        <v>2400</v>
      </c>
    </row>
    <row r="485" spans="1:14" x14ac:dyDescent="0.25">
      <c r="A485">
        <v>43.678308999999999</v>
      </c>
      <c r="B485" s="1">
        <f>DATE(2010,6,13) + TIME(16,16,45)</f>
        <v>40342.678298611114</v>
      </c>
      <c r="C485">
        <v>80</v>
      </c>
      <c r="D485">
        <v>79.958908081000004</v>
      </c>
      <c r="E485">
        <v>50</v>
      </c>
      <c r="F485">
        <v>14.999887466000001</v>
      </c>
      <c r="G485">
        <v>1336.5655518000001</v>
      </c>
      <c r="H485">
        <v>1334.9594727000001</v>
      </c>
      <c r="I485">
        <v>1325.5118408000001</v>
      </c>
      <c r="J485">
        <v>1323.5162353999999</v>
      </c>
      <c r="K485">
        <v>2400</v>
      </c>
      <c r="L485">
        <v>0</v>
      </c>
      <c r="M485">
        <v>0</v>
      </c>
      <c r="N485">
        <v>2400</v>
      </c>
    </row>
    <row r="486" spans="1:14" x14ac:dyDescent="0.25">
      <c r="A486">
        <v>43.836089000000001</v>
      </c>
      <c r="B486" s="1">
        <f>DATE(2010,6,13) + TIME(20,3,58)</f>
        <v>40342.836087962962</v>
      </c>
      <c r="C486">
        <v>80</v>
      </c>
      <c r="D486">
        <v>79.958900451999995</v>
      </c>
      <c r="E486">
        <v>50</v>
      </c>
      <c r="F486">
        <v>14.999887466000001</v>
      </c>
      <c r="G486">
        <v>1336.5642089999999</v>
      </c>
      <c r="H486">
        <v>1334.9584961</v>
      </c>
      <c r="I486">
        <v>1325.5120850000001</v>
      </c>
      <c r="J486">
        <v>1323.5163574000001</v>
      </c>
      <c r="K486">
        <v>2400</v>
      </c>
      <c r="L486">
        <v>0</v>
      </c>
      <c r="M486">
        <v>0</v>
      </c>
      <c r="N486">
        <v>2400</v>
      </c>
    </row>
    <row r="487" spans="1:14" x14ac:dyDescent="0.25">
      <c r="A487">
        <v>43.993521000000001</v>
      </c>
      <c r="B487" s="1">
        <f>DATE(2010,6,13) + TIME(23,50,40)</f>
        <v>40342.993518518517</v>
      </c>
      <c r="C487">
        <v>80</v>
      </c>
      <c r="D487">
        <v>79.958900451999995</v>
      </c>
      <c r="E487">
        <v>50</v>
      </c>
      <c r="F487">
        <v>14.999887466000001</v>
      </c>
      <c r="G487">
        <v>1336.5628661999999</v>
      </c>
      <c r="H487">
        <v>1334.9576416</v>
      </c>
      <c r="I487">
        <v>1325.5123291</v>
      </c>
      <c r="J487">
        <v>1323.5166016000001</v>
      </c>
      <c r="K487">
        <v>2400</v>
      </c>
      <c r="L487">
        <v>0</v>
      </c>
      <c r="M487">
        <v>0</v>
      </c>
      <c r="N487">
        <v>2400</v>
      </c>
    </row>
    <row r="488" spans="1:14" x14ac:dyDescent="0.25">
      <c r="A488">
        <v>44.150711999999999</v>
      </c>
      <c r="B488" s="1">
        <f>DATE(2010,6,14) + TIME(3,37,1)</f>
        <v>40343.150706018518</v>
      </c>
      <c r="C488">
        <v>80</v>
      </c>
      <c r="D488">
        <v>79.958900451999995</v>
      </c>
      <c r="E488">
        <v>50</v>
      </c>
      <c r="F488">
        <v>14.99988842</v>
      </c>
      <c r="G488">
        <v>1336.5614014</v>
      </c>
      <c r="H488">
        <v>1334.9566649999999</v>
      </c>
      <c r="I488">
        <v>1325.5125731999999</v>
      </c>
      <c r="J488">
        <v>1323.5167236</v>
      </c>
      <c r="K488">
        <v>2400</v>
      </c>
      <c r="L488">
        <v>0</v>
      </c>
      <c r="M488">
        <v>0</v>
      </c>
      <c r="N488">
        <v>2400</v>
      </c>
    </row>
    <row r="489" spans="1:14" x14ac:dyDescent="0.25">
      <c r="A489">
        <v>44.307766999999998</v>
      </c>
      <c r="B489" s="1">
        <f>DATE(2010,6,14) + TIME(7,23,11)</f>
        <v>40343.307766203703</v>
      </c>
      <c r="C489">
        <v>80</v>
      </c>
      <c r="D489">
        <v>79.958900451999995</v>
      </c>
      <c r="E489">
        <v>50</v>
      </c>
      <c r="F489">
        <v>14.99988842</v>
      </c>
      <c r="G489">
        <v>1336.5600586</v>
      </c>
      <c r="H489">
        <v>1334.9558105000001</v>
      </c>
      <c r="I489">
        <v>1325.5129394999999</v>
      </c>
      <c r="J489">
        <v>1323.5169678</v>
      </c>
      <c r="K489">
        <v>2400</v>
      </c>
      <c r="L489">
        <v>0</v>
      </c>
      <c r="M489">
        <v>0</v>
      </c>
      <c r="N489">
        <v>2400</v>
      </c>
    </row>
    <row r="490" spans="1:14" x14ac:dyDescent="0.25">
      <c r="A490">
        <v>44.464785999999997</v>
      </c>
      <c r="B490" s="1">
        <f>DATE(2010,6,14) + TIME(11,9,17)</f>
        <v>40343.464780092596</v>
      </c>
      <c r="C490">
        <v>80</v>
      </c>
      <c r="D490">
        <v>79.958900451999995</v>
      </c>
      <c r="E490">
        <v>50</v>
      </c>
      <c r="F490">
        <v>14.99988842</v>
      </c>
      <c r="G490">
        <v>1336.5587158000001</v>
      </c>
      <c r="H490">
        <v>1334.9549560999999</v>
      </c>
      <c r="I490">
        <v>1325.5131836</v>
      </c>
      <c r="J490">
        <v>1323.5170897999999</v>
      </c>
      <c r="K490">
        <v>2400</v>
      </c>
      <c r="L490">
        <v>0</v>
      </c>
      <c r="M490">
        <v>0</v>
      </c>
      <c r="N490">
        <v>2400</v>
      </c>
    </row>
    <row r="491" spans="1:14" x14ac:dyDescent="0.25">
      <c r="A491">
        <v>44.621805999999999</v>
      </c>
      <c r="B491" s="1">
        <f>DATE(2010,6,14) + TIME(14,55,24)</f>
        <v>40343.621805555558</v>
      </c>
      <c r="C491">
        <v>80</v>
      </c>
      <c r="D491">
        <v>79.958900451999995</v>
      </c>
      <c r="E491">
        <v>50</v>
      </c>
      <c r="F491">
        <v>14.999889374</v>
      </c>
      <c r="G491">
        <v>1336.5574951000001</v>
      </c>
      <c r="H491">
        <v>1334.9539795000001</v>
      </c>
      <c r="I491">
        <v>1325.5134277</v>
      </c>
      <c r="J491">
        <v>1323.5172118999999</v>
      </c>
      <c r="K491">
        <v>2400</v>
      </c>
      <c r="L491">
        <v>0</v>
      </c>
      <c r="M491">
        <v>0</v>
      </c>
      <c r="N491">
        <v>2400</v>
      </c>
    </row>
    <row r="492" spans="1:14" x14ac:dyDescent="0.25">
      <c r="A492">
        <v>44.778826000000002</v>
      </c>
      <c r="B492" s="1">
        <f>DATE(2010,6,14) + TIME(18,41,30)</f>
        <v>40343.778819444444</v>
      </c>
      <c r="C492">
        <v>80</v>
      </c>
      <c r="D492">
        <v>79.958900451999995</v>
      </c>
      <c r="E492">
        <v>50</v>
      </c>
      <c r="F492">
        <v>14.999889374</v>
      </c>
      <c r="G492">
        <v>1336.5561522999999</v>
      </c>
      <c r="H492">
        <v>1334.953125</v>
      </c>
      <c r="I492">
        <v>1325.5136719</v>
      </c>
      <c r="J492">
        <v>1323.5174560999999</v>
      </c>
      <c r="K492">
        <v>2400</v>
      </c>
      <c r="L492">
        <v>0</v>
      </c>
      <c r="M492">
        <v>0</v>
      </c>
      <c r="N492">
        <v>2400</v>
      </c>
    </row>
    <row r="493" spans="1:14" x14ac:dyDescent="0.25">
      <c r="A493">
        <v>44.935845999999998</v>
      </c>
      <c r="B493" s="1">
        <f>DATE(2010,6,14) + TIME(22,27,37)</f>
        <v>40343.935844907406</v>
      </c>
      <c r="C493">
        <v>80</v>
      </c>
      <c r="D493">
        <v>79.958900451999995</v>
      </c>
      <c r="E493">
        <v>50</v>
      </c>
      <c r="F493">
        <v>14.999889374</v>
      </c>
      <c r="G493">
        <v>1336.5548096</v>
      </c>
      <c r="H493">
        <v>1334.9522704999999</v>
      </c>
      <c r="I493">
        <v>1325.5139160000001</v>
      </c>
      <c r="J493">
        <v>1323.5175781</v>
      </c>
      <c r="K493">
        <v>2400</v>
      </c>
      <c r="L493">
        <v>0</v>
      </c>
      <c r="M493">
        <v>0</v>
      </c>
      <c r="N493">
        <v>2400</v>
      </c>
    </row>
    <row r="494" spans="1:14" x14ac:dyDescent="0.25">
      <c r="A494">
        <v>45.092866000000001</v>
      </c>
      <c r="B494" s="1">
        <f>DATE(2010,6,15) + TIME(2,13,43)</f>
        <v>40344.092858796299</v>
      </c>
      <c r="C494">
        <v>80</v>
      </c>
      <c r="D494">
        <v>79.958900451999995</v>
      </c>
      <c r="E494">
        <v>50</v>
      </c>
      <c r="F494">
        <v>14.999890326999999</v>
      </c>
      <c r="G494">
        <v>1336.5534668</v>
      </c>
      <c r="H494">
        <v>1334.9514160000001</v>
      </c>
      <c r="I494">
        <v>1325.5142822</v>
      </c>
      <c r="J494">
        <v>1323.5177002</v>
      </c>
      <c r="K494">
        <v>2400</v>
      </c>
      <c r="L494">
        <v>0</v>
      </c>
      <c r="M494">
        <v>0</v>
      </c>
      <c r="N494">
        <v>2400</v>
      </c>
    </row>
    <row r="495" spans="1:14" x14ac:dyDescent="0.25">
      <c r="A495">
        <v>45.249884999999999</v>
      </c>
      <c r="B495" s="1">
        <f>DATE(2010,6,15) + TIME(5,59,50)</f>
        <v>40344.249884259261</v>
      </c>
      <c r="C495">
        <v>80</v>
      </c>
      <c r="D495">
        <v>79.958900451999995</v>
      </c>
      <c r="E495">
        <v>50</v>
      </c>
      <c r="F495">
        <v>14.999890326999999</v>
      </c>
      <c r="G495">
        <v>1336.552124</v>
      </c>
      <c r="H495">
        <v>1334.9505615</v>
      </c>
      <c r="I495">
        <v>1325.5145264</v>
      </c>
      <c r="J495">
        <v>1323.5179443</v>
      </c>
      <c r="K495">
        <v>2400</v>
      </c>
      <c r="L495">
        <v>0</v>
      </c>
      <c r="M495">
        <v>0</v>
      </c>
      <c r="N495">
        <v>2400</v>
      </c>
    </row>
    <row r="496" spans="1:14" x14ac:dyDescent="0.25">
      <c r="A496">
        <v>45.563924999999998</v>
      </c>
      <c r="B496" s="1">
        <f>DATE(2010,6,15) + TIME(13,32,3)</f>
        <v>40344.563923611109</v>
      </c>
      <c r="C496">
        <v>80</v>
      </c>
      <c r="D496">
        <v>79.958908081000004</v>
      </c>
      <c r="E496">
        <v>50</v>
      </c>
      <c r="F496">
        <v>14.999891281</v>
      </c>
      <c r="G496">
        <v>1336.5509033000001</v>
      </c>
      <c r="H496">
        <v>1334.949707</v>
      </c>
      <c r="I496">
        <v>1325.5147704999999</v>
      </c>
      <c r="J496">
        <v>1323.5180664</v>
      </c>
      <c r="K496">
        <v>2400</v>
      </c>
      <c r="L496">
        <v>0</v>
      </c>
      <c r="M496">
        <v>0</v>
      </c>
      <c r="N496">
        <v>2400</v>
      </c>
    </row>
    <row r="497" spans="1:14" x14ac:dyDescent="0.25">
      <c r="A497">
        <v>45.878366999999997</v>
      </c>
      <c r="B497" s="1">
        <f>DATE(2010,6,15) + TIME(21,4,50)</f>
        <v>40344.87835648148</v>
      </c>
      <c r="C497">
        <v>80</v>
      </c>
      <c r="D497">
        <v>79.958908081000004</v>
      </c>
      <c r="E497">
        <v>50</v>
      </c>
      <c r="F497">
        <v>14.999891281</v>
      </c>
      <c r="G497">
        <v>1336.5483397999999</v>
      </c>
      <c r="H497">
        <v>1334.9479980000001</v>
      </c>
      <c r="I497">
        <v>1325.5153809000001</v>
      </c>
      <c r="J497">
        <v>1323.5184326000001</v>
      </c>
      <c r="K497">
        <v>2400</v>
      </c>
      <c r="L497">
        <v>0</v>
      </c>
      <c r="M497">
        <v>0</v>
      </c>
      <c r="N497">
        <v>2400</v>
      </c>
    </row>
    <row r="498" spans="1:14" x14ac:dyDescent="0.25">
      <c r="A498">
        <v>46.196005999999997</v>
      </c>
      <c r="B498" s="1">
        <f>DATE(2010,6,16) + TIME(4,42,14)</f>
        <v>40345.19599537037</v>
      </c>
      <c r="C498">
        <v>80</v>
      </c>
      <c r="D498">
        <v>79.958908081000004</v>
      </c>
      <c r="E498">
        <v>50</v>
      </c>
      <c r="F498">
        <v>14.999892235000001</v>
      </c>
      <c r="G498">
        <v>1336.5457764</v>
      </c>
      <c r="H498">
        <v>1334.9462891000001</v>
      </c>
      <c r="I498">
        <v>1325.5158690999999</v>
      </c>
      <c r="J498">
        <v>1323.5187988</v>
      </c>
      <c r="K498">
        <v>2400</v>
      </c>
      <c r="L498">
        <v>0</v>
      </c>
      <c r="M498">
        <v>0</v>
      </c>
      <c r="N498">
        <v>2400</v>
      </c>
    </row>
    <row r="499" spans="1:14" x14ac:dyDescent="0.25">
      <c r="A499">
        <v>46.517595999999998</v>
      </c>
      <c r="B499" s="1">
        <f>DATE(2010,6,16) + TIME(12,25,20)</f>
        <v>40345.517592592594</v>
      </c>
      <c r="C499">
        <v>80</v>
      </c>
      <c r="D499">
        <v>79.958915709999999</v>
      </c>
      <c r="E499">
        <v>50</v>
      </c>
      <c r="F499">
        <v>14.999892235000001</v>
      </c>
      <c r="G499">
        <v>1336.5432129000001</v>
      </c>
      <c r="H499">
        <v>1334.9445800999999</v>
      </c>
      <c r="I499">
        <v>1325.5164795000001</v>
      </c>
      <c r="J499">
        <v>1323.5191649999999</v>
      </c>
      <c r="K499">
        <v>2400</v>
      </c>
      <c r="L499">
        <v>0</v>
      </c>
      <c r="M499">
        <v>0</v>
      </c>
      <c r="N499">
        <v>2400</v>
      </c>
    </row>
    <row r="500" spans="1:14" x14ac:dyDescent="0.25">
      <c r="A500">
        <v>46.843943000000003</v>
      </c>
      <c r="B500" s="1">
        <f>DATE(2010,6,16) + TIME(20,15,16)</f>
        <v>40345.843935185185</v>
      </c>
      <c r="C500">
        <v>80</v>
      </c>
      <c r="D500">
        <v>79.958915709999999</v>
      </c>
      <c r="E500">
        <v>50</v>
      </c>
      <c r="F500">
        <v>14.999893188</v>
      </c>
      <c r="G500">
        <v>1336.5406493999999</v>
      </c>
      <c r="H500">
        <v>1334.9428711</v>
      </c>
      <c r="I500">
        <v>1325.5170897999999</v>
      </c>
      <c r="J500">
        <v>1323.5194091999999</v>
      </c>
      <c r="K500">
        <v>2400</v>
      </c>
      <c r="L500">
        <v>0</v>
      </c>
      <c r="M500">
        <v>0</v>
      </c>
      <c r="N500">
        <v>2400</v>
      </c>
    </row>
    <row r="501" spans="1:14" x14ac:dyDescent="0.25">
      <c r="A501">
        <v>47.175904000000003</v>
      </c>
      <c r="B501" s="1">
        <f>DATE(2010,6,17) + TIME(4,13,18)</f>
        <v>40346.175902777781</v>
      </c>
      <c r="C501">
        <v>80</v>
      </c>
      <c r="D501">
        <v>79.958915709999999</v>
      </c>
      <c r="E501">
        <v>50</v>
      </c>
      <c r="F501">
        <v>14.999894142</v>
      </c>
      <c r="G501">
        <v>1336.5380858999999</v>
      </c>
      <c r="H501">
        <v>1334.9411620999999</v>
      </c>
      <c r="I501">
        <v>1325.5177002</v>
      </c>
      <c r="J501">
        <v>1323.5197754000001</v>
      </c>
      <c r="K501">
        <v>2400</v>
      </c>
      <c r="L501">
        <v>0</v>
      </c>
      <c r="M501">
        <v>0</v>
      </c>
      <c r="N501">
        <v>2400</v>
      </c>
    </row>
    <row r="502" spans="1:14" x14ac:dyDescent="0.25">
      <c r="A502">
        <v>47.513233999999997</v>
      </c>
      <c r="B502" s="1">
        <f>DATE(2010,6,17) + TIME(12,19,3)</f>
        <v>40346.513229166667</v>
      </c>
      <c r="C502">
        <v>80</v>
      </c>
      <c r="D502">
        <v>79.958915709999999</v>
      </c>
      <c r="E502">
        <v>50</v>
      </c>
      <c r="F502">
        <v>14.999895095999999</v>
      </c>
      <c r="G502">
        <v>1336.5354004000001</v>
      </c>
      <c r="H502">
        <v>1334.9394531</v>
      </c>
      <c r="I502">
        <v>1325.5183105000001</v>
      </c>
      <c r="J502">
        <v>1323.5201416</v>
      </c>
      <c r="K502">
        <v>2400</v>
      </c>
      <c r="L502">
        <v>0</v>
      </c>
      <c r="M502">
        <v>0</v>
      </c>
      <c r="N502">
        <v>2400</v>
      </c>
    </row>
    <row r="503" spans="1:14" x14ac:dyDescent="0.25">
      <c r="A503">
        <v>47.683500000000002</v>
      </c>
      <c r="B503" s="1">
        <f>DATE(2010,6,17) + TIME(16,24,14)</f>
        <v>40346.683495370373</v>
      </c>
      <c r="C503">
        <v>80</v>
      </c>
      <c r="D503">
        <v>79.958915709999999</v>
      </c>
      <c r="E503">
        <v>50</v>
      </c>
      <c r="F503">
        <v>14.999895095999999</v>
      </c>
      <c r="G503">
        <v>1336.5328368999999</v>
      </c>
      <c r="H503">
        <v>1334.9376221</v>
      </c>
      <c r="I503">
        <v>1325.5189209</v>
      </c>
      <c r="J503">
        <v>1323.5205077999999</v>
      </c>
      <c r="K503">
        <v>2400</v>
      </c>
      <c r="L503">
        <v>0</v>
      </c>
      <c r="M503">
        <v>0</v>
      </c>
      <c r="N503">
        <v>2400</v>
      </c>
    </row>
    <row r="504" spans="1:14" x14ac:dyDescent="0.25">
      <c r="A504">
        <v>47.853765000000003</v>
      </c>
      <c r="B504" s="1">
        <f>DATE(2010,6,17) + TIME(20,29,25)</f>
        <v>40346.853761574072</v>
      </c>
      <c r="C504">
        <v>80</v>
      </c>
      <c r="D504">
        <v>79.958915709999999</v>
      </c>
      <c r="E504">
        <v>50</v>
      </c>
      <c r="F504">
        <v>14.999896049</v>
      </c>
      <c r="G504">
        <v>1336.5314940999999</v>
      </c>
      <c r="H504">
        <v>1334.9367675999999</v>
      </c>
      <c r="I504">
        <v>1325.5191649999999</v>
      </c>
      <c r="J504">
        <v>1323.5207519999999</v>
      </c>
      <c r="K504">
        <v>2400</v>
      </c>
      <c r="L504">
        <v>0</v>
      </c>
      <c r="M504">
        <v>0</v>
      </c>
      <c r="N504">
        <v>2400</v>
      </c>
    </row>
    <row r="505" spans="1:14" x14ac:dyDescent="0.25">
      <c r="A505">
        <v>48.023972000000001</v>
      </c>
      <c r="B505" s="1">
        <f>DATE(2010,6,18) + TIME(0,34,31)</f>
        <v>40347.023969907408</v>
      </c>
      <c r="C505">
        <v>80</v>
      </c>
      <c r="D505">
        <v>79.958915709999999</v>
      </c>
      <c r="E505">
        <v>50</v>
      </c>
      <c r="F505">
        <v>14.999896049</v>
      </c>
      <c r="G505">
        <v>1336.5301514</v>
      </c>
      <c r="H505">
        <v>1334.9359131000001</v>
      </c>
      <c r="I505">
        <v>1325.5195312000001</v>
      </c>
      <c r="J505">
        <v>1323.520874</v>
      </c>
      <c r="K505">
        <v>2400</v>
      </c>
      <c r="L505">
        <v>0</v>
      </c>
      <c r="M505">
        <v>0</v>
      </c>
      <c r="N505">
        <v>2400</v>
      </c>
    </row>
    <row r="506" spans="1:14" x14ac:dyDescent="0.25">
      <c r="A506">
        <v>48.193603000000003</v>
      </c>
      <c r="B506" s="1">
        <f>DATE(2010,6,18) + TIME(4,38,47)</f>
        <v>40347.193599537037</v>
      </c>
      <c r="C506">
        <v>80</v>
      </c>
      <c r="D506">
        <v>79.958915709999999</v>
      </c>
      <c r="E506">
        <v>50</v>
      </c>
      <c r="F506">
        <v>14.999897002999999</v>
      </c>
      <c r="G506">
        <v>1336.5289307</v>
      </c>
      <c r="H506">
        <v>1334.9350586</v>
      </c>
      <c r="I506">
        <v>1325.5197754000001</v>
      </c>
      <c r="J506">
        <v>1323.5211182</v>
      </c>
      <c r="K506">
        <v>2400</v>
      </c>
      <c r="L506">
        <v>0</v>
      </c>
      <c r="M506">
        <v>0</v>
      </c>
      <c r="N506">
        <v>2400</v>
      </c>
    </row>
    <row r="507" spans="1:14" x14ac:dyDescent="0.25">
      <c r="A507">
        <v>48.362774999999999</v>
      </c>
      <c r="B507" s="1">
        <f>DATE(2010,6,18) + TIME(8,42,23)</f>
        <v>40347.362766203703</v>
      </c>
      <c r="C507">
        <v>80</v>
      </c>
      <c r="D507">
        <v>79.958915709999999</v>
      </c>
      <c r="E507">
        <v>50</v>
      </c>
      <c r="F507">
        <v>14.999897002999999</v>
      </c>
      <c r="G507">
        <v>1336.5275879000001</v>
      </c>
      <c r="H507">
        <v>1334.9342041</v>
      </c>
      <c r="I507">
        <v>1325.5201416</v>
      </c>
      <c r="J507">
        <v>1323.5212402</v>
      </c>
      <c r="K507">
        <v>2400</v>
      </c>
      <c r="L507">
        <v>0</v>
      </c>
      <c r="M507">
        <v>0</v>
      </c>
      <c r="N507">
        <v>2400</v>
      </c>
    </row>
    <row r="508" spans="1:14" x14ac:dyDescent="0.25">
      <c r="A508">
        <v>48.531602999999997</v>
      </c>
      <c r="B508" s="1">
        <f>DATE(2010,6,18) + TIME(12,45,30)</f>
        <v>40347.531597222223</v>
      </c>
      <c r="C508">
        <v>80</v>
      </c>
      <c r="D508">
        <v>79.958915709999999</v>
      </c>
      <c r="E508">
        <v>50</v>
      </c>
      <c r="F508">
        <v>14.999897957</v>
      </c>
      <c r="G508">
        <v>1336.5263672000001</v>
      </c>
      <c r="H508">
        <v>1334.9333495999999</v>
      </c>
      <c r="I508">
        <v>1325.5205077999999</v>
      </c>
      <c r="J508">
        <v>1323.5214844</v>
      </c>
      <c r="K508">
        <v>2400</v>
      </c>
      <c r="L508">
        <v>0</v>
      </c>
      <c r="M508">
        <v>0</v>
      </c>
      <c r="N508">
        <v>2400</v>
      </c>
    </row>
    <row r="509" spans="1:14" x14ac:dyDescent="0.25">
      <c r="A509">
        <v>48.700201</v>
      </c>
      <c r="B509" s="1">
        <f>DATE(2010,6,18) + TIME(16,48,17)</f>
        <v>40347.700196759259</v>
      </c>
      <c r="C509">
        <v>80</v>
      </c>
      <c r="D509">
        <v>79.958915709999999</v>
      </c>
      <c r="E509">
        <v>50</v>
      </c>
      <c r="F509">
        <v>14.999897957</v>
      </c>
      <c r="G509">
        <v>1336.5251464999999</v>
      </c>
      <c r="H509">
        <v>1334.9324951000001</v>
      </c>
      <c r="I509">
        <v>1325.5207519999999</v>
      </c>
      <c r="J509">
        <v>1323.5217285000001</v>
      </c>
      <c r="K509">
        <v>2400</v>
      </c>
      <c r="L509">
        <v>0</v>
      </c>
      <c r="M509">
        <v>0</v>
      </c>
      <c r="N509">
        <v>2400</v>
      </c>
    </row>
    <row r="510" spans="1:14" x14ac:dyDescent="0.25">
      <c r="A510">
        <v>48.868676000000001</v>
      </c>
      <c r="B510" s="1">
        <f>DATE(2010,6,18) + TIME(20,50,53)</f>
        <v>40347.868668981479</v>
      </c>
      <c r="C510">
        <v>80</v>
      </c>
      <c r="D510">
        <v>79.958915709999999</v>
      </c>
      <c r="E510">
        <v>50</v>
      </c>
      <c r="F510">
        <v>14.999898911000001</v>
      </c>
      <c r="G510">
        <v>1336.5238036999999</v>
      </c>
      <c r="H510">
        <v>1334.9316406</v>
      </c>
      <c r="I510">
        <v>1325.5211182</v>
      </c>
      <c r="J510">
        <v>1323.5218506000001</v>
      </c>
      <c r="K510">
        <v>2400</v>
      </c>
      <c r="L510">
        <v>0</v>
      </c>
      <c r="M510">
        <v>0</v>
      </c>
      <c r="N510">
        <v>2400</v>
      </c>
    </row>
    <row r="511" spans="1:14" x14ac:dyDescent="0.25">
      <c r="A511">
        <v>49.037139000000003</v>
      </c>
      <c r="B511" s="1">
        <f>DATE(2010,6,19) + TIME(0,53,28)</f>
        <v>40348.037129629629</v>
      </c>
      <c r="C511">
        <v>80</v>
      </c>
      <c r="D511">
        <v>79.958915709999999</v>
      </c>
      <c r="E511">
        <v>50</v>
      </c>
      <c r="F511">
        <v>14.999899864</v>
      </c>
      <c r="G511">
        <v>1336.5225829999999</v>
      </c>
      <c r="H511">
        <v>1334.9309082</v>
      </c>
      <c r="I511">
        <v>1325.5213623</v>
      </c>
      <c r="J511">
        <v>1323.5220947</v>
      </c>
      <c r="K511">
        <v>2400</v>
      </c>
      <c r="L511">
        <v>0</v>
      </c>
      <c r="M511">
        <v>0</v>
      </c>
      <c r="N511">
        <v>2400</v>
      </c>
    </row>
    <row r="512" spans="1:14" x14ac:dyDescent="0.25">
      <c r="A512">
        <v>49.205601999999999</v>
      </c>
      <c r="B512" s="1">
        <f>DATE(2010,6,19) + TIME(4,56,3)</f>
        <v>40348.205590277779</v>
      </c>
      <c r="C512">
        <v>80</v>
      </c>
      <c r="D512">
        <v>79.958915709999999</v>
      </c>
      <c r="E512">
        <v>50</v>
      </c>
      <c r="F512">
        <v>14.999899864</v>
      </c>
      <c r="G512">
        <v>1336.5213623</v>
      </c>
      <c r="H512">
        <v>1334.9300536999999</v>
      </c>
      <c r="I512">
        <v>1325.5217285000001</v>
      </c>
      <c r="J512">
        <v>1323.5222168</v>
      </c>
      <c r="K512">
        <v>2400</v>
      </c>
      <c r="L512">
        <v>0</v>
      </c>
      <c r="M512">
        <v>0</v>
      </c>
      <c r="N512">
        <v>2400</v>
      </c>
    </row>
    <row r="513" spans="1:14" x14ac:dyDescent="0.25">
      <c r="A513">
        <v>49.374063999999997</v>
      </c>
      <c r="B513" s="1">
        <f>DATE(2010,6,19) + TIME(8,58,39)</f>
        <v>40348.374062499999</v>
      </c>
      <c r="C513">
        <v>80</v>
      </c>
      <c r="D513">
        <v>79.958923339999998</v>
      </c>
      <c r="E513">
        <v>50</v>
      </c>
      <c r="F513">
        <v>14.999900818</v>
      </c>
      <c r="G513">
        <v>1336.5201416</v>
      </c>
      <c r="H513">
        <v>1334.9291992000001</v>
      </c>
      <c r="I513">
        <v>1325.5220947</v>
      </c>
      <c r="J513">
        <v>1323.5224608999999</v>
      </c>
      <c r="K513">
        <v>2400</v>
      </c>
      <c r="L513">
        <v>0</v>
      </c>
      <c r="M513">
        <v>0</v>
      </c>
      <c r="N513">
        <v>2400</v>
      </c>
    </row>
    <row r="514" spans="1:14" x14ac:dyDescent="0.25">
      <c r="A514">
        <v>49.542527</v>
      </c>
      <c r="B514" s="1">
        <f>DATE(2010,6,19) + TIME(13,1,14)</f>
        <v>40348.542523148149</v>
      </c>
      <c r="C514">
        <v>80</v>
      </c>
      <c r="D514">
        <v>79.958923339999998</v>
      </c>
      <c r="E514">
        <v>50</v>
      </c>
      <c r="F514">
        <v>14.999901771999999</v>
      </c>
      <c r="G514">
        <v>1336.5189209</v>
      </c>
      <c r="H514">
        <v>1334.9283447</v>
      </c>
      <c r="I514">
        <v>1325.5223389</v>
      </c>
      <c r="J514">
        <v>1323.5227050999999</v>
      </c>
      <c r="K514">
        <v>2400</v>
      </c>
      <c r="L514">
        <v>0</v>
      </c>
      <c r="M514">
        <v>0</v>
      </c>
      <c r="N514">
        <v>2400</v>
      </c>
    </row>
    <row r="515" spans="1:14" x14ac:dyDescent="0.25">
      <c r="A515">
        <v>49.710988999999998</v>
      </c>
      <c r="B515" s="1">
        <f>DATE(2010,6,19) + TIME(17,3,49)</f>
        <v>40348.7109837963</v>
      </c>
      <c r="C515">
        <v>80</v>
      </c>
      <c r="D515">
        <v>79.958923339999998</v>
      </c>
      <c r="E515">
        <v>50</v>
      </c>
      <c r="F515">
        <v>14.999901771999999</v>
      </c>
      <c r="G515">
        <v>1336.5177002</v>
      </c>
      <c r="H515">
        <v>1334.9276123</v>
      </c>
      <c r="I515">
        <v>1325.5227050999999</v>
      </c>
      <c r="J515">
        <v>1323.5228271000001</v>
      </c>
      <c r="K515">
        <v>2400</v>
      </c>
      <c r="L515">
        <v>0</v>
      </c>
      <c r="M515">
        <v>0</v>
      </c>
      <c r="N515">
        <v>2400</v>
      </c>
    </row>
    <row r="516" spans="1:14" x14ac:dyDescent="0.25">
      <c r="A516">
        <v>49.879452000000001</v>
      </c>
      <c r="B516" s="1">
        <f>DATE(2010,6,19) + TIME(21,6,24)</f>
        <v>40348.879444444443</v>
      </c>
      <c r="C516">
        <v>80</v>
      </c>
      <c r="D516">
        <v>79.958923339999998</v>
      </c>
      <c r="E516">
        <v>50</v>
      </c>
      <c r="F516">
        <v>14.999902725</v>
      </c>
      <c r="G516">
        <v>1336.5164795000001</v>
      </c>
      <c r="H516">
        <v>1334.9267577999999</v>
      </c>
      <c r="I516">
        <v>1325.5230713000001</v>
      </c>
      <c r="J516">
        <v>1323.5230713000001</v>
      </c>
      <c r="K516">
        <v>2400</v>
      </c>
      <c r="L516">
        <v>0</v>
      </c>
      <c r="M516">
        <v>0</v>
      </c>
      <c r="N516">
        <v>2400</v>
      </c>
    </row>
    <row r="517" spans="1:14" x14ac:dyDescent="0.25">
      <c r="A517">
        <v>50.216377000000001</v>
      </c>
      <c r="B517" s="1">
        <f>DATE(2010,6,20) + TIME(5,11,34)</f>
        <v>40349.216365740744</v>
      </c>
      <c r="C517">
        <v>80</v>
      </c>
      <c r="D517">
        <v>79.958930968999994</v>
      </c>
      <c r="E517">
        <v>50</v>
      </c>
      <c r="F517">
        <v>14.999903679000001</v>
      </c>
      <c r="G517">
        <v>1336.5152588000001</v>
      </c>
      <c r="H517">
        <v>1334.9260254000001</v>
      </c>
      <c r="I517">
        <v>1325.5234375</v>
      </c>
      <c r="J517">
        <v>1323.5231934000001</v>
      </c>
      <c r="K517">
        <v>2400</v>
      </c>
      <c r="L517">
        <v>0</v>
      </c>
      <c r="M517">
        <v>0</v>
      </c>
      <c r="N517">
        <v>2400</v>
      </c>
    </row>
    <row r="518" spans="1:14" x14ac:dyDescent="0.25">
      <c r="A518">
        <v>50.553489999999996</v>
      </c>
      <c r="B518" s="1">
        <f>DATE(2010,6,20) + TIME(13,17,1)</f>
        <v>40349.553483796299</v>
      </c>
      <c r="C518">
        <v>80</v>
      </c>
      <c r="D518">
        <v>79.958938599000007</v>
      </c>
      <c r="E518">
        <v>50</v>
      </c>
      <c r="F518">
        <v>14.999905586000001</v>
      </c>
      <c r="G518">
        <v>1336.5128173999999</v>
      </c>
      <c r="H518">
        <v>1334.9244385</v>
      </c>
      <c r="I518">
        <v>1325.5240478999999</v>
      </c>
      <c r="J518">
        <v>1323.5236815999999</v>
      </c>
      <c r="K518">
        <v>2400</v>
      </c>
      <c r="L518">
        <v>0</v>
      </c>
      <c r="M518">
        <v>0</v>
      </c>
      <c r="N518">
        <v>2400</v>
      </c>
    </row>
    <row r="519" spans="1:14" x14ac:dyDescent="0.25">
      <c r="A519">
        <v>50.894528000000001</v>
      </c>
      <c r="B519" s="1">
        <f>DATE(2010,6,20) + TIME(21,28,7)</f>
        <v>40349.894525462965</v>
      </c>
      <c r="C519">
        <v>80</v>
      </c>
      <c r="D519">
        <v>79.958946228000002</v>
      </c>
      <c r="E519">
        <v>50</v>
      </c>
      <c r="F519">
        <v>14.999907494</v>
      </c>
      <c r="G519">
        <v>1336.510376</v>
      </c>
      <c r="H519">
        <v>1334.9228516000001</v>
      </c>
      <c r="I519">
        <v>1325.5246582</v>
      </c>
      <c r="J519">
        <v>1323.5240478999999</v>
      </c>
      <c r="K519">
        <v>2400</v>
      </c>
      <c r="L519">
        <v>0</v>
      </c>
      <c r="M519">
        <v>0</v>
      </c>
      <c r="N519">
        <v>2400</v>
      </c>
    </row>
    <row r="520" spans="1:14" x14ac:dyDescent="0.25">
      <c r="A520">
        <v>51.240319999999997</v>
      </c>
      <c r="B520" s="1">
        <f>DATE(2010,6,21) + TIME(5,46,3)</f>
        <v>40350.240312499998</v>
      </c>
      <c r="C520">
        <v>80</v>
      </c>
      <c r="D520">
        <v>79.958946228000002</v>
      </c>
      <c r="E520">
        <v>50</v>
      </c>
      <c r="F520">
        <v>14.999909401</v>
      </c>
      <c r="G520">
        <v>1336.5080565999999</v>
      </c>
      <c r="H520">
        <v>1334.9211425999999</v>
      </c>
      <c r="I520">
        <v>1325.5253906</v>
      </c>
      <c r="J520">
        <v>1323.5244141000001</v>
      </c>
      <c r="K520">
        <v>2400</v>
      </c>
      <c r="L520">
        <v>0</v>
      </c>
      <c r="M520">
        <v>0</v>
      </c>
      <c r="N520">
        <v>2400</v>
      </c>
    </row>
    <row r="521" spans="1:14" x14ac:dyDescent="0.25">
      <c r="A521">
        <v>51.591763999999998</v>
      </c>
      <c r="B521" s="1">
        <f>DATE(2010,6,21) + TIME(14,12,8)</f>
        <v>40350.59175925926</v>
      </c>
      <c r="C521">
        <v>80</v>
      </c>
      <c r="D521">
        <v>79.958953856999997</v>
      </c>
      <c r="E521">
        <v>50</v>
      </c>
      <c r="F521">
        <v>14.999911308</v>
      </c>
      <c r="G521">
        <v>1336.5056152</v>
      </c>
      <c r="H521">
        <v>1334.9195557</v>
      </c>
      <c r="I521">
        <v>1325.5261230000001</v>
      </c>
      <c r="J521">
        <v>1323.5249022999999</v>
      </c>
      <c r="K521">
        <v>2400</v>
      </c>
      <c r="L521">
        <v>0</v>
      </c>
      <c r="M521">
        <v>0</v>
      </c>
      <c r="N521">
        <v>2400</v>
      </c>
    </row>
    <row r="522" spans="1:14" x14ac:dyDescent="0.25">
      <c r="A522">
        <v>51.949703999999997</v>
      </c>
      <c r="B522" s="1">
        <f>DATE(2010,6,21) + TIME(22,47,34)</f>
        <v>40350.949699074074</v>
      </c>
      <c r="C522">
        <v>80</v>
      </c>
      <c r="D522">
        <v>79.958953856999997</v>
      </c>
      <c r="E522">
        <v>50</v>
      </c>
      <c r="F522">
        <v>14.999914169</v>
      </c>
      <c r="G522">
        <v>1336.5031738</v>
      </c>
      <c r="H522">
        <v>1334.9179687999999</v>
      </c>
      <c r="I522">
        <v>1325.5268555</v>
      </c>
      <c r="J522">
        <v>1323.5252685999999</v>
      </c>
      <c r="K522">
        <v>2400</v>
      </c>
      <c r="L522">
        <v>0</v>
      </c>
      <c r="M522">
        <v>0</v>
      </c>
      <c r="N522">
        <v>2400</v>
      </c>
    </row>
    <row r="523" spans="1:14" x14ac:dyDescent="0.25">
      <c r="A523">
        <v>52.312116000000003</v>
      </c>
      <c r="B523" s="1">
        <f>DATE(2010,6,22) + TIME(7,29,26)</f>
        <v>40351.312106481484</v>
      </c>
      <c r="C523">
        <v>80</v>
      </c>
      <c r="D523">
        <v>79.958961486999996</v>
      </c>
      <c r="E523">
        <v>50</v>
      </c>
      <c r="F523">
        <v>14.999917030000001</v>
      </c>
      <c r="G523">
        <v>1336.5007324000001</v>
      </c>
      <c r="H523">
        <v>1334.9163818</v>
      </c>
      <c r="I523">
        <v>1325.5275879000001</v>
      </c>
      <c r="J523">
        <v>1323.5256348</v>
      </c>
      <c r="K523">
        <v>2400</v>
      </c>
      <c r="L523">
        <v>0</v>
      </c>
      <c r="M523">
        <v>0</v>
      </c>
      <c r="N523">
        <v>2400</v>
      </c>
    </row>
    <row r="524" spans="1:14" x14ac:dyDescent="0.25">
      <c r="A524">
        <v>52.495187000000001</v>
      </c>
      <c r="B524" s="1">
        <f>DATE(2010,6,22) + TIME(11,53,4)</f>
        <v>40351.495185185187</v>
      </c>
      <c r="C524">
        <v>80</v>
      </c>
      <c r="D524">
        <v>79.958961486999996</v>
      </c>
      <c r="E524">
        <v>50</v>
      </c>
      <c r="F524">
        <v>14.999918938</v>
      </c>
      <c r="G524">
        <v>1336.4982910000001</v>
      </c>
      <c r="H524">
        <v>1334.9147949000001</v>
      </c>
      <c r="I524">
        <v>1325.5283202999999</v>
      </c>
      <c r="J524">
        <v>1323.5261230000001</v>
      </c>
      <c r="K524">
        <v>2400</v>
      </c>
      <c r="L524">
        <v>0</v>
      </c>
      <c r="M524">
        <v>0</v>
      </c>
      <c r="N524">
        <v>2400</v>
      </c>
    </row>
    <row r="525" spans="1:14" x14ac:dyDescent="0.25">
      <c r="A525">
        <v>52.678244999999997</v>
      </c>
      <c r="B525" s="1">
        <f>DATE(2010,6,22) + TIME(16,16,40)</f>
        <v>40351.678240740737</v>
      </c>
      <c r="C525">
        <v>80</v>
      </c>
      <c r="D525">
        <v>79.958961486999996</v>
      </c>
      <c r="E525">
        <v>50</v>
      </c>
      <c r="F525">
        <v>14.999920845</v>
      </c>
      <c r="G525">
        <v>1336.4970702999999</v>
      </c>
      <c r="H525">
        <v>1334.9139404</v>
      </c>
      <c r="I525">
        <v>1325.5286865</v>
      </c>
      <c r="J525">
        <v>1323.5263672000001</v>
      </c>
      <c r="K525">
        <v>2400</v>
      </c>
      <c r="L525">
        <v>0</v>
      </c>
      <c r="M525">
        <v>0</v>
      </c>
      <c r="N525">
        <v>2400</v>
      </c>
    </row>
    <row r="526" spans="1:14" x14ac:dyDescent="0.25">
      <c r="A526">
        <v>52.860591999999997</v>
      </c>
      <c r="B526" s="1">
        <f>DATE(2010,6,22) + TIME(20,39,15)</f>
        <v>40351.860590277778</v>
      </c>
      <c r="C526">
        <v>80</v>
      </c>
      <c r="D526">
        <v>79.958961486999996</v>
      </c>
      <c r="E526">
        <v>50</v>
      </c>
      <c r="F526">
        <v>14.999923706000001</v>
      </c>
      <c r="G526">
        <v>1336.4958495999999</v>
      </c>
      <c r="H526">
        <v>1334.9130858999999</v>
      </c>
      <c r="I526">
        <v>1325.5290527</v>
      </c>
      <c r="J526">
        <v>1323.5266113</v>
      </c>
      <c r="K526">
        <v>2400</v>
      </c>
      <c r="L526">
        <v>0</v>
      </c>
      <c r="M526">
        <v>0</v>
      </c>
      <c r="N526">
        <v>2400</v>
      </c>
    </row>
    <row r="527" spans="1:14" x14ac:dyDescent="0.25">
      <c r="A527">
        <v>53.042361</v>
      </c>
      <c r="B527" s="1">
        <f>DATE(2010,6,23) + TIME(1,1,0)</f>
        <v>40352.042361111111</v>
      </c>
      <c r="C527">
        <v>80</v>
      </c>
      <c r="D527">
        <v>79.958961486999996</v>
      </c>
      <c r="E527">
        <v>50</v>
      </c>
      <c r="F527">
        <v>14.999925613</v>
      </c>
      <c r="G527">
        <v>1336.4946289</v>
      </c>
      <c r="H527">
        <v>1334.9123535000001</v>
      </c>
      <c r="I527">
        <v>1325.5294189000001</v>
      </c>
      <c r="J527">
        <v>1323.5267334</v>
      </c>
      <c r="K527">
        <v>2400</v>
      </c>
      <c r="L527">
        <v>0</v>
      </c>
      <c r="M527">
        <v>0</v>
      </c>
      <c r="N527">
        <v>2400</v>
      </c>
    </row>
    <row r="528" spans="1:14" x14ac:dyDescent="0.25">
      <c r="A528">
        <v>53.223685000000003</v>
      </c>
      <c r="B528" s="1">
        <f>DATE(2010,6,23) + TIME(5,22,6)</f>
        <v>40352.223680555559</v>
      </c>
      <c r="C528">
        <v>80</v>
      </c>
      <c r="D528">
        <v>79.958961486999996</v>
      </c>
      <c r="E528">
        <v>50</v>
      </c>
      <c r="F528">
        <v>14.999928474000001</v>
      </c>
      <c r="G528">
        <v>1336.4934082</v>
      </c>
      <c r="H528">
        <v>1334.911499</v>
      </c>
      <c r="I528">
        <v>1325.5297852000001</v>
      </c>
      <c r="J528">
        <v>1323.5269774999999</v>
      </c>
      <c r="K528">
        <v>2400</v>
      </c>
      <c r="L528">
        <v>0</v>
      </c>
      <c r="M528">
        <v>0</v>
      </c>
      <c r="N528">
        <v>2400</v>
      </c>
    </row>
    <row r="529" spans="1:14" x14ac:dyDescent="0.25">
      <c r="A529">
        <v>53.404693999999999</v>
      </c>
      <c r="B529" s="1">
        <f>DATE(2010,6,23) + TIME(9,42,45)</f>
        <v>40352.404687499999</v>
      </c>
      <c r="C529">
        <v>80</v>
      </c>
      <c r="D529">
        <v>79.958969116000006</v>
      </c>
      <c r="E529">
        <v>50</v>
      </c>
      <c r="F529">
        <v>14.999930382000001</v>
      </c>
      <c r="G529">
        <v>1336.4923096</v>
      </c>
      <c r="H529">
        <v>1334.9107666</v>
      </c>
      <c r="I529">
        <v>1325.5301514</v>
      </c>
      <c r="J529">
        <v>1323.5272216999999</v>
      </c>
      <c r="K529">
        <v>2400</v>
      </c>
      <c r="L529">
        <v>0</v>
      </c>
      <c r="M529">
        <v>0</v>
      </c>
      <c r="N529">
        <v>2400</v>
      </c>
    </row>
    <row r="530" spans="1:14" x14ac:dyDescent="0.25">
      <c r="A530">
        <v>53.585509999999999</v>
      </c>
      <c r="B530" s="1">
        <f>DATE(2010,6,23) + TIME(14,3,8)</f>
        <v>40352.585509259261</v>
      </c>
      <c r="C530">
        <v>80</v>
      </c>
      <c r="D530">
        <v>79.958969116000006</v>
      </c>
      <c r="E530">
        <v>50</v>
      </c>
      <c r="F530">
        <v>14.999933242999999</v>
      </c>
      <c r="G530">
        <v>1336.4910889</v>
      </c>
      <c r="H530">
        <v>1334.9100341999999</v>
      </c>
      <c r="I530">
        <v>1325.5306396000001</v>
      </c>
      <c r="J530">
        <v>1323.5274658000001</v>
      </c>
      <c r="K530">
        <v>2400</v>
      </c>
      <c r="L530">
        <v>0</v>
      </c>
      <c r="M530">
        <v>0</v>
      </c>
      <c r="N530">
        <v>2400</v>
      </c>
    </row>
    <row r="531" spans="1:14" x14ac:dyDescent="0.25">
      <c r="A531">
        <v>53.766258000000001</v>
      </c>
      <c r="B531" s="1">
        <f>DATE(2010,6,23) + TIME(18,23,24)</f>
        <v>40352.766250000001</v>
      </c>
      <c r="C531">
        <v>80</v>
      </c>
      <c r="D531">
        <v>79.958969116000006</v>
      </c>
      <c r="E531">
        <v>50</v>
      </c>
      <c r="F531">
        <v>14.999936104</v>
      </c>
      <c r="G531">
        <v>1336.4898682</v>
      </c>
      <c r="H531">
        <v>1334.9091797000001</v>
      </c>
      <c r="I531">
        <v>1325.5310059000001</v>
      </c>
      <c r="J531">
        <v>1323.5277100000001</v>
      </c>
      <c r="K531">
        <v>2400</v>
      </c>
      <c r="L531">
        <v>0</v>
      </c>
      <c r="M531">
        <v>0</v>
      </c>
      <c r="N531">
        <v>2400</v>
      </c>
    </row>
    <row r="532" spans="1:14" x14ac:dyDescent="0.25">
      <c r="A532">
        <v>53.947004999999997</v>
      </c>
      <c r="B532" s="1">
        <f>DATE(2010,6,23) + TIME(22,43,41)</f>
        <v>40352.947002314817</v>
      </c>
      <c r="C532">
        <v>80</v>
      </c>
      <c r="D532">
        <v>79.958976746000005</v>
      </c>
      <c r="E532">
        <v>50</v>
      </c>
      <c r="F532">
        <v>14.999939918999999</v>
      </c>
      <c r="G532">
        <v>1336.4887695</v>
      </c>
      <c r="H532">
        <v>1334.9084473</v>
      </c>
      <c r="I532">
        <v>1325.5313721</v>
      </c>
      <c r="J532">
        <v>1323.5279541</v>
      </c>
      <c r="K532">
        <v>2400</v>
      </c>
      <c r="L532">
        <v>0</v>
      </c>
      <c r="M532">
        <v>0</v>
      </c>
      <c r="N532">
        <v>2400</v>
      </c>
    </row>
    <row r="533" spans="1:14" x14ac:dyDescent="0.25">
      <c r="A533">
        <v>54.127752000000001</v>
      </c>
      <c r="B533" s="1">
        <f>DATE(2010,6,24) + TIME(3,3,57)</f>
        <v>40353.127743055556</v>
      </c>
      <c r="C533">
        <v>80</v>
      </c>
      <c r="D533">
        <v>79.958976746000005</v>
      </c>
      <c r="E533">
        <v>50</v>
      </c>
      <c r="F533">
        <v>14.99994278</v>
      </c>
      <c r="G533">
        <v>1336.4875488</v>
      </c>
      <c r="H533">
        <v>1334.9077147999999</v>
      </c>
      <c r="I533">
        <v>1325.5317382999999</v>
      </c>
      <c r="J533">
        <v>1323.5281981999999</v>
      </c>
      <c r="K533">
        <v>2400</v>
      </c>
      <c r="L533">
        <v>0</v>
      </c>
      <c r="M533">
        <v>0</v>
      </c>
      <c r="N533">
        <v>2400</v>
      </c>
    </row>
    <row r="534" spans="1:14" x14ac:dyDescent="0.25">
      <c r="A534">
        <v>54.308500000000002</v>
      </c>
      <c r="B534" s="1">
        <f>DATE(2010,6,24) + TIME(7,24,14)</f>
        <v>40353.308495370373</v>
      </c>
      <c r="C534">
        <v>80</v>
      </c>
      <c r="D534">
        <v>79.958976746000005</v>
      </c>
      <c r="E534">
        <v>50</v>
      </c>
      <c r="F534">
        <v>14.999946594000001</v>
      </c>
      <c r="G534">
        <v>1336.4864502</v>
      </c>
      <c r="H534">
        <v>1334.9068603999999</v>
      </c>
      <c r="I534">
        <v>1325.5321045000001</v>
      </c>
      <c r="J534">
        <v>1323.5283202999999</v>
      </c>
      <c r="K534">
        <v>2400</v>
      </c>
      <c r="L534">
        <v>0</v>
      </c>
      <c r="M534">
        <v>0</v>
      </c>
      <c r="N534">
        <v>2400</v>
      </c>
    </row>
    <row r="535" spans="1:14" x14ac:dyDescent="0.25">
      <c r="A535">
        <v>54.489246999999999</v>
      </c>
      <c r="B535" s="1">
        <f>DATE(2010,6,24) + TIME(11,44,30)</f>
        <v>40353.489236111112</v>
      </c>
      <c r="C535">
        <v>80</v>
      </c>
      <c r="D535">
        <v>79.958984375</v>
      </c>
      <c r="E535">
        <v>50</v>
      </c>
      <c r="F535">
        <v>14.999950409</v>
      </c>
      <c r="G535">
        <v>1336.4852295000001</v>
      </c>
      <c r="H535">
        <v>1334.9061279</v>
      </c>
      <c r="I535">
        <v>1325.5325928</v>
      </c>
      <c r="J535">
        <v>1323.5285644999999</v>
      </c>
      <c r="K535">
        <v>2400</v>
      </c>
      <c r="L535">
        <v>0</v>
      </c>
      <c r="M535">
        <v>0</v>
      </c>
      <c r="N535">
        <v>2400</v>
      </c>
    </row>
    <row r="536" spans="1:14" x14ac:dyDescent="0.25">
      <c r="A536">
        <v>54.669994000000003</v>
      </c>
      <c r="B536" s="1">
        <f>DATE(2010,6,24) + TIME(16,4,47)</f>
        <v>40353.669988425929</v>
      </c>
      <c r="C536">
        <v>80</v>
      </c>
      <c r="D536">
        <v>79.958984375</v>
      </c>
      <c r="E536">
        <v>50</v>
      </c>
      <c r="F536">
        <v>14.999955177</v>
      </c>
      <c r="G536">
        <v>1336.4841309000001</v>
      </c>
      <c r="H536">
        <v>1334.9053954999999</v>
      </c>
      <c r="I536">
        <v>1325.5329589999999</v>
      </c>
      <c r="J536">
        <v>1323.5288086</v>
      </c>
      <c r="K536">
        <v>2400</v>
      </c>
      <c r="L536">
        <v>0</v>
      </c>
      <c r="M536">
        <v>0</v>
      </c>
      <c r="N536">
        <v>2400</v>
      </c>
    </row>
    <row r="537" spans="1:14" x14ac:dyDescent="0.25">
      <c r="A537">
        <v>54.850741999999997</v>
      </c>
      <c r="B537" s="1">
        <f>DATE(2010,6,24) + TIME(20,25,4)</f>
        <v>40353.850740740738</v>
      </c>
      <c r="C537">
        <v>80</v>
      </c>
      <c r="D537">
        <v>79.958984375</v>
      </c>
      <c r="E537">
        <v>50</v>
      </c>
      <c r="F537">
        <v>14.999958992</v>
      </c>
      <c r="G537">
        <v>1336.4830322</v>
      </c>
      <c r="H537">
        <v>1334.9046631000001</v>
      </c>
      <c r="I537">
        <v>1325.5333252</v>
      </c>
      <c r="J537">
        <v>1323.5290527</v>
      </c>
      <c r="K537">
        <v>2400</v>
      </c>
      <c r="L537">
        <v>0</v>
      </c>
      <c r="M537">
        <v>0</v>
      </c>
      <c r="N537">
        <v>2400</v>
      </c>
    </row>
    <row r="538" spans="1:14" x14ac:dyDescent="0.25">
      <c r="A538">
        <v>55.212235999999997</v>
      </c>
      <c r="B538" s="1">
        <f>DATE(2010,6,25) + TIME(5,5,37)</f>
        <v>40354.212233796294</v>
      </c>
      <c r="C538">
        <v>80</v>
      </c>
      <c r="D538">
        <v>79.958999633999994</v>
      </c>
      <c r="E538">
        <v>50</v>
      </c>
      <c r="F538">
        <v>14.999967574999999</v>
      </c>
      <c r="G538">
        <v>1336.4818115</v>
      </c>
      <c r="H538">
        <v>1334.9039307</v>
      </c>
      <c r="I538">
        <v>1325.5336914</v>
      </c>
      <c r="J538">
        <v>1323.5292969</v>
      </c>
      <c r="K538">
        <v>2400</v>
      </c>
      <c r="L538">
        <v>0</v>
      </c>
      <c r="M538">
        <v>0</v>
      </c>
      <c r="N538">
        <v>2400</v>
      </c>
    </row>
    <row r="539" spans="1:14" x14ac:dyDescent="0.25">
      <c r="A539">
        <v>55.575218</v>
      </c>
      <c r="B539" s="1">
        <f>DATE(2010,6,25) + TIME(13,48,18)</f>
        <v>40354.575208333335</v>
      </c>
      <c r="C539">
        <v>80</v>
      </c>
      <c r="D539">
        <v>79.959007263000004</v>
      </c>
      <c r="E539">
        <v>50</v>
      </c>
      <c r="F539">
        <v>14.999978065000001</v>
      </c>
      <c r="G539">
        <v>1336.4796143000001</v>
      </c>
      <c r="H539">
        <v>1334.9024658000001</v>
      </c>
      <c r="I539">
        <v>1325.5345459</v>
      </c>
      <c r="J539">
        <v>1323.5297852000001</v>
      </c>
      <c r="K539">
        <v>2400</v>
      </c>
      <c r="L539">
        <v>0</v>
      </c>
      <c r="M539">
        <v>0</v>
      </c>
      <c r="N539">
        <v>2400</v>
      </c>
    </row>
    <row r="540" spans="1:14" x14ac:dyDescent="0.25">
      <c r="A540">
        <v>55.942912999999997</v>
      </c>
      <c r="B540" s="1">
        <f>DATE(2010,6,25) + TIME(22,37,47)</f>
        <v>40354.94290509259</v>
      </c>
      <c r="C540">
        <v>80</v>
      </c>
      <c r="D540">
        <v>79.959014893000003</v>
      </c>
      <c r="E540">
        <v>50</v>
      </c>
      <c r="F540">
        <v>14.999989510000001</v>
      </c>
      <c r="G540">
        <v>1336.4774170000001</v>
      </c>
      <c r="H540">
        <v>1334.901001</v>
      </c>
      <c r="I540">
        <v>1325.5354004000001</v>
      </c>
      <c r="J540">
        <v>1323.5302733999999</v>
      </c>
      <c r="K540">
        <v>2400</v>
      </c>
      <c r="L540">
        <v>0</v>
      </c>
      <c r="M540">
        <v>0</v>
      </c>
      <c r="N540">
        <v>2400</v>
      </c>
    </row>
    <row r="541" spans="1:14" x14ac:dyDescent="0.25">
      <c r="A541">
        <v>56.316256000000003</v>
      </c>
      <c r="B541" s="1">
        <f>DATE(2010,6,26) + TIME(7,35,24)</f>
        <v>40355.316250000003</v>
      </c>
      <c r="C541">
        <v>80</v>
      </c>
      <c r="D541">
        <v>79.959022521999998</v>
      </c>
      <c r="E541">
        <v>50</v>
      </c>
      <c r="F541">
        <v>15.000003814999999</v>
      </c>
      <c r="G541">
        <v>1336.4750977000001</v>
      </c>
      <c r="H541">
        <v>1334.8995361</v>
      </c>
      <c r="I541">
        <v>1325.5362548999999</v>
      </c>
      <c r="J541">
        <v>1323.5307617000001</v>
      </c>
      <c r="K541">
        <v>2400</v>
      </c>
      <c r="L541">
        <v>0</v>
      </c>
      <c r="M541">
        <v>0</v>
      </c>
      <c r="N541">
        <v>2400</v>
      </c>
    </row>
    <row r="542" spans="1:14" x14ac:dyDescent="0.25">
      <c r="A542">
        <v>56.696264999999997</v>
      </c>
      <c r="B542" s="1">
        <f>DATE(2010,6,26) + TIME(16,42,37)</f>
        <v>40355.696261574078</v>
      </c>
      <c r="C542">
        <v>80</v>
      </c>
      <c r="D542">
        <v>79.959030150999993</v>
      </c>
      <c r="E542">
        <v>50</v>
      </c>
      <c r="F542">
        <v>15.000020027</v>
      </c>
      <c r="G542">
        <v>1336.4729004000001</v>
      </c>
      <c r="H542">
        <v>1334.8980713000001</v>
      </c>
      <c r="I542">
        <v>1325.5371094</v>
      </c>
      <c r="J542">
        <v>1323.53125</v>
      </c>
      <c r="K542">
        <v>2400</v>
      </c>
      <c r="L542">
        <v>0</v>
      </c>
      <c r="M542">
        <v>0</v>
      </c>
      <c r="N542">
        <v>2400</v>
      </c>
    </row>
    <row r="543" spans="1:14" x14ac:dyDescent="0.25">
      <c r="A543">
        <v>57.081575000000001</v>
      </c>
      <c r="B543" s="1">
        <f>DATE(2010,6,27) + TIME(1,57,28)</f>
        <v>40356.081574074073</v>
      </c>
      <c r="C543">
        <v>80</v>
      </c>
      <c r="D543">
        <v>79.959037781000006</v>
      </c>
      <c r="E543">
        <v>50</v>
      </c>
      <c r="F543">
        <v>15.000040053999999</v>
      </c>
      <c r="G543">
        <v>1336.4705810999999</v>
      </c>
      <c r="H543">
        <v>1334.8964844</v>
      </c>
      <c r="I543">
        <v>1325.5379639</v>
      </c>
      <c r="J543">
        <v>1323.5317382999999</v>
      </c>
      <c r="K543">
        <v>2400</v>
      </c>
      <c r="L543">
        <v>0</v>
      </c>
      <c r="M543">
        <v>0</v>
      </c>
      <c r="N543">
        <v>2400</v>
      </c>
    </row>
    <row r="544" spans="1:14" x14ac:dyDescent="0.25">
      <c r="A544">
        <v>57.471924000000001</v>
      </c>
      <c r="B544" s="1">
        <f>DATE(2010,6,27) + TIME(11,19,34)</f>
        <v>40356.471921296295</v>
      </c>
      <c r="C544">
        <v>80</v>
      </c>
      <c r="D544">
        <v>79.959045410000002</v>
      </c>
      <c r="E544">
        <v>50</v>
      </c>
      <c r="F544">
        <v>15.000062943</v>
      </c>
      <c r="G544">
        <v>1336.4682617000001</v>
      </c>
      <c r="H544">
        <v>1334.8950195</v>
      </c>
      <c r="I544">
        <v>1325.5388184000001</v>
      </c>
      <c r="J544">
        <v>1323.5322266000001</v>
      </c>
      <c r="K544">
        <v>2400</v>
      </c>
      <c r="L544">
        <v>0</v>
      </c>
      <c r="M544">
        <v>0</v>
      </c>
      <c r="N544">
        <v>2400</v>
      </c>
    </row>
    <row r="545" spans="1:14" x14ac:dyDescent="0.25">
      <c r="A545">
        <v>57.667242999999999</v>
      </c>
      <c r="B545" s="1">
        <f>DATE(2010,6,27) + TIME(16,0,49)</f>
        <v>40356.667233796295</v>
      </c>
      <c r="C545">
        <v>80</v>
      </c>
      <c r="D545">
        <v>79.959045410000002</v>
      </c>
      <c r="E545">
        <v>50</v>
      </c>
      <c r="F545">
        <v>15.000078201000001</v>
      </c>
      <c r="G545">
        <v>1336.4659423999999</v>
      </c>
      <c r="H545">
        <v>1334.8935547000001</v>
      </c>
      <c r="I545">
        <v>1325.5397949000001</v>
      </c>
      <c r="J545">
        <v>1323.5327147999999</v>
      </c>
      <c r="K545">
        <v>2400</v>
      </c>
      <c r="L545">
        <v>0</v>
      </c>
      <c r="M545">
        <v>0</v>
      </c>
      <c r="N545">
        <v>2400</v>
      </c>
    </row>
    <row r="546" spans="1:14" x14ac:dyDescent="0.25">
      <c r="A546">
        <v>57.862045000000002</v>
      </c>
      <c r="B546" s="1">
        <f>DATE(2010,6,27) + TIME(20,41,20)</f>
        <v>40356.862037037034</v>
      </c>
      <c r="C546">
        <v>80</v>
      </c>
      <c r="D546">
        <v>79.959045410000002</v>
      </c>
      <c r="E546">
        <v>50</v>
      </c>
      <c r="F546">
        <v>15.000095367</v>
      </c>
      <c r="G546">
        <v>1336.4648437999999</v>
      </c>
      <c r="H546">
        <v>1334.8928223</v>
      </c>
      <c r="I546">
        <v>1325.5402832</v>
      </c>
      <c r="J546">
        <v>1323.5329589999999</v>
      </c>
      <c r="K546">
        <v>2400</v>
      </c>
      <c r="L546">
        <v>0</v>
      </c>
      <c r="M546">
        <v>0</v>
      </c>
      <c r="N546">
        <v>2400</v>
      </c>
    </row>
    <row r="547" spans="1:14" x14ac:dyDescent="0.25">
      <c r="A547">
        <v>58.056294999999999</v>
      </c>
      <c r="B547" s="1">
        <f>DATE(2010,6,28) + TIME(1,21,3)</f>
        <v>40357.056284722225</v>
      </c>
      <c r="C547">
        <v>80</v>
      </c>
      <c r="D547">
        <v>79.959045410000002</v>
      </c>
      <c r="E547">
        <v>50</v>
      </c>
      <c r="F547">
        <v>15.000112533999999</v>
      </c>
      <c r="G547">
        <v>1336.4637451000001</v>
      </c>
      <c r="H547">
        <v>1334.8919678</v>
      </c>
      <c r="I547">
        <v>1325.5407714999999</v>
      </c>
      <c r="J547">
        <v>1323.5333252</v>
      </c>
      <c r="K547">
        <v>2400</v>
      </c>
      <c r="L547">
        <v>0</v>
      </c>
      <c r="M547">
        <v>0</v>
      </c>
      <c r="N547">
        <v>2400</v>
      </c>
    </row>
    <row r="548" spans="1:14" x14ac:dyDescent="0.25">
      <c r="A548">
        <v>58.250137000000002</v>
      </c>
      <c r="B548" s="1">
        <f>DATE(2010,6,28) + TIME(6,0,11)</f>
        <v>40357.250127314815</v>
      </c>
      <c r="C548">
        <v>80</v>
      </c>
      <c r="D548">
        <v>79.959045410000002</v>
      </c>
      <c r="E548">
        <v>50</v>
      </c>
      <c r="F548">
        <v>15.000131607</v>
      </c>
      <c r="G548">
        <v>1336.4626464999999</v>
      </c>
      <c r="H548">
        <v>1334.8912353999999</v>
      </c>
      <c r="I548">
        <v>1325.5412598</v>
      </c>
      <c r="J548">
        <v>1323.5335693</v>
      </c>
      <c r="K548">
        <v>2400</v>
      </c>
      <c r="L548">
        <v>0</v>
      </c>
      <c r="M548">
        <v>0</v>
      </c>
      <c r="N548">
        <v>2400</v>
      </c>
    </row>
    <row r="549" spans="1:14" x14ac:dyDescent="0.25">
      <c r="A549">
        <v>58.443714</v>
      </c>
      <c r="B549" s="1">
        <f>DATE(2010,6,28) + TIME(10,38,56)</f>
        <v>40357.443703703706</v>
      </c>
      <c r="C549">
        <v>80</v>
      </c>
      <c r="D549">
        <v>79.959053040000001</v>
      </c>
      <c r="E549">
        <v>50</v>
      </c>
      <c r="F549">
        <v>15.000150680999999</v>
      </c>
      <c r="G549">
        <v>1336.4614257999999</v>
      </c>
      <c r="H549">
        <v>1334.890625</v>
      </c>
      <c r="I549">
        <v>1325.541626</v>
      </c>
      <c r="J549">
        <v>1323.5338135</v>
      </c>
      <c r="K549">
        <v>2400</v>
      </c>
      <c r="L549">
        <v>0</v>
      </c>
      <c r="M549">
        <v>0</v>
      </c>
      <c r="N549">
        <v>2400</v>
      </c>
    </row>
    <row r="550" spans="1:14" x14ac:dyDescent="0.25">
      <c r="A550">
        <v>58.637163000000001</v>
      </c>
      <c r="B550" s="1">
        <f>DATE(2010,6,28) + TIME(15,17,30)</f>
        <v>40357.637152777781</v>
      </c>
      <c r="C550">
        <v>80</v>
      </c>
      <c r="D550">
        <v>79.959053040000001</v>
      </c>
      <c r="E550">
        <v>50</v>
      </c>
      <c r="F550">
        <v>15.000172615</v>
      </c>
      <c r="G550">
        <v>1336.4603271000001</v>
      </c>
      <c r="H550">
        <v>1334.8898925999999</v>
      </c>
      <c r="I550">
        <v>1325.5421143000001</v>
      </c>
      <c r="J550">
        <v>1323.5340576000001</v>
      </c>
      <c r="K550">
        <v>2400</v>
      </c>
      <c r="L550">
        <v>0</v>
      </c>
      <c r="M550">
        <v>0</v>
      </c>
      <c r="N550">
        <v>2400</v>
      </c>
    </row>
    <row r="551" spans="1:14" x14ac:dyDescent="0.25">
      <c r="A551">
        <v>58.830612000000002</v>
      </c>
      <c r="B551" s="1">
        <f>DATE(2010,6,28) + TIME(19,56,4)</f>
        <v>40357.830601851849</v>
      </c>
      <c r="C551">
        <v>80</v>
      </c>
      <c r="D551">
        <v>79.959060668999996</v>
      </c>
      <c r="E551">
        <v>50</v>
      </c>
      <c r="F551">
        <v>15.00019455</v>
      </c>
      <c r="G551">
        <v>1336.4592285000001</v>
      </c>
      <c r="H551">
        <v>1334.8891602000001</v>
      </c>
      <c r="I551">
        <v>1325.5426024999999</v>
      </c>
      <c r="J551">
        <v>1323.5343018000001</v>
      </c>
      <c r="K551">
        <v>2400</v>
      </c>
      <c r="L551">
        <v>0</v>
      </c>
      <c r="M551">
        <v>0</v>
      </c>
      <c r="N551">
        <v>2400</v>
      </c>
    </row>
    <row r="552" spans="1:14" x14ac:dyDescent="0.25">
      <c r="A552">
        <v>59.024061000000003</v>
      </c>
      <c r="B552" s="1">
        <f>DATE(2010,6,29) + TIME(0,34,38)</f>
        <v>40358.024050925924</v>
      </c>
      <c r="C552">
        <v>80</v>
      </c>
      <c r="D552">
        <v>79.959060668999996</v>
      </c>
      <c r="E552">
        <v>50</v>
      </c>
      <c r="F552">
        <v>15.000219345</v>
      </c>
      <c r="G552">
        <v>1336.4581298999999</v>
      </c>
      <c r="H552">
        <v>1334.8884277</v>
      </c>
      <c r="I552">
        <v>1325.5430908000001</v>
      </c>
      <c r="J552">
        <v>1323.534668</v>
      </c>
      <c r="K552">
        <v>2400</v>
      </c>
      <c r="L552">
        <v>0</v>
      </c>
      <c r="M552">
        <v>0</v>
      </c>
      <c r="N552">
        <v>2400</v>
      </c>
    </row>
    <row r="553" spans="1:14" x14ac:dyDescent="0.25">
      <c r="A553">
        <v>59.217509999999997</v>
      </c>
      <c r="B553" s="1">
        <f>DATE(2010,6,29) + TIME(5,13,12)</f>
        <v>40358.217499999999</v>
      </c>
      <c r="C553">
        <v>80</v>
      </c>
      <c r="D553">
        <v>79.959068298000005</v>
      </c>
      <c r="E553">
        <v>50</v>
      </c>
      <c r="F553">
        <v>15.000245094</v>
      </c>
      <c r="G553">
        <v>1336.4570312000001</v>
      </c>
      <c r="H553">
        <v>1334.8876952999999</v>
      </c>
      <c r="I553">
        <v>1325.5435791</v>
      </c>
      <c r="J553">
        <v>1323.5349120999999</v>
      </c>
      <c r="K553">
        <v>2400</v>
      </c>
      <c r="L553">
        <v>0</v>
      </c>
      <c r="M553">
        <v>0</v>
      </c>
      <c r="N553">
        <v>2400</v>
      </c>
    </row>
    <row r="554" spans="1:14" x14ac:dyDescent="0.25">
      <c r="A554">
        <v>59.410960000000003</v>
      </c>
      <c r="B554" s="1">
        <f>DATE(2010,6,29) + TIME(9,51,46)</f>
        <v>40358.410949074074</v>
      </c>
      <c r="C554">
        <v>80</v>
      </c>
      <c r="D554">
        <v>79.959068298000005</v>
      </c>
      <c r="E554">
        <v>50</v>
      </c>
      <c r="F554">
        <v>15.000272751000001</v>
      </c>
      <c r="G554">
        <v>1336.4559326000001</v>
      </c>
      <c r="H554">
        <v>1334.8869629000001</v>
      </c>
      <c r="I554">
        <v>1325.5440673999999</v>
      </c>
      <c r="J554">
        <v>1323.5351562000001</v>
      </c>
      <c r="K554">
        <v>2400</v>
      </c>
      <c r="L554">
        <v>0</v>
      </c>
      <c r="M554">
        <v>0</v>
      </c>
      <c r="N554">
        <v>2400</v>
      </c>
    </row>
    <row r="555" spans="1:14" x14ac:dyDescent="0.25">
      <c r="A555">
        <v>59.604408999999997</v>
      </c>
      <c r="B555" s="1">
        <f>DATE(2010,6,29) + TIME(14,30,20)</f>
        <v>40358.604398148149</v>
      </c>
      <c r="C555">
        <v>80</v>
      </c>
      <c r="D555">
        <v>79.959075928000004</v>
      </c>
      <c r="E555">
        <v>50</v>
      </c>
      <c r="F555">
        <v>15.000302315000001</v>
      </c>
      <c r="G555">
        <v>1336.4549560999999</v>
      </c>
      <c r="H555">
        <v>1334.8862305</v>
      </c>
      <c r="I555">
        <v>1325.5445557</v>
      </c>
      <c r="J555">
        <v>1323.5354004000001</v>
      </c>
      <c r="K555">
        <v>2400</v>
      </c>
      <c r="L555">
        <v>0</v>
      </c>
      <c r="M555">
        <v>0</v>
      </c>
      <c r="N555">
        <v>2400</v>
      </c>
    </row>
    <row r="556" spans="1:14" x14ac:dyDescent="0.25">
      <c r="A556">
        <v>59.797857999999998</v>
      </c>
      <c r="B556" s="1">
        <f>DATE(2010,6,29) + TIME(19,8,54)</f>
        <v>40358.797847222224</v>
      </c>
      <c r="C556">
        <v>80</v>
      </c>
      <c r="D556">
        <v>79.959075928000004</v>
      </c>
      <c r="E556">
        <v>50</v>
      </c>
      <c r="F556">
        <v>15.00033474</v>
      </c>
      <c r="G556">
        <v>1336.4538574000001</v>
      </c>
      <c r="H556">
        <v>1334.8856201000001</v>
      </c>
      <c r="I556">
        <v>1325.5450439000001</v>
      </c>
      <c r="J556">
        <v>1323.5357666</v>
      </c>
      <c r="K556">
        <v>2400</v>
      </c>
      <c r="L556">
        <v>0</v>
      </c>
      <c r="M556">
        <v>0</v>
      </c>
      <c r="N556">
        <v>2400</v>
      </c>
    </row>
    <row r="557" spans="1:14" x14ac:dyDescent="0.25">
      <c r="A557">
        <v>60.184756</v>
      </c>
      <c r="B557" s="1">
        <f>DATE(2010,6,30) + TIME(4,26,2)</f>
        <v>40359.184745370374</v>
      </c>
      <c r="C557">
        <v>80</v>
      </c>
      <c r="D557">
        <v>79.959091186999999</v>
      </c>
      <c r="E557">
        <v>50</v>
      </c>
      <c r="F557">
        <v>15.000392914000001</v>
      </c>
      <c r="G557">
        <v>1336.4527588000001</v>
      </c>
      <c r="H557">
        <v>1334.8848877</v>
      </c>
      <c r="I557">
        <v>1325.5456543</v>
      </c>
      <c r="J557">
        <v>1323.5360106999999</v>
      </c>
      <c r="K557">
        <v>2400</v>
      </c>
      <c r="L557">
        <v>0</v>
      </c>
      <c r="M557">
        <v>0</v>
      </c>
      <c r="N557">
        <v>2400</v>
      </c>
    </row>
    <row r="558" spans="1:14" x14ac:dyDescent="0.25">
      <c r="A558">
        <v>60.572439000000003</v>
      </c>
      <c r="B558" s="1">
        <f>DATE(2010,6,30) + TIME(13,44,18)</f>
        <v>40359.572430555556</v>
      </c>
      <c r="C558">
        <v>80</v>
      </c>
      <c r="D558">
        <v>79.959098815999994</v>
      </c>
      <c r="E558">
        <v>50</v>
      </c>
      <c r="F558">
        <v>15.000462532</v>
      </c>
      <c r="G558">
        <v>1336.4506836</v>
      </c>
      <c r="H558">
        <v>1334.8835449000001</v>
      </c>
      <c r="I558">
        <v>1325.5466309000001</v>
      </c>
      <c r="J558">
        <v>1323.536499</v>
      </c>
      <c r="K558">
        <v>2400</v>
      </c>
      <c r="L558">
        <v>0</v>
      </c>
      <c r="M558">
        <v>0</v>
      </c>
      <c r="N558">
        <v>2400</v>
      </c>
    </row>
    <row r="559" spans="1:14" x14ac:dyDescent="0.25">
      <c r="A559">
        <v>60.964818999999999</v>
      </c>
      <c r="B559" s="1">
        <f>DATE(2010,6,30) + TIME(23,9,20)</f>
        <v>40359.964814814812</v>
      </c>
      <c r="C559">
        <v>80</v>
      </c>
      <c r="D559">
        <v>79.959114075000002</v>
      </c>
      <c r="E559">
        <v>50</v>
      </c>
      <c r="F559">
        <v>15.000546455</v>
      </c>
      <c r="G559">
        <v>1336.4484863</v>
      </c>
      <c r="H559">
        <v>1334.8820800999999</v>
      </c>
      <c r="I559">
        <v>1325.5476074000001</v>
      </c>
      <c r="J559">
        <v>1323.5371094</v>
      </c>
      <c r="K559">
        <v>2400</v>
      </c>
      <c r="L559">
        <v>0</v>
      </c>
      <c r="M559">
        <v>0</v>
      </c>
      <c r="N559">
        <v>2400</v>
      </c>
    </row>
    <row r="560" spans="1:14" x14ac:dyDescent="0.25">
      <c r="A560">
        <v>61</v>
      </c>
      <c r="B560" s="1">
        <f>DATE(2010,7,1) + TIME(0,0,0)</f>
        <v>40360</v>
      </c>
      <c r="C560">
        <v>80</v>
      </c>
      <c r="D560">
        <v>79.959114075000002</v>
      </c>
      <c r="E560">
        <v>50</v>
      </c>
      <c r="F560">
        <v>15.000558852999999</v>
      </c>
      <c r="G560">
        <v>1336.4464111</v>
      </c>
      <c r="H560">
        <v>1334.8807373</v>
      </c>
      <c r="I560">
        <v>1325.5487060999999</v>
      </c>
      <c r="J560">
        <v>1323.5377197</v>
      </c>
      <c r="K560">
        <v>2400</v>
      </c>
      <c r="L560">
        <v>0</v>
      </c>
      <c r="M560">
        <v>0</v>
      </c>
      <c r="N560">
        <v>2400</v>
      </c>
    </row>
    <row r="561" spans="1:14" x14ac:dyDescent="0.25">
      <c r="A561">
        <v>61.398085999999999</v>
      </c>
      <c r="B561" s="1">
        <f>DATE(2010,7,1) + TIME(9,33,14)</f>
        <v>40360.398078703707</v>
      </c>
      <c r="C561">
        <v>80</v>
      </c>
      <c r="D561">
        <v>79.959121703999998</v>
      </c>
      <c r="E561">
        <v>50</v>
      </c>
      <c r="F561">
        <v>15.000658035000001</v>
      </c>
      <c r="G561">
        <v>1336.4461670000001</v>
      </c>
      <c r="H561">
        <v>1334.8806152</v>
      </c>
      <c r="I561">
        <v>1325.5487060999999</v>
      </c>
      <c r="J561">
        <v>1323.5377197</v>
      </c>
      <c r="K561">
        <v>2400</v>
      </c>
      <c r="L561">
        <v>0</v>
      </c>
      <c r="M561">
        <v>0</v>
      </c>
      <c r="N561">
        <v>2400</v>
      </c>
    </row>
    <row r="562" spans="1:14" x14ac:dyDescent="0.25">
      <c r="A562">
        <v>61.803654000000002</v>
      </c>
      <c r="B562" s="1">
        <f>DATE(2010,7,1) + TIME(19,17,15)</f>
        <v>40360.80364583333</v>
      </c>
      <c r="C562">
        <v>80</v>
      </c>
      <c r="D562">
        <v>79.959129333000007</v>
      </c>
      <c r="E562">
        <v>50</v>
      </c>
      <c r="F562">
        <v>15.000774384</v>
      </c>
      <c r="G562">
        <v>1336.4440918</v>
      </c>
      <c r="H562">
        <v>1334.8792725000001</v>
      </c>
      <c r="I562">
        <v>1325.5498047000001</v>
      </c>
      <c r="J562">
        <v>1323.5383300999999</v>
      </c>
      <c r="K562">
        <v>2400</v>
      </c>
      <c r="L562">
        <v>0</v>
      </c>
      <c r="M562">
        <v>0</v>
      </c>
      <c r="N562">
        <v>2400</v>
      </c>
    </row>
    <row r="563" spans="1:14" x14ac:dyDescent="0.25">
      <c r="A563">
        <v>62.215125</v>
      </c>
      <c r="B563" s="1">
        <f>DATE(2010,7,2) + TIME(5,9,46)</f>
        <v>40361.215115740742</v>
      </c>
      <c r="C563">
        <v>80</v>
      </c>
      <c r="D563">
        <v>79.959136963000006</v>
      </c>
      <c r="E563">
        <v>50</v>
      </c>
      <c r="F563">
        <v>15.000912666</v>
      </c>
      <c r="G563">
        <v>1336.4418945</v>
      </c>
      <c r="H563">
        <v>1334.8778076000001</v>
      </c>
      <c r="I563">
        <v>1325.5509033000001</v>
      </c>
      <c r="J563">
        <v>1323.5389404</v>
      </c>
      <c r="K563">
        <v>2400</v>
      </c>
      <c r="L563">
        <v>0</v>
      </c>
      <c r="M563">
        <v>0</v>
      </c>
      <c r="N563">
        <v>2400</v>
      </c>
    </row>
    <row r="564" spans="1:14" x14ac:dyDescent="0.25">
      <c r="A564">
        <v>62.630842000000001</v>
      </c>
      <c r="B564" s="1">
        <f>DATE(2010,7,2) + TIME(15,8,24)</f>
        <v>40361.630833333336</v>
      </c>
      <c r="C564">
        <v>80</v>
      </c>
      <c r="D564">
        <v>79.959152222</v>
      </c>
      <c r="E564">
        <v>50</v>
      </c>
      <c r="F564">
        <v>15.001073837</v>
      </c>
      <c r="G564">
        <v>1336.4398193</v>
      </c>
      <c r="H564">
        <v>1334.8764647999999</v>
      </c>
      <c r="I564">
        <v>1325.552124</v>
      </c>
      <c r="J564">
        <v>1323.5395507999999</v>
      </c>
      <c r="K564">
        <v>2400</v>
      </c>
      <c r="L564">
        <v>0</v>
      </c>
      <c r="M564">
        <v>0</v>
      </c>
      <c r="N564">
        <v>2400</v>
      </c>
    </row>
    <row r="565" spans="1:14" x14ac:dyDescent="0.25">
      <c r="A565">
        <v>62.840082000000002</v>
      </c>
      <c r="B565" s="1">
        <f>DATE(2010,7,2) + TIME(20,9,43)</f>
        <v>40361.840081018519</v>
      </c>
      <c r="C565">
        <v>80</v>
      </c>
      <c r="D565">
        <v>79.959152222</v>
      </c>
      <c r="E565">
        <v>50</v>
      </c>
      <c r="F565">
        <v>15.001186370999999</v>
      </c>
      <c r="G565">
        <v>1336.4376221</v>
      </c>
      <c r="H565">
        <v>1334.875</v>
      </c>
      <c r="I565">
        <v>1325.5532227000001</v>
      </c>
      <c r="J565">
        <v>1323.5401611</v>
      </c>
      <c r="K565">
        <v>2400</v>
      </c>
      <c r="L565">
        <v>0</v>
      </c>
      <c r="M565">
        <v>0</v>
      </c>
      <c r="N565">
        <v>2400</v>
      </c>
    </row>
    <row r="566" spans="1:14" x14ac:dyDescent="0.25">
      <c r="A566">
        <v>63.048684999999999</v>
      </c>
      <c r="B566" s="1">
        <f>DATE(2010,7,3) + TIME(1,10,6)</f>
        <v>40362.048680555556</v>
      </c>
      <c r="C566">
        <v>80</v>
      </c>
      <c r="D566">
        <v>79.959152222</v>
      </c>
      <c r="E566">
        <v>50</v>
      </c>
      <c r="F566">
        <v>15.001303673000001</v>
      </c>
      <c r="G566">
        <v>1336.4365233999999</v>
      </c>
      <c r="H566">
        <v>1334.8742675999999</v>
      </c>
      <c r="I566">
        <v>1325.5538329999999</v>
      </c>
      <c r="J566">
        <v>1323.5405272999999</v>
      </c>
      <c r="K566">
        <v>2400</v>
      </c>
      <c r="L566">
        <v>0</v>
      </c>
      <c r="M566">
        <v>0</v>
      </c>
      <c r="N566">
        <v>2400</v>
      </c>
    </row>
    <row r="567" spans="1:14" x14ac:dyDescent="0.25">
      <c r="A567">
        <v>63.256667</v>
      </c>
      <c r="B567" s="1">
        <f>DATE(2010,7,3) + TIME(6,9,36)</f>
        <v>40362.256666666668</v>
      </c>
      <c r="C567">
        <v>80</v>
      </c>
      <c r="D567">
        <v>79.959159850999995</v>
      </c>
      <c r="E567">
        <v>50</v>
      </c>
      <c r="F567">
        <v>15.001426696999999</v>
      </c>
      <c r="G567">
        <v>1336.4354248</v>
      </c>
      <c r="H567">
        <v>1334.8736572</v>
      </c>
      <c r="I567">
        <v>1325.5544434000001</v>
      </c>
      <c r="J567">
        <v>1323.5408935999999</v>
      </c>
      <c r="K567">
        <v>2400</v>
      </c>
      <c r="L567">
        <v>0</v>
      </c>
      <c r="M567">
        <v>0</v>
      </c>
      <c r="N567">
        <v>2400</v>
      </c>
    </row>
    <row r="568" spans="1:14" x14ac:dyDescent="0.25">
      <c r="A568">
        <v>63.464185000000001</v>
      </c>
      <c r="B568" s="1">
        <f>DATE(2010,7,3) + TIME(11,8,25)</f>
        <v>40362.464178240742</v>
      </c>
      <c r="C568">
        <v>80</v>
      </c>
      <c r="D568">
        <v>79.959159850999995</v>
      </c>
      <c r="E568">
        <v>50</v>
      </c>
      <c r="F568">
        <v>15.001556396</v>
      </c>
      <c r="G568">
        <v>1336.4344481999999</v>
      </c>
      <c r="H568">
        <v>1334.8729248</v>
      </c>
      <c r="I568">
        <v>1325.5550536999999</v>
      </c>
      <c r="J568">
        <v>1323.5411377</v>
      </c>
      <c r="K568">
        <v>2400</v>
      </c>
      <c r="L568">
        <v>0</v>
      </c>
      <c r="M568">
        <v>0</v>
      </c>
      <c r="N568">
        <v>2400</v>
      </c>
    </row>
    <row r="569" spans="1:14" x14ac:dyDescent="0.25">
      <c r="A569">
        <v>63.671390000000002</v>
      </c>
      <c r="B569" s="1">
        <f>DATE(2010,7,3) + TIME(16,6,48)</f>
        <v>40362.671388888892</v>
      </c>
      <c r="C569">
        <v>80</v>
      </c>
      <c r="D569">
        <v>79.959167480000005</v>
      </c>
      <c r="E569">
        <v>50</v>
      </c>
      <c r="F569">
        <v>15.001694679</v>
      </c>
      <c r="G569">
        <v>1336.4333495999999</v>
      </c>
      <c r="H569">
        <v>1334.8723144999999</v>
      </c>
      <c r="I569">
        <v>1325.5556641000001</v>
      </c>
      <c r="J569">
        <v>1323.5415039</v>
      </c>
      <c r="K569">
        <v>2400</v>
      </c>
      <c r="L569">
        <v>0</v>
      </c>
      <c r="M569">
        <v>0</v>
      </c>
      <c r="N569">
        <v>2400</v>
      </c>
    </row>
    <row r="570" spans="1:14" x14ac:dyDescent="0.25">
      <c r="A570">
        <v>63.878427000000002</v>
      </c>
      <c r="B570" s="1">
        <f>DATE(2010,7,3) + TIME(21,4,56)</f>
        <v>40362.878425925926</v>
      </c>
      <c r="C570">
        <v>80</v>
      </c>
      <c r="D570">
        <v>79.959167480000005</v>
      </c>
      <c r="E570">
        <v>50</v>
      </c>
      <c r="F570">
        <v>15.001841545</v>
      </c>
      <c r="G570">
        <v>1336.432251</v>
      </c>
      <c r="H570">
        <v>1334.871582</v>
      </c>
      <c r="I570">
        <v>1325.5562743999999</v>
      </c>
      <c r="J570">
        <v>1323.5418701000001</v>
      </c>
      <c r="K570">
        <v>2400</v>
      </c>
      <c r="L570">
        <v>0</v>
      </c>
      <c r="M570">
        <v>0</v>
      </c>
      <c r="N570">
        <v>2400</v>
      </c>
    </row>
    <row r="571" spans="1:14" x14ac:dyDescent="0.25">
      <c r="A571">
        <v>64.085441000000003</v>
      </c>
      <c r="B571" s="1">
        <f>DATE(2010,7,4) + TIME(2,3,2)</f>
        <v>40363.085439814815</v>
      </c>
      <c r="C571">
        <v>80</v>
      </c>
      <c r="D571">
        <v>79.959175110000004</v>
      </c>
      <c r="E571">
        <v>50</v>
      </c>
      <c r="F571">
        <v>15.001996994000001</v>
      </c>
      <c r="G571">
        <v>1336.4312743999999</v>
      </c>
      <c r="H571">
        <v>1334.8709716999999</v>
      </c>
      <c r="I571">
        <v>1325.5568848</v>
      </c>
      <c r="J571">
        <v>1323.5421143000001</v>
      </c>
      <c r="K571">
        <v>2400</v>
      </c>
      <c r="L571">
        <v>0</v>
      </c>
      <c r="M571">
        <v>0</v>
      </c>
      <c r="N571">
        <v>2400</v>
      </c>
    </row>
    <row r="572" spans="1:14" x14ac:dyDescent="0.25">
      <c r="A572">
        <v>64.292455000000004</v>
      </c>
      <c r="B572" s="1">
        <f>DATE(2010,7,4) + TIME(7,1,8)</f>
        <v>40363.292453703703</v>
      </c>
      <c r="C572">
        <v>80</v>
      </c>
      <c r="D572">
        <v>79.959182738999999</v>
      </c>
      <c r="E572">
        <v>50</v>
      </c>
      <c r="F572">
        <v>15.002164841000001</v>
      </c>
      <c r="G572">
        <v>1336.4301757999999</v>
      </c>
      <c r="H572">
        <v>1334.8702393000001</v>
      </c>
      <c r="I572">
        <v>1325.5574951000001</v>
      </c>
      <c r="J572">
        <v>1323.5424805</v>
      </c>
      <c r="K572">
        <v>2400</v>
      </c>
      <c r="L572">
        <v>0</v>
      </c>
      <c r="M572">
        <v>0</v>
      </c>
      <c r="N572">
        <v>2400</v>
      </c>
    </row>
    <row r="573" spans="1:14" x14ac:dyDescent="0.25">
      <c r="A573">
        <v>64.499467999999993</v>
      </c>
      <c r="B573" s="1">
        <f>DATE(2010,7,4) + TIME(11,59,14)</f>
        <v>40363.499467592592</v>
      </c>
      <c r="C573">
        <v>80</v>
      </c>
      <c r="D573">
        <v>79.959182738999999</v>
      </c>
      <c r="E573">
        <v>50</v>
      </c>
      <c r="F573">
        <v>15.002343178</v>
      </c>
      <c r="G573">
        <v>1336.4291992000001</v>
      </c>
      <c r="H573">
        <v>1334.8696289</v>
      </c>
      <c r="I573">
        <v>1325.5581055</v>
      </c>
      <c r="J573">
        <v>1323.5428466999999</v>
      </c>
      <c r="K573">
        <v>2400</v>
      </c>
      <c r="L573">
        <v>0</v>
      </c>
      <c r="M573">
        <v>0</v>
      </c>
      <c r="N573">
        <v>2400</v>
      </c>
    </row>
    <row r="574" spans="1:14" x14ac:dyDescent="0.25">
      <c r="A574">
        <v>64.706481999999994</v>
      </c>
      <c r="B574" s="1">
        <f>DATE(2010,7,4) + TIME(16,57,20)</f>
        <v>40363.70648148148</v>
      </c>
      <c r="C574">
        <v>80</v>
      </c>
      <c r="D574">
        <v>79.959190368999998</v>
      </c>
      <c r="E574">
        <v>50</v>
      </c>
      <c r="F574">
        <v>15.002533913000001</v>
      </c>
      <c r="G574">
        <v>1336.4282227000001</v>
      </c>
      <c r="H574">
        <v>1334.8688964999999</v>
      </c>
      <c r="I574">
        <v>1325.5587158000001</v>
      </c>
      <c r="J574">
        <v>1323.5432129000001</v>
      </c>
      <c r="K574">
        <v>2400</v>
      </c>
      <c r="L574">
        <v>0</v>
      </c>
      <c r="M574">
        <v>0</v>
      </c>
      <c r="N574">
        <v>2400</v>
      </c>
    </row>
    <row r="575" spans="1:14" x14ac:dyDescent="0.25">
      <c r="A575">
        <v>64.913495999999995</v>
      </c>
      <c r="B575" s="1">
        <f>DATE(2010,7,4) + TIME(21,55,26)</f>
        <v>40363.913495370369</v>
      </c>
      <c r="C575">
        <v>80</v>
      </c>
      <c r="D575">
        <v>79.959197997999993</v>
      </c>
      <c r="E575">
        <v>50</v>
      </c>
      <c r="F575">
        <v>15.002737999000001</v>
      </c>
      <c r="G575">
        <v>1336.427124</v>
      </c>
      <c r="H575">
        <v>1334.8682861</v>
      </c>
      <c r="I575">
        <v>1325.5594481999999</v>
      </c>
      <c r="J575">
        <v>1323.543457</v>
      </c>
      <c r="K575">
        <v>2400</v>
      </c>
      <c r="L575">
        <v>0</v>
      </c>
      <c r="M575">
        <v>0</v>
      </c>
      <c r="N575">
        <v>2400</v>
      </c>
    </row>
    <row r="576" spans="1:14" x14ac:dyDescent="0.25">
      <c r="A576">
        <v>65.120509999999996</v>
      </c>
      <c r="B576" s="1">
        <f>DATE(2010,7,5) + TIME(2,53,32)</f>
        <v>40364.120509259257</v>
      </c>
      <c r="C576">
        <v>80</v>
      </c>
      <c r="D576">
        <v>79.959197997999993</v>
      </c>
      <c r="E576">
        <v>50</v>
      </c>
      <c r="F576">
        <v>15.00295639</v>
      </c>
      <c r="G576">
        <v>1336.4261475000001</v>
      </c>
      <c r="H576">
        <v>1334.8675536999999</v>
      </c>
      <c r="I576">
        <v>1325.5600586</v>
      </c>
      <c r="J576">
        <v>1323.5438231999999</v>
      </c>
      <c r="K576">
        <v>2400</v>
      </c>
      <c r="L576">
        <v>0</v>
      </c>
      <c r="M576">
        <v>0</v>
      </c>
      <c r="N576">
        <v>2400</v>
      </c>
    </row>
    <row r="577" spans="1:14" x14ac:dyDescent="0.25">
      <c r="A577">
        <v>65.534537</v>
      </c>
      <c r="B577" s="1">
        <f>DATE(2010,7,5) + TIME(12,49,44)</f>
        <v>40364.534537037034</v>
      </c>
      <c r="C577">
        <v>80</v>
      </c>
      <c r="D577">
        <v>79.959213257000002</v>
      </c>
      <c r="E577">
        <v>50</v>
      </c>
      <c r="F577">
        <v>15.003347397000001</v>
      </c>
      <c r="G577">
        <v>1336.4251709</v>
      </c>
      <c r="H577">
        <v>1334.8669434000001</v>
      </c>
      <c r="I577">
        <v>1325.5606689000001</v>
      </c>
      <c r="J577">
        <v>1323.5441894999999</v>
      </c>
      <c r="K577">
        <v>2400</v>
      </c>
      <c r="L577">
        <v>0</v>
      </c>
      <c r="M577">
        <v>0</v>
      </c>
      <c r="N577">
        <v>2400</v>
      </c>
    </row>
    <row r="578" spans="1:14" x14ac:dyDescent="0.25">
      <c r="A578">
        <v>65.949720999999997</v>
      </c>
      <c r="B578" s="1">
        <f>DATE(2010,7,5) + TIME(22,47,35)</f>
        <v>40364.94971064815</v>
      </c>
      <c r="C578">
        <v>80</v>
      </c>
      <c r="D578">
        <v>79.959228515999996</v>
      </c>
      <c r="E578">
        <v>50</v>
      </c>
      <c r="F578">
        <v>15.003820419</v>
      </c>
      <c r="G578">
        <v>1336.4230957</v>
      </c>
      <c r="H578">
        <v>1334.8657227000001</v>
      </c>
      <c r="I578">
        <v>1325.5620117000001</v>
      </c>
      <c r="J578">
        <v>1323.5449219</v>
      </c>
      <c r="K578">
        <v>2400</v>
      </c>
      <c r="L578">
        <v>0</v>
      </c>
      <c r="M578">
        <v>0</v>
      </c>
      <c r="N578">
        <v>2400</v>
      </c>
    </row>
    <row r="579" spans="1:14" x14ac:dyDescent="0.25">
      <c r="A579">
        <v>66.370102000000003</v>
      </c>
      <c r="B579" s="1">
        <f>DATE(2010,7,6) + TIME(8,52,56)</f>
        <v>40365.370092592595</v>
      </c>
      <c r="C579">
        <v>80</v>
      </c>
      <c r="D579">
        <v>79.959243774000001</v>
      </c>
      <c r="E579">
        <v>50</v>
      </c>
      <c r="F579">
        <v>15.004380226</v>
      </c>
      <c r="G579">
        <v>1336.4211425999999</v>
      </c>
      <c r="H579">
        <v>1334.8643798999999</v>
      </c>
      <c r="I579">
        <v>1325.5633545000001</v>
      </c>
      <c r="J579">
        <v>1323.5455322</v>
      </c>
      <c r="K579">
        <v>2400</v>
      </c>
      <c r="L579">
        <v>0</v>
      </c>
      <c r="M579">
        <v>0</v>
      </c>
      <c r="N579">
        <v>2400</v>
      </c>
    </row>
    <row r="580" spans="1:14" x14ac:dyDescent="0.25">
      <c r="A580">
        <v>66.796798999999993</v>
      </c>
      <c r="B580" s="1">
        <f>DATE(2010,7,6) + TIME(19,7,23)</f>
        <v>40365.796793981484</v>
      </c>
      <c r="C580">
        <v>80</v>
      </c>
      <c r="D580">
        <v>79.959251404</v>
      </c>
      <c r="E580">
        <v>50</v>
      </c>
      <c r="F580">
        <v>15.005038260999999</v>
      </c>
      <c r="G580">
        <v>1336.4190673999999</v>
      </c>
      <c r="H580">
        <v>1334.8631591999999</v>
      </c>
      <c r="I580">
        <v>1325.5646973</v>
      </c>
      <c r="J580">
        <v>1323.5462646000001</v>
      </c>
      <c r="K580">
        <v>2400</v>
      </c>
      <c r="L580">
        <v>0</v>
      </c>
      <c r="M580">
        <v>0</v>
      </c>
      <c r="N580">
        <v>2400</v>
      </c>
    </row>
    <row r="581" spans="1:14" x14ac:dyDescent="0.25">
      <c r="A581">
        <v>67.231026</v>
      </c>
      <c r="B581" s="1">
        <f>DATE(2010,7,7) + TIME(5,32,40)</f>
        <v>40366.23101851852</v>
      </c>
      <c r="C581">
        <v>80</v>
      </c>
      <c r="D581">
        <v>79.959266662999994</v>
      </c>
      <c r="E581">
        <v>50</v>
      </c>
      <c r="F581">
        <v>15.005809784</v>
      </c>
      <c r="G581">
        <v>1336.4171143000001</v>
      </c>
      <c r="H581">
        <v>1334.8618164</v>
      </c>
      <c r="I581">
        <v>1325.5661620999999</v>
      </c>
      <c r="J581">
        <v>1323.5469971</v>
      </c>
      <c r="K581">
        <v>2400</v>
      </c>
      <c r="L581">
        <v>0</v>
      </c>
      <c r="M581">
        <v>0</v>
      </c>
      <c r="N581">
        <v>2400</v>
      </c>
    </row>
    <row r="582" spans="1:14" x14ac:dyDescent="0.25">
      <c r="A582">
        <v>67.670615999999995</v>
      </c>
      <c r="B582" s="1">
        <f>DATE(2010,7,7) + TIME(16,5,41)</f>
        <v>40366.670613425929</v>
      </c>
      <c r="C582">
        <v>80</v>
      </c>
      <c r="D582">
        <v>79.959274292000003</v>
      </c>
      <c r="E582">
        <v>50</v>
      </c>
      <c r="F582">
        <v>15.006707191</v>
      </c>
      <c r="G582">
        <v>1336.4150391000001</v>
      </c>
      <c r="H582">
        <v>1334.8604736</v>
      </c>
      <c r="I582">
        <v>1325.5676269999999</v>
      </c>
      <c r="J582">
        <v>1323.5478516000001</v>
      </c>
      <c r="K582">
        <v>2400</v>
      </c>
      <c r="L582">
        <v>0</v>
      </c>
      <c r="M582">
        <v>0</v>
      </c>
      <c r="N582">
        <v>2400</v>
      </c>
    </row>
    <row r="583" spans="1:14" x14ac:dyDescent="0.25">
      <c r="A583">
        <v>68.114824999999996</v>
      </c>
      <c r="B583" s="1">
        <f>DATE(2010,7,8) + TIME(2,45,20)</f>
        <v>40367.114814814813</v>
      </c>
      <c r="C583">
        <v>80</v>
      </c>
      <c r="D583">
        <v>79.959289550999998</v>
      </c>
      <c r="E583">
        <v>50</v>
      </c>
      <c r="F583">
        <v>15.007748604</v>
      </c>
      <c r="G583">
        <v>1336.4130858999999</v>
      </c>
      <c r="H583">
        <v>1334.8592529</v>
      </c>
      <c r="I583">
        <v>1325.5690918</v>
      </c>
      <c r="J583">
        <v>1323.5485839999999</v>
      </c>
      <c r="K583">
        <v>2400</v>
      </c>
      <c r="L583">
        <v>0</v>
      </c>
      <c r="M583">
        <v>0</v>
      </c>
      <c r="N583">
        <v>2400</v>
      </c>
    </row>
    <row r="584" spans="1:14" x14ac:dyDescent="0.25">
      <c r="A584">
        <v>68.339157</v>
      </c>
      <c r="B584" s="1">
        <f>DATE(2010,7,8) + TIME(8,8,23)</f>
        <v>40367.339155092595</v>
      </c>
      <c r="C584">
        <v>80</v>
      </c>
      <c r="D584">
        <v>79.959289550999998</v>
      </c>
      <c r="E584">
        <v>50</v>
      </c>
      <c r="F584">
        <v>15.008477211000001</v>
      </c>
      <c r="G584">
        <v>1336.4110106999999</v>
      </c>
      <c r="H584">
        <v>1334.8579102000001</v>
      </c>
      <c r="I584">
        <v>1325.5706786999999</v>
      </c>
      <c r="J584">
        <v>1323.5494385</v>
      </c>
      <c r="K584">
        <v>2400</v>
      </c>
      <c r="L584">
        <v>0</v>
      </c>
      <c r="M584">
        <v>0</v>
      </c>
      <c r="N584">
        <v>2400</v>
      </c>
    </row>
    <row r="585" spans="1:14" x14ac:dyDescent="0.25">
      <c r="A585">
        <v>68.561937</v>
      </c>
      <c r="B585" s="1">
        <f>DATE(2010,7,8) + TIME(13,29,11)</f>
        <v>40367.561932870369</v>
      </c>
      <c r="C585">
        <v>80</v>
      </c>
      <c r="D585">
        <v>79.959297179999993</v>
      </c>
      <c r="E585">
        <v>50</v>
      </c>
      <c r="F585">
        <v>15.009229660000001</v>
      </c>
      <c r="G585">
        <v>1336.4099120999999</v>
      </c>
      <c r="H585">
        <v>1334.8571777</v>
      </c>
      <c r="I585">
        <v>1325.5714111</v>
      </c>
      <c r="J585">
        <v>1323.5498047000001</v>
      </c>
      <c r="K585">
        <v>2400</v>
      </c>
      <c r="L585">
        <v>0</v>
      </c>
      <c r="M585">
        <v>0</v>
      </c>
      <c r="N585">
        <v>2400</v>
      </c>
    </row>
    <row r="586" spans="1:14" x14ac:dyDescent="0.25">
      <c r="A586">
        <v>68.784053999999998</v>
      </c>
      <c r="B586" s="1">
        <f>DATE(2010,7,8) + TIME(18,49,2)</f>
        <v>40367.784050925926</v>
      </c>
      <c r="C586">
        <v>80</v>
      </c>
      <c r="D586">
        <v>79.959297179999993</v>
      </c>
      <c r="E586">
        <v>50</v>
      </c>
      <c r="F586">
        <v>15.010015488000001</v>
      </c>
      <c r="G586">
        <v>1336.4089355000001</v>
      </c>
      <c r="H586">
        <v>1334.8565673999999</v>
      </c>
      <c r="I586">
        <v>1325.5722656</v>
      </c>
      <c r="J586">
        <v>1323.550293</v>
      </c>
      <c r="K586">
        <v>2400</v>
      </c>
      <c r="L586">
        <v>0</v>
      </c>
      <c r="M586">
        <v>0</v>
      </c>
      <c r="N586">
        <v>2400</v>
      </c>
    </row>
    <row r="587" spans="1:14" x14ac:dyDescent="0.25">
      <c r="A587">
        <v>69.005686999999995</v>
      </c>
      <c r="B587" s="1">
        <f>DATE(2010,7,9) + TIME(0,8,11)</f>
        <v>40368.005682870367</v>
      </c>
      <c r="C587">
        <v>80</v>
      </c>
      <c r="D587">
        <v>79.959304810000006</v>
      </c>
      <c r="E587">
        <v>50</v>
      </c>
      <c r="F587">
        <v>15.010839462</v>
      </c>
      <c r="G587">
        <v>1336.4079589999999</v>
      </c>
      <c r="H587">
        <v>1334.855957</v>
      </c>
      <c r="I587">
        <v>1325.5731201000001</v>
      </c>
      <c r="J587">
        <v>1323.5506591999999</v>
      </c>
      <c r="K587">
        <v>2400</v>
      </c>
      <c r="L587">
        <v>0</v>
      </c>
      <c r="M587">
        <v>0</v>
      </c>
      <c r="N587">
        <v>2400</v>
      </c>
    </row>
    <row r="588" spans="1:14" x14ac:dyDescent="0.25">
      <c r="A588">
        <v>69.227005000000005</v>
      </c>
      <c r="B588" s="1">
        <f>DATE(2010,7,9) + TIME(5,26,53)</f>
        <v>40368.227002314816</v>
      </c>
      <c r="C588">
        <v>80</v>
      </c>
      <c r="D588">
        <v>79.959312439000001</v>
      </c>
      <c r="E588">
        <v>50</v>
      </c>
      <c r="F588">
        <v>15.011710167</v>
      </c>
      <c r="G588">
        <v>1336.4069824000001</v>
      </c>
      <c r="H588">
        <v>1334.8553466999999</v>
      </c>
      <c r="I588">
        <v>1325.5738524999999</v>
      </c>
      <c r="J588">
        <v>1323.5511475000001</v>
      </c>
      <c r="K588">
        <v>2400</v>
      </c>
      <c r="L588">
        <v>0</v>
      </c>
      <c r="M588">
        <v>0</v>
      </c>
      <c r="N588">
        <v>2400</v>
      </c>
    </row>
    <row r="589" spans="1:14" x14ac:dyDescent="0.25">
      <c r="A589">
        <v>69.448173999999995</v>
      </c>
      <c r="B589" s="1">
        <f>DATE(2010,7,9) + TIME(10,45,22)</f>
        <v>40368.448171296295</v>
      </c>
      <c r="C589">
        <v>80</v>
      </c>
      <c r="D589">
        <v>79.959312439000001</v>
      </c>
      <c r="E589">
        <v>50</v>
      </c>
      <c r="F589">
        <v>15.012630463000001</v>
      </c>
      <c r="G589">
        <v>1336.4060059000001</v>
      </c>
      <c r="H589">
        <v>1334.8546143000001</v>
      </c>
      <c r="I589">
        <v>1325.574707</v>
      </c>
      <c r="J589">
        <v>1323.5515137</v>
      </c>
      <c r="K589">
        <v>2400</v>
      </c>
      <c r="L589">
        <v>0</v>
      </c>
      <c r="M589">
        <v>0</v>
      </c>
      <c r="N589">
        <v>2400</v>
      </c>
    </row>
    <row r="590" spans="1:14" x14ac:dyDescent="0.25">
      <c r="A590">
        <v>69.669342</v>
      </c>
      <c r="B590" s="1">
        <f>DATE(2010,7,9) + TIME(16,3,51)</f>
        <v>40368.669340277775</v>
      </c>
      <c r="C590">
        <v>80</v>
      </c>
      <c r="D590">
        <v>79.959320067999997</v>
      </c>
      <c r="E590">
        <v>50</v>
      </c>
      <c r="F590">
        <v>15.013607979</v>
      </c>
      <c r="G590">
        <v>1336.4049072</v>
      </c>
      <c r="H590">
        <v>1334.8540039</v>
      </c>
      <c r="I590">
        <v>1325.5755615</v>
      </c>
      <c r="J590">
        <v>1323.5520019999999</v>
      </c>
      <c r="K590">
        <v>2400</v>
      </c>
      <c r="L590">
        <v>0</v>
      </c>
      <c r="M590">
        <v>0</v>
      </c>
      <c r="N590">
        <v>2400</v>
      </c>
    </row>
    <row r="591" spans="1:14" x14ac:dyDescent="0.25">
      <c r="A591">
        <v>69.890510000000006</v>
      </c>
      <c r="B591" s="1">
        <f>DATE(2010,7,9) + TIME(21,22,20)</f>
        <v>40368.890509259261</v>
      </c>
      <c r="C591">
        <v>80</v>
      </c>
      <c r="D591">
        <v>79.959327697999996</v>
      </c>
      <c r="E591">
        <v>50</v>
      </c>
      <c r="F591">
        <v>15.01464653</v>
      </c>
      <c r="G591">
        <v>1336.4039307</v>
      </c>
      <c r="H591">
        <v>1334.8533935999999</v>
      </c>
      <c r="I591">
        <v>1325.5764160000001</v>
      </c>
      <c r="J591">
        <v>1323.5523682</v>
      </c>
      <c r="K591">
        <v>2400</v>
      </c>
      <c r="L591">
        <v>0</v>
      </c>
      <c r="M591">
        <v>0</v>
      </c>
      <c r="N591">
        <v>2400</v>
      </c>
    </row>
    <row r="592" spans="1:14" x14ac:dyDescent="0.25">
      <c r="A592">
        <v>70.111677999999998</v>
      </c>
      <c r="B592" s="1">
        <f>DATE(2010,7,10) + TIME(2,40,48)</f>
        <v>40369.111666666664</v>
      </c>
      <c r="C592">
        <v>80</v>
      </c>
      <c r="D592">
        <v>79.959335327000005</v>
      </c>
      <c r="E592">
        <v>50</v>
      </c>
      <c r="F592">
        <v>15.015751839</v>
      </c>
      <c r="G592">
        <v>1336.4029541</v>
      </c>
      <c r="H592">
        <v>1334.8527832</v>
      </c>
      <c r="I592">
        <v>1325.5772704999999</v>
      </c>
      <c r="J592">
        <v>1323.5528564000001</v>
      </c>
      <c r="K592">
        <v>2400</v>
      </c>
      <c r="L592">
        <v>0</v>
      </c>
      <c r="M592">
        <v>0</v>
      </c>
      <c r="N592">
        <v>2400</v>
      </c>
    </row>
    <row r="593" spans="1:14" x14ac:dyDescent="0.25">
      <c r="A593">
        <v>70.332846000000004</v>
      </c>
      <c r="B593" s="1">
        <f>DATE(2010,7,10) + TIME(7,59,17)</f>
        <v>40369.332835648151</v>
      </c>
      <c r="C593">
        <v>80</v>
      </c>
      <c r="D593">
        <v>79.959342957000004</v>
      </c>
      <c r="E593">
        <v>50</v>
      </c>
      <c r="F593">
        <v>15.016929626</v>
      </c>
      <c r="G593">
        <v>1336.4019774999999</v>
      </c>
      <c r="H593">
        <v>1334.8521728999999</v>
      </c>
      <c r="I593">
        <v>1325.578125</v>
      </c>
      <c r="J593">
        <v>1323.5532227000001</v>
      </c>
      <c r="K593">
        <v>2400</v>
      </c>
      <c r="L593">
        <v>0</v>
      </c>
      <c r="M593">
        <v>0</v>
      </c>
      <c r="N593">
        <v>2400</v>
      </c>
    </row>
    <row r="594" spans="1:14" x14ac:dyDescent="0.25">
      <c r="A594">
        <v>70.554013999999995</v>
      </c>
      <c r="B594" s="1">
        <f>DATE(2010,7,10) + TIME(13,17,46)</f>
        <v>40369.55400462963</v>
      </c>
      <c r="C594">
        <v>80</v>
      </c>
      <c r="D594">
        <v>79.959350585999999</v>
      </c>
      <c r="E594">
        <v>50</v>
      </c>
      <c r="F594">
        <v>15.018183708</v>
      </c>
      <c r="G594">
        <v>1336.4011230000001</v>
      </c>
      <c r="H594">
        <v>1334.8515625</v>
      </c>
      <c r="I594">
        <v>1325.5789795000001</v>
      </c>
      <c r="J594">
        <v>1323.5537108999999</v>
      </c>
      <c r="K594">
        <v>2400</v>
      </c>
      <c r="L594">
        <v>0</v>
      </c>
      <c r="M594">
        <v>0</v>
      </c>
      <c r="N594">
        <v>2400</v>
      </c>
    </row>
    <row r="595" spans="1:14" x14ac:dyDescent="0.25">
      <c r="A595">
        <v>70.996350000000007</v>
      </c>
      <c r="B595" s="1">
        <f>DATE(2010,7,10) + TIME(23,54,44)</f>
        <v>40369.996342592596</v>
      </c>
      <c r="C595">
        <v>80</v>
      </c>
      <c r="D595">
        <v>79.959365844999994</v>
      </c>
      <c r="E595">
        <v>50</v>
      </c>
      <c r="F595">
        <v>15.020402907999999</v>
      </c>
      <c r="G595">
        <v>1336.4001464999999</v>
      </c>
      <c r="H595">
        <v>1334.8509521000001</v>
      </c>
      <c r="I595">
        <v>1325.5798339999999</v>
      </c>
      <c r="J595">
        <v>1323.5541992000001</v>
      </c>
      <c r="K595">
        <v>2400</v>
      </c>
      <c r="L595">
        <v>0</v>
      </c>
      <c r="M595">
        <v>0</v>
      </c>
      <c r="N595">
        <v>2400</v>
      </c>
    </row>
    <row r="596" spans="1:14" x14ac:dyDescent="0.25">
      <c r="A596">
        <v>71.439587000000003</v>
      </c>
      <c r="B596" s="1">
        <f>DATE(2010,7,11) + TIME(10,33,0)</f>
        <v>40370.439583333333</v>
      </c>
      <c r="C596">
        <v>80</v>
      </c>
      <c r="D596">
        <v>79.959381104000002</v>
      </c>
      <c r="E596">
        <v>50</v>
      </c>
      <c r="F596">
        <v>15.023073196</v>
      </c>
      <c r="G596">
        <v>1336.3981934000001</v>
      </c>
      <c r="H596">
        <v>1334.8497314000001</v>
      </c>
      <c r="I596">
        <v>1325.5816649999999</v>
      </c>
      <c r="J596">
        <v>1323.5550536999999</v>
      </c>
      <c r="K596">
        <v>2400</v>
      </c>
      <c r="L596">
        <v>0</v>
      </c>
      <c r="M596">
        <v>0</v>
      </c>
      <c r="N596">
        <v>2400</v>
      </c>
    </row>
    <row r="597" spans="1:14" x14ac:dyDescent="0.25">
      <c r="A597">
        <v>71.887898000000007</v>
      </c>
      <c r="B597" s="1">
        <f>DATE(2010,7,11) + TIME(21,18,34)</f>
        <v>40370.88789351852</v>
      </c>
      <c r="C597">
        <v>80</v>
      </c>
      <c r="D597">
        <v>79.959396362000007</v>
      </c>
      <c r="E597">
        <v>50</v>
      </c>
      <c r="F597">
        <v>15.026224136</v>
      </c>
      <c r="G597">
        <v>1336.3962402</v>
      </c>
      <c r="H597">
        <v>1334.8485106999999</v>
      </c>
      <c r="I597">
        <v>1325.5834961</v>
      </c>
      <c r="J597">
        <v>1323.5560303</v>
      </c>
      <c r="K597">
        <v>2400</v>
      </c>
      <c r="L597">
        <v>0</v>
      </c>
      <c r="M597">
        <v>0</v>
      </c>
      <c r="N597">
        <v>2400</v>
      </c>
    </row>
    <row r="598" spans="1:14" x14ac:dyDescent="0.25">
      <c r="A598">
        <v>72.342501999999996</v>
      </c>
      <c r="B598" s="1">
        <f>DATE(2010,7,12) + TIME(8,13,12)</f>
        <v>40371.342499999999</v>
      </c>
      <c r="C598">
        <v>80</v>
      </c>
      <c r="D598">
        <v>79.959403992000006</v>
      </c>
      <c r="E598">
        <v>50</v>
      </c>
      <c r="F598">
        <v>15.029901505</v>
      </c>
      <c r="G598">
        <v>1336.3944091999999</v>
      </c>
      <c r="H598">
        <v>1334.8472899999999</v>
      </c>
      <c r="I598">
        <v>1325.5853271000001</v>
      </c>
      <c r="J598">
        <v>1323.5570068</v>
      </c>
      <c r="K598">
        <v>2400</v>
      </c>
      <c r="L598">
        <v>0</v>
      </c>
      <c r="M598">
        <v>0</v>
      </c>
      <c r="N598">
        <v>2400</v>
      </c>
    </row>
    <row r="599" spans="1:14" x14ac:dyDescent="0.25">
      <c r="A599">
        <v>72.804703000000003</v>
      </c>
      <c r="B599" s="1">
        <f>DATE(2010,7,12) + TIME(19,18,46)</f>
        <v>40371.804699074077</v>
      </c>
      <c r="C599">
        <v>80</v>
      </c>
      <c r="D599">
        <v>79.959419249999996</v>
      </c>
      <c r="E599">
        <v>50</v>
      </c>
      <c r="F599">
        <v>15.034173965000001</v>
      </c>
      <c r="G599">
        <v>1336.3924560999999</v>
      </c>
      <c r="H599">
        <v>1334.8460693</v>
      </c>
      <c r="I599">
        <v>1325.5872803</v>
      </c>
      <c r="J599">
        <v>1323.5579834</v>
      </c>
      <c r="K599">
        <v>2400</v>
      </c>
      <c r="L599">
        <v>0</v>
      </c>
      <c r="M599">
        <v>0</v>
      </c>
      <c r="N599">
        <v>2400</v>
      </c>
    </row>
    <row r="600" spans="1:14" x14ac:dyDescent="0.25">
      <c r="A600">
        <v>73.273433999999995</v>
      </c>
      <c r="B600" s="1">
        <f>DATE(2010,7,13) + TIME(6,33,44)</f>
        <v>40372.273425925923</v>
      </c>
      <c r="C600">
        <v>80</v>
      </c>
      <c r="D600">
        <v>79.959434509000005</v>
      </c>
      <c r="E600">
        <v>50</v>
      </c>
      <c r="F600">
        <v>15.039115905999999</v>
      </c>
      <c r="G600">
        <v>1336.3905029</v>
      </c>
      <c r="H600">
        <v>1334.8448486</v>
      </c>
      <c r="I600">
        <v>1325.5893555</v>
      </c>
      <c r="J600">
        <v>1323.559082</v>
      </c>
      <c r="K600">
        <v>2400</v>
      </c>
      <c r="L600">
        <v>0</v>
      </c>
      <c r="M600">
        <v>0</v>
      </c>
      <c r="N600">
        <v>2400</v>
      </c>
    </row>
    <row r="601" spans="1:14" x14ac:dyDescent="0.25">
      <c r="A601">
        <v>73.747114999999994</v>
      </c>
      <c r="B601" s="1">
        <f>DATE(2010,7,13) + TIME(17,55,50)</f>
        <v>40372.747106481482</v>
      </c>
      <c r="C601">
        <v>80</v>
      </c>
      <c r="D601">
        <v>79.959449767999999</v>
      </c>
      <c r="E601">
        <v>50</v>
      </c>
      <c r="F601">
        <v>15.044810295</v>
      </c>
      <c r="G601">
        <v>1336.3885498</v>
      </c>
      <c r="H601">
        <v>1334.8436279</v>
      </c>
      <c r="I601">
        <v>1325.5914307</v>
      </c>
      <c r="J601">
        <v>1323.5601807</v>
      </c>
      <c r="K601">
        <v>2400</v>
      </c>
      <c r="L601">
        <v>0</v>
      </c>
      <c r="M601">
        <v>0</v>
      </c>
      <c r="N601">
        <v>2400</v>
      </c>
    </row>
    <row r="602" spans="1:14" x14ac:dyDescent="0.25">
      <c r="A602">
        <v>73.986136000000002</v>
      </c>
      <c r="B602" s="1">
        <f>DATE(2010,7,13) + TIME(23,40,2)</f>
        <v>40372.986134259256</v>
      </c>
      <c r="C602">
        <v>80</v>
      </c>
      <c r="D602">
        <v>79.959449767999999</v>
      </c>
      <c r="E602">
        <v>50</v>
      </c>
      <c r="F602">
        <v>15.048797606999999</v>
      </c>
      <c r="G602">
        <v>1336.3865966999999</v>
      </c>
      <c r="H602">
        <v>1334.8422852000001</v>
      </c>
      <c r="I602">
        <v>1325.59375</v>
      </c>
      <c r="J602">
        <v>1323.5612793</v>
      </c>
      <c r="K602">
        <v>2400</v>
      </c>
      <c r="L602">
        <v>0</v>
      </c>
      <c r="M602">
        <v>0</v>
      </c>
      <c r="N602">
        <v>2400</v>
      </c>
    </row>
    <row r="603" spans="1:14" x14ac:dyDescent="0.25">
      <c r="A603">
        <v>74.225157999999993</v>
      </c>
      <c r="B603" s="1">
        <f>DATE(2010,7,14) + TIME(5,24,13)</f>
        <v>40373.22515046296</v>
      </c>
      <c r="C603">
        <v>80</v>
      </c>
      <c r="D603">
        <v>79.959457396999994</v>
      </c>
      <c r="E603">
        <v>50</v>
      </c>
      <c r="F603">
        <v>15.052908897</v>
      </c>
      <c r="G603">
        <v>1336.3856201000001</v>
      </c>
      <c r="H603">
        <v>1334.8416748</v>
      </c>
      <c r="I603">
        <v>1325.5948486</v>
      </c>
      <c r="J603">
        <v>1323.5617675999999</v>
      </c>
      <c r="K603">
        <v>2400</v>
      </c>
      <c r="L603">
        <v>0</v>
      </c>
      <c r="M603">
        <v>0</v>
      </c>
      <c r="N603">
        <v>2400</v>
      </c>
    </row>
    <row r="604" spans="1:14" x14ac:dyDescent="0.25">
      <c r="A604">
        <v>74.464003000000005</v>
      </c>
      <c r="B604" s="1">
        <f>DATE(2010,7,14) + TIME(11,8,9)</f>
        <v>40373.463993055557</v>
      </c>
      <c r="C604">
        <v>80</v>
      </c>
      <c r="D604">
        <v>79.959465026999993</v>
      </c>
      <c r="E604">
        <v>50</v>
      </c>
      <c r="F604">
        <v>15.057181357999999</v>
      </c>
      <c r="G604">
        <v>1336.3846435999999</v>
      </c>
      <c r="H604">
        <v>1334.8410644999999</v>
      </c>
      <c r="I604">
        <v>1325.5960693</v>
      </c>
      <c r="J604">
        <v>1323.5623779</v>
      </c>
      <c r="K604">
        <v>2400</v>
      </c>
      <c r="L604">
        <v>0</v>
      </c>
      <c r="M604">
        <v>0</v>
      </c>
      <c r="N604">
        <v>2400</v>
      </c>
    </row>
    <row r="605" spans="1:14" x14ac:dyDescent="0.25">
      <c r="A605">
        <v>74.702205000000006</v>
      </c>
      <c r="B605" s="1">
        <f>DATE(2010,7,14) + TIME(16,51,10)</f>
        <v>40373.702199074076</v>
      </c>
      <c r="C605">
        <v>80</v>
      </c>
      <c r="D605">
        <v>79.959472656000003</v>
      </c>
      <c r="E605">
        <v>50</v>
      </c>
      <c r="F605">
        <v>15.061641693</v>
      </c>
      <c r="G605">
        <v>1336.3836670000001</v>
      </c>
      <c r="H605">
        <v>1334.8404541</v>
      </c>
      <c r="I605">
        <v>1325.597168</v>
      </c>
      <c r="J605">
        <v>1323.5629882999999</v>
      </c>
      <c r="K605">
        <v>2400</v>
      </c>
      <c r="L605">
        <v>0</v>
      </c>
      <c r="M605">
        <v>0</v>
      </c>
      <c r="N605">
        <v>2400</v>
      </c>
    </row>
    <row r="606" spans="1:14" x14ac:dyDescent="0.25">
      <c r="A606">
        <v>74.939954999999998</v>
      </c>
      <c r="B606" s="1">
        <f>DATE(2010,7,14) + TIME(22,33,32)</f>
        <v>40373.939953703702</v>
      </c>
      <c r="C606">
        <v>80</v>
      </c>
      <c r="D606">
        <v>79.959480286000002</v>
      </c>
      <c r="E606">
        <v>50</v>
      </c>
      <c r="F606">
        <v>15.066322327</v>
      </c>
      <c r="G606">
        <v>1336.3826904</v>
      </c>
      <c r="H606">
        <v>1334.8398437999999</v>
      </c>
      <c r="I606">
        <v>1325.5983887</v>
      </c>
      <c r="J606">
        <v>1323.5635986</v>
      </c>
      <c r="K606">
        <v>2400</v>
      </c>
      <c r="L606">
        <v>0</v>
      </c>
      <c r="M606">
        <v>0</v>
      </c>
      <c r="N606">
        <v>2400</v>
      </c>
    </row>
    <row r="607" spans="1:14" x14ac:dyDescent="0.25">
      <c r="A607">
        <v>75.177441999999999</v>
      </c>
      <c r="B607" s="1">
        <f>DATE(2010,7,15) + TIME(4,15,30)</f>
        <v>40374.177430555559</v>
      </c>
      <c r="C607">
        <v>80</v>
      </c>
      <c r="D607">
        <v>79.959487914999997</v>
      </c>
      <c r="E607">
        <v>50</v>
      </c>
      <c r="F607">
        <v>15.071252823</v>
      </c>
      <c r="G607">
        <v>1336.3817139</v>
      </c>
      <c r="H607">
        <v>1334.8392334</v>
      </c>
      <c r="I607">
        <v>1325.5996094</v>
      </c>
      <c r="J607">
        <v>1323.5643310999999</v>
      </c>
      <c r="K607">
        <v>2400</v>
      </c>
      <c r="L607">
        <v>0</v>
      </c>
      <c r="M607">
        <v>0</v>
      </c>
      <c r="N607">
        <v>2400</v>
      </c>
    </row>
    <row r="608" spans="1:14" x14ac:dyDescent="0.25">
      <c r="A608">
        <v>75.414848000000006</v>
      </c>
      <c r="B608" s="1">
        <f>DATE(2010,7,15) + TIME(9,57,22)</f>
        <v>40374.414837962962</v>
      </c>
      <c r="C608">
        <v>80</v>
      </c>
      <c r="D608">
        <v>79.959487914999997</v>
      </c>
      <c r="E608">
        <v>50</v>
      </c>
      <c r="F608">
        <v>15.076461792</v>
      </c>
      <c r="G608">
        <v>1336.3808594</v>
      </c>
      <c r="H608">
        <v>1334.8386230000001</v>
      </c>
      <c r="I608">
        <v>1325.6008300999999</v>
      </c>
      <c r="J608">
        <v>1323.5649414</v>
      </c>
      <c r="K608">
        <v>2400</v>
      </c>
      <c r="L608">
        <v>0</v>
      </c>
      <c r="M608">
        <v>0</v>
      </c>
      <c r="N608">
        <v>2400</v>
      </c>
    </row>
    <row r="609" spans="1:14" x14ac:dyDescent="0.25">
      <c r="A609">
        <v>75.652253999999999</v>
      </c>
      <c r="B609" s="1">
        <f>DATE(2010,7,15) + TIME(15,39,14)</f>
        <v>40374.652245370373</v>
      </c>
      <c r="C609">
        <v>80</v>
      </c>
      <c r="D609">
        <v>79.959495544000006</v>
      </c>
      <c r="E609">
        <v>50</v>
      </c>
      <c r="F609">
        <v>15.081977844000001</v>
      </c>
      <c r="G609">
        <v>1336.3798827999999</v>
      </c>
      <c r="H609">
        <v>1334.8380127</v>
      </c>
      <c r="I609">
        <v>1325.6020507999999</v>
      </c>
      <c r="J609">
        <v>1323.5655518000001</v>
      </c>
      <c r="K609">
        <v>2400</v>
      </c>
      <c r="L609">
        <v>0</v>
      </c>
      <c r="M609">
        <v>0</v>
      </c>
      <c r="N609">
        <v>2400</v>
      </c>
    </row>
    <row r="610" spans="1:14" x14ac:dyDescent="0.25">
      <c r="A610">
        <v>75.889660000000006</v>
      </c>
      <c r="B610" s="1">
        <f>DATE(2010,7,15) + TIME(21,21,6)</f>
        <v>40374.889652777776</v>
      </c>
      <c r="C610">
        <v>80</v>
      </c>
      <c r="D610">
        <v>79.959503174000005</v>
      </c>
      <c r="E610">
        <v>50</v>
      </c>
      <c r="F610">
        <v>15.087823867999999</v>
      </c>
      <c r="G610">
        <v>1336.3789062000001</v>
      </c>
      <c r="H610">
        <v>1334.8375243999999</v>
      </c>
      <c r="I610">
        <v>1325.6032714999999</v>
      </c>
      <c r="J610">
        <v>1323.5661620999999</v>
      </c>
      <c r="K610">
        <v>2400</v>
      </c>
      <c r="L610">
        <v>0</v>
      </c>
      <c r="M610">
        <v>0</v>
      </c>
      <c r="N610">
        <v>2400</v>
      </c>
    </row>
    <row r="611" spans="1:14" x14ac:dyDescent="0.25">
      <c r="A611">
        <v>76.127065999999999</v>
      </c>
      <c r="B611" s="1">
        <f>DATE(2010,7,16) + TIME(3,2,58)</f>
        <v>40375.127060185187</v>
      </c>
      <c r="C611">
        <v>80</v>
      </c>
      <c r="D611">
        <v>79.959510803000001</v>
      </c>
      <c r="E611">
        <v>50</v>
      </c>
      <c r="F611">
        <v>15.094025611999999</v>
      </c>
      <c r="G611">
        <v>1336.3779297000001</v>
      </c>
      <c r="H611">
        <v>1334.8369141000001</v>
      </c>
      <c r="I611">
        <v>1325.6044922000001</v>
      </c>
      <c r="J611">
        <v>1323.5668945</v>
      </c>
      <c r="K611">
        <v>2400</v>
      </c>
      <c r="L611">
        <v>0</v>
      </c>
      <c r="M611">
        <v>0</v>
      </c>
      <c r="N611">
        <v>2400</v>
      </c>
    </row>
    <row r="612" spans="1:14" x14ac:dyDescent="0.25">
      <c r="A612">
        <v>76.364472000000006</v>
      </c>
      <c r="B612" s="1">
        <f>DATE(2010,7,16) + TIME(8,44,50)</f>
        <v>40375.36446759259</v>
      </c>
      <c r="C612">
        <v>80</v>
      </c>
      <c r="D612">
        <v>79.959518433</v>
      </c>
      <c r="E612">
        <v>50</v>
      </c>
      <c r="F612">
        <v>15.100607871999999</v>
      </c>
      <c r="G612">
        <v>1336.3770752</v>
      </c>
      <c r="H612">
        <v>1334.8363036999999</v>
      </c>
      <c r="I612">
        <v>1325.6058350000001</v>
      </c>
      <c r="J612">
        <v>1323.5675048999999</v>
      </c>
      <c r="K612">
        <v>2400</v>
      </c>
      <c r="L612">
        <v>0</v>
      </c>
      <c r="M612">
        <v>0</v>
      </c>
      <c r="N612">
        <v>2400</v>
      </c>
    </row>
    <row r="613" spans="1:14" x14ac:dyDescent="0.25">
      <c r="A613">
        <v>76.601877999999999</v>
      </c>
      <c r="B613" s="1">
        <f>DATE(2010,7,16) + TIME(14,26,42)</f>
        <v>40375.601875</v>
      </c>
      <c r="C613">
        <v>80</v>
      </c>
      <c r="D613">
        <v>79.959526061999995</v>
      </c>
      <c r="E613">
        <v>50</v>
      </c>
      <c r="F613">
        <v>15.107595443999999</v>
      </c>
      <c r="G613">
        <v>1336.3760986</v>
      </c>
      <c r="H613">
        <v>1334.8356934000001</v>
      </c>
      <c r="I613">
        <v>1325.6071777</v>
      </c>
      <c r="J613">
        <v>1323.5682373</v>
      </c>
      <c r="K613">
        <v>2400</v>
      </c>
      <c r="L613">
        <v>0</v>
      </c>
      <c r="M613">
        <v>0</v>
      </c>
      <c r="N613">
        <v>2400</v>
      </c>
    </row>
    <row r="614" spans="1:14" x14ac:dyDescent="0.25">
      <c r="A614">
        <v>76.839282999999995</v>
      </c>
      <c r="B614" s="1">
        <f>DATE(2010,7,16) + TIME(20,8,34)</f>
        <v>40375.839282407411</v>
      </c>
      <c r="C614">
        <v>80</v>
      </c>
      <c r="D614">
        <v>79.959533691000004</v>
      </c>
      <c r="E614">
        <v>50</v>
      </c>
      <c r="F614">
        <v>15.11501503</v>
      </c>
      <c r="G614">
        <v>1336.3752440999999</v>
      </c>
      <c r="H614">
        <v>1334.8350829999999</v>
      </c>
      <c r="I614">
        <v>1325.6083983999999</v>
      </c>
      <c r="J614">
        <v>1323.5689697</v>
      </c>
      <c r="K614">
        <v>2400</v>
      </c>
      <c r="L614">
        <v>0</v>
      </c>
      <c r="M614">
        <v>0</v>
      </c>
      <c r="N614">
        <v>2400</v>
      </c>
    </row>
    <row r="615" spans="1:14" x14ac:dyDescent="0.25">
      <c r="A615">
        <v>77.314094999999995</v>
      </c>
      <c r="B615" s="1">
        <f>DATE(2010,7,17) + TIME(7,32,17)</f>
        <v>40376.314085648148</v>
      </c>
      <c r="C615">
        <v>80</v>
      </c>
      <c r="D615">
        <v>79.959556579999997</v>
      </c>
      <c r="E615">
        <v>50</v>
      </c>
      <c r="F615">
        <v>15.1279459</v>
      </c>
      <c r="G615">
        <v>1336.3742675999999</v>
      </c>
      <c r="H615">
        <v>1334.8344727000001</v>
      </c>
      <c r="I615">
        <v>1325.6096190999999</v>
      </c>
      <c r="J615">
        <v>1323.5697021000001</v>
      </c>
      <c r="K615">
        <v>2400</v>
      </c>
      <c r="L615">
        <v>0</v>
      </c>
      <c r="M615">
        <v>0</v>
      </c>
      <c r="N615">
        <v>2400</v>
      </c>
    </row>
    <row r="616" spans="1:14" x14ac:dyDescent="0.25">
      <c r="A616">
        <v>77.790454999999994</v>
      </c>
      <c r="B616" s="1">
        <f>DATE(2010,7,17) + TIME(18,58,15)</f>
        <v>40376.790451388886</v>
      </c>
      <c r="C616">
        <v>80</v>
      </c>
      <c r="D616">
        <v>79.959571838000002</v>
      </c>
      <c r="E616">
        <v>50</v>
      </c>
      <c r="F616">
        <v>15.143518448</v>
      </c>
      <c r="G616">
        <v>1336.3724365</v>
      </c>
      <c r="H616">
        <v>1334.833374</v>
      </c>
      <c r="I616">
        <v>1325.6124268000001</v>
      </c>
      <c r="J616">
        <v>1323.5711670000001</v>
      </c>
      <c r="K616">
        <v>2400</v>
      </c>
      <c r="L616">
        <v>0</v>
      </c>
      <c r="M616">
        <v>0</v>
      </c>
      <c r="N616">
        <v>2400</v>
      </c>
    </row>
    <row r="617" spans="1:14" x14ac:dyDescent="0.25">
      <c r="A617">
        <v>78.273533999999998</v>
      </c>
      <c r="B617" s="1">
        <f>DATE(2010,7,18) + TIME(6,33,53)</f>
        <v>40377.273530092592</v>
      </c>
      <c r="C617">
        <v>80</v>
      </c>
      <c r="D617">
        <v>79.959587096999996</v>
      </c>
      <c r="E617">
        <v>50</v>
      </c>
      <c r="F617">
        <v>15.161834717</v>
      </c>
      <c r="G617">
        <v>1336.3706055</v>
      </c>
      <c r="H617">
        <v>1334.8321533000001</v>
      </c>
      <c r="I617">
        <v>1325.6152344</v>
      </c>
      <c r="J617">
        <v>1323.5726318</v>
      </c>
      <c r="K617">
        <v>2400</v>
      </c>
      <c r="L617">
        <v>0</v>
      </c>
      <c r="M617">
        <v>0</v>
      </c>
      <c r="N617">
        <v>2400</v>
      </c>
    </row>
    <row r="618" spans="1:14" x14ac:dyDescent="0.25">
      <c r="A618">
        <v>78.764683000000005</v>
      </c>
      <c r="B618" s="1">
        <f>DATE(2010,7,18) + TIME(18,21,8)</f>
        <v>40377.764675925922</v>
      </c>
      <c r="C618">
        <v>80</v>
      </c>
      <c r="D618">
        <v>79.959602356000005</v>
      </c>
      <c r="E618">
        <v>50</v>
      </c>
      <c r="F618">
        <v>15.183115004999999</v>
      </c>
      <c r="G618">
        <v>1336.3687743999999</v>
      </c>
      <c r="H618">
        <v>1334.8310547000001</v>
      </c>
      <c r="I618">
        <v>1325.6181641000001</v>
      </c>
      <c r="J618">
        <v>1323.5742187999999</v>
      </c>
      <c r="K618">
        <v>2400</v>
      </c>
      <c r="L618">
        <v>0</v>
      </c>
      <c r="M618">
        <v>0</v>
      </c>
      <c r="N618">
        <v>2400</v>
      </c>
    </row>
    <row r="619" spans="1:14" x14ac:dyDescent="0.25">
      <c r="A619">
        <v>79.264238000000006</v>
      </c>
      <c r="B619" s="1">
        <f>DATE(2010,7,19) + TIME(6,20,30)</f>
        <v>40378.264236111114</v>
      </c>
      <c r="C619">
        <v>80</v>
      </c>
      <c r="D619">
        <v>79.959625243999994</v>
      </c>
      <c r="E619">
        <v>50</v>
      </c>
      <c r="F619">
        <v>15.207672119</v>
      </c>
      <c r="G619">
        <v>1336.3669434000001</v>
      </c>
      <c r="H619">
        <v>1334.8298339999999</v>
      </c>
      <c r="I619">
        <v>1325.6212158000001</v>
      </c>
      <c r="J619">
        <v>1323.5759277</v>
      </c>
      <c r="K619">
        <v>2400</v>
      </c>
      <c r="L619">
        <v>0</v>
      </c>
      <c r="M619">
        <v>0</v>
      </c>
      <c r="N619">
        <v>2400</v>
      </c>
    </row>
    <row r="620" spans="1:14" x14ac:dyDescent="0.25">
      <c r="A620">
        <v>79.769610999999998</v>
      </c>
      <c r="B620" s="1">
        <f>DATE(2010,7,19) + TIME(18,28,14)</f>
        <v>40378.769606481481</v>
      </c>
      <c r="C620">
        <v>80</v>
      </c>
      <c r="D620">
        <v>79.959640503000003</v>
      </c>
      <c r="E620">
        <v>50</v>
      </c>
      <c r="F620">
        <v>15.235815047999999</v>
      </c>
      <c r="G620">
        <v>1336.3649902</v>
      </c>
      <c r="H620">
        <v>1334.8287353999999</v>
      </c>
      <c r="I620">
        <v>1325.6243896000001</v>
      </c>
      <c r="J620">
        <v>1323.5777588000001</v>
      </c>
      <c r="K620">
        <v>2400</v>
      </c>
      <c r="L620">
        <v>0</v>
      </c>
      <c r="M620">
        <v>0</v>
      </c>
      <c r="N620">
        <v>2400</v>
      </c>
    </row>
    <row r="621" spans="1:14" x14ac:dyDescent="0.25">
      <c r="A621">
        <v>80.281644</v>
      </c>
      <c r="B621" s="1">
        <f>DATE(2010,7,20) + TIME(6,45,34)</f>
        <v>40379.281643518516</v>
      </c>
      <c r="C621">
        <v>80</v>
      </c>
      <c r="D621">
        <v>79.959655761999997</v>
      </c>
      <c r="E621">
        <v>50</v>
      </c>
      <c r="F621">
        <v>15.267996788</v>
      </c>
      <c r="G621">
        <v>1336.3631591999999</v>
      </c>
      <c r="H621">
        <v>1334.8275146000001</v>
      </c>
      <c r="I621">
        <v>1325.6278076000001</v>
      </c>
      <c r="J621">
        <v>1323.5797118999999</v>
      </c>
      <c r="K621">
        <v>2400</v>
      </c>
      <c r="L621">
        <v>0</v>
      </c>
      <c r="M621">
        <v>0</v>
      </c>
      <c r="N621">
        <v>2400</v>
      </c>
    </row>
    <row r="622" spans="1:14" x14ac:dyDescent="0.25">
      <c r="A622">
        <v>80.537841</v>
      </c>
      <c r="B622" s="1">
        <f>DATE(2010,7,20) + TIME(12,54,29)</f>
        <v>40379.537835648145</v>
      </c>
      <c r="C622">
        <v>80</v>
      </c>
      <c r="D622">
        <v>79.959663391000007</v>
      </c>
      <c r="E622">
        <v>50</v>
      </c>
      <c r="F622">
        <v>15.29049015</v>
      </c>
      <c r="G622">
        <v>1336.3612060999999</v>
      </c>
      <c r="H622">
        <v>1334.8262939000001</v>
      </c>
      <c r="I622">
        <v>1325.6315918</v>
      </c>
      <c r="J622">
        <v>1323.581543</v>
      </c>
      <c r="K622">
        <v>2400</v>
      </c>
      <c r="L622">
        <v>0</v>
      </c>
      <c r="M622">
        <v>0</v>
      </c>
      <c r="N622">
        <v>2400</v>
      </c>
    </row>
    <row r="623" spans="1:14" x14ac:dyDescent="0.25">
      <c r="A623">
        <v>80.793160999999998</v>
      </c>
      <c r="B623" s="1">
        <f>DATE(2010,7,20) + TIME(19,2,9)</f>
        <v>40379.79315972222</v>
      </c>
      <c r="C623">
        <v>80</v>
      </c>
      <c r="D623">
        <v>79.959663391000007</v>
      </c>
      <c r="E623">
        <v>50</v>
      </c>
      <c r="F623">
        <v>15.313366889999999</v>
      </c>
      <c r="G623">
        <v>1336.3603516000001</v>
      </c>
      <c r="H623">
        <v>1334.8256836</v>
      </c>
      <c r="I623">
        <v>1325.6333007999999</v>
      </c>
      <c r="J623">
        <v>1323.5827637</v>
      </c>
      <c r="K623">
        <v>2400</v>
      </c>
      <c r="L623">
        <v>0</v>
      </c>
      <c r="M623">
        <v>0</v>
      </c>
      <c r="N623">
        <v>2400</v>
      </c>
    </row>
    <row r="624" spans="1:14" x14ac:dyDescent="0.25">
      <c r="A624">
        <v>81.047848999999999</v>
      </c>
      <c r="B624" s="1">
        <f>DATE(2010,7,21) + TIME(1,8,54)</f>
        <v>40380.047847222224</v>
      </c>
      <c r="C624">
        <v>80</v>
      </c>
      <c r="D624">
        <v>79.959671021000005</v>
      </c>
      <c r="E624">
        <v>50</v>
      </c>
      <c r="F624">
        <v>15.336872101000001</v>
      </c>
      <c r="G624">
        <v>1336.359375</v>
      </c>
      <c r="H624">
        <v>1334.8250731999999</v>
      </c>
      <c r="I624">
        <v>1325.6351318</v>
      </c>
      <c r="J624">
        <v>1323.5838623</v>
      </c>
      <c r="K624">
        <v>2400</v>
      </c>
      <c r="L624">
        <v>0</v>
      </c>
      <c r="M624">
        <v>0</v>
      </c>
      <c r="N624">
        <v>2400</v>
      </c>
    </row>
    <row r="625" spans="1:14" x14ac:dyDescent="0.25">
      <c r="A625">
        <v>81.302111999999994</v>
      </c>
      <c r="B625" s="1">
        <f>DATE(2010,7,21) + TIME(7,15,2)</f>
        <v>40380.302106481482</v>
      </c>
      <c r="C625">
        <v>80</v>
      </c>
      <c r="D625">
        <v>79.959678650000001</v>
      </c>
      <c r="E625">
        <v>50</v>
      </c>
      <c r="F625">
        <v>15.361211776999999</v>
      </c>
      <c r="G625">
        <v>1336.3583983999999</v>
      </c>
      <c r="H625">
        <v>1334.8244629000001</v>
      </c>
      <c r="I625">
        <v>1325.6368408000001</v>
      </c>
      <c r="J625">
        <v>1323.5849608999999</v>
      </c>
      <c r="K625">
        <v>2400</v>
      </c>
      <c r="L625">
        <v>0</v>
      </c>
      <c r="M625">
        <v>0</v>
      </c>
      <c r="N625">
        <v>2400</v>
      </c>
    </row>
    <row r="626" spans="1:14" x14ac:dyDescent="0.25">
      <c r="A626">
        <v>81.556154000000006</v>
      </c>
      <c r="B626" s="1">
        <f>DATE(2010,7,21) + TIME(13,20,51)</f>
        <v>40380.556145833332</v>
      </c>
      <c r="C626">
        <v>80</v>
      </c>
      <c r="D626">
        <v>79.959686278999996</v>
      </c>
      <c r="E626">
        <v>50</v>
      </c>
      <c r="F626">
        <v>15.386563301000001</v>
      </c>
      <c r="G626">
        <v>1336.3575439000001</v>
      </c>
      <c r="H626">
        <v>1334.8239745999999</v>
      </c>
      <c r="I626">
        <v>1325.6387939000001</v>
      </c>
      <c r="J626">
        <v>1323.5861815999999</v>
      </c>
      <c r="K626">
        <v>2400</v>
      </c>
      <c r="L626">
        <v>0</v>
      </c>
      <c r="M626">
        <v>0</v>
      </c>
      <c r="N626">
        <v>2400</v>
      </c>
    </row>
    <row r="627" spans="1:14" x14ac:dyDescent="0.25">
      <c r="A627">
        <v>81.810171999999994</v>
      </c>
      <c r="B627" s="1">
        <f>DATE(2010,7,21) + TIME(19,26,38)</f>
        <v>40380.810162037036</v>
      </c>
      <c r="C627">
        <v>80</v>
      </c>
      <c r="D627">
        <v>79.959701538000004</v>
      </c>
      <c r="E627">
        <v>50</v>
      </c>
      <c r="F627">
        <v>15.413087845</v>
      </c>
      <c r="G627">
        <v>1336.3565673999999</v>
      </c>
      <c r="H627">
        <v>1334.8233643000001</v>
      </c>
      <c r="I627">
        <v>1325.640625</v>
      </c>
      <c r="J627">
        <v>1323.5872803</v>
      </c>
      <c r="K627">
        <v>2400</v>
      </c>
      <c r="L627">
        <v>0</v>
      </c>
      <c r="M627">
        <v>0</v>
      </c>
      <c r="N627">
        <v>2400</v>
      </c>
    </row>
    <row r="628" spans="1:14" x14ac:dyDescent="0.25">
      <c r="A628">
        <v>82.064189999999996</v>
      </c>
      <c r="B628" s="1">
        <f>DATE(2010,7,22) + TIME(1,32,26)</f>
        <v>40381.064189814817</v>
      </c>
      <c r="C628">
        <v>80</v>
      </c>
      <c r="D628">
        <v>79.959709167</v>
      </c>
      <c r="E628">
        <v>50</v>
      </c>
      <c r="F628">
        <v>15.440918922</v>
      </c>
      <c r="G628">
        <v>1336.3557129000001</v>
      </c>
      <c r="H628">
        <v>1334.8227539</v>
      </c>
      <c r="I628">
        <v>1325.6424560999999</v>
      </c>
      <c r="J628">
        <v>1323.588501</v>
      </c>
      <c r="K628">
        <v>2400</v>
      </c>
      <c r="L628">
        <v>0</v>
      </c>
      <c r="M628">
        <v>0</v>
      </c>
      <c r="N628">
        <v>2400</v>
      </c>
    </row>
    <row r="629" spans="1:14" x14ac:dyDescent="0.25">
      <c r="A629">
        <v>82.318208999999996</v>
      </c>
      <c r="B629" s="1">
        <f>DATE(2010,7,22) + TIME(7,38,13)</f>
        <v>40381.318206018521</v>
      </c>
      <c r="C629">
        <v>80</v>
      </c>
      <c r="D629">
        <v>79.959716796999999</v>
      </c>
      <c r="E629">
        <v>50</v>
      </c>
      <c r="F629">
        <v>15.47017765</v>
      </c>
      <c r="G629">
        <v>1336.3547363</v>
      </c>
      <c r="H629">
        <v>1334.8221435999999</v>
      </c>
      <c r="I629">
        <v>1325.6444091999999</v>
      </c>
      <c r="J629">
        <v>1323.5898437999999</v>
      </c>
      <c r="K629">
        <v>2400</v>
      </c>
      <c r="L629">
        <v>0</v>
      </c>
      <c r="M629">
        <v>0</v>
      </c>
      <c r="N629">
        <v>2400</v>
      </c>
    </row>
    <row r="630" spans="1:14" x14ac:dyDescent="0.25">
      <c r="A630">
        <v>82.572226999999998</v>
      </c>
      <c r="B630" s="1">
        <f>DATE(2010,7,22) + TIME(13,44,0)</f>
        <v>40381.572222222225</v>
      </c>
      <c r="C630">
        <v>80</v>
      </c>
      <c r="D630">
        <v>79.959724425999994</v>
      </c>
      <c r="E630">
        <v>50</v>
      </c>
      <c r="F630">
        <v>15.500976562</v>
      </c>
      <c r="G630">
        <v>1336.3538818</v>
      </c>
      <c r="H630">
        <v>1334.8216553</v>
      </c>
      <c r="I630">
        <v>1325.6463623</v>
      </c>
      <c r="J630">
        <v>1323.5910644999999</v>
      </c>
      <c r="K630">
        <v>2400</v>
      </c>
      <c r="L630">
        <v>0</v>
      </c>
      <c r="M630">
        <v>0</v>
      </c>
      <c r="N630">
        <v>2400</v>
      </c>
    </row>
    <row r="631" spans="1:14" x14ac:dyDescent="0.25">
      <c r="A631">
        <v>83.080264</v>
      </c>
      <c r="B631" s="1">
        <f>DATE(2010,7,23) + TIME(1,55,34)</f>
        <v>40382.080254629633</v>
      </c>
      <c r="C631">
        <v>80</v>
      </c>
      <c r="D631">
        <v>79.959747313999998</v>
      </c>
      <c r="E631">
        <v>50</v>
      </c>
      <c r="F631">
        <v>15.553572655</v>
      </c>
      <c r="G631">
        <v>1336.3530272999999</v>
      </c>
      <c r="H631">
        <v>1334.8210449000001</v>
      </c>
      <c r="I631">
        <v>1325.6479492000001</v>
      </c>
      <c r="J631">
        <v>1323.5925293</v>
      </c>
      <c r="K631">
        <v>2400</v>
      </c>
      <c r="L631">
        <v>0</v>
      </c>
      <c r="M631">
        <v>0</v>
      </c>
      <c r="N631">
        <v>2400</v>
      </c>
    </row>
    <row r="632" spans="1:14" x14ac:dyDescent="0.25">
      <c r="A632">
        <v>83.588389000000006</v>
      </c>
      <c r="B632" s="1">
        <f>DATE(2010,7,23) + TIME(14,7,16)</f>
        <v>40382.588379629633</v>
      </c>
      <c r="C632">
        <v>80</v>
      </c>
      <c r="D632">
        <v>79.959762573000006</v>
      </c>
      <c r="E632">
        <v>50</v>
      </c>
      <c r="F632">
        <v>15.616551399</v>
      </c>
      <c r="G632">
        <v>1336.3511963000001</v>
      </c>
      <c r="H632">
        <v>1334.8199463000001</v>
      </c>
      <c r="I632">
        <v>1325.6520995999999</v>
      </c>
      <c r="J632">
        <v>1323.5952147999999</v>
      </c>
      <c r="K632">
        <v>2400</v>
      </c>
      <c r="L632">
        <v>0</v>
      </c>
      <c r="M632">
        <v>0</v>
      </c>
      <c r="N632">
        <v>2400</v>
      </c>
    </row>
    <row r="633" spans="1:14" x14ac:dyDescent="0.25">
      <c r="A633">
        <v>84.102107000000004</v>
      </c>
      <c r="B633" s="1">
        <f>DATE(2010,7,24) + TIME(2,27,2)</f>
        <v>40383.102106481485</v>
      </c>
      <c r="C633">
        <v>80</v>
      </c>
      <c r="D633">
        <v>79.959785460999996</v>
      </c>
      <c r="E633">
        <v>50</v>
      </c>
      <c r="F633">
        <v>15.689822197</v>
      </c>
      <c r="G633">
        <v>1336.3493652</v>
      </c>
      <c r="H633">
        <v>1334.8188477000001</v>
      </c>
      <c r="I633">
        <v>1325.65625</v>
      </c>
      <c r="J633">
        <v>1323.5980225000001</v>
      </c>
      <c r="K633">
        <v>2400</v>
      </c>
      <c r="L633">
        <v>0</v>
      </c>
      <c r="M633">
        <v>0</v>
      </c>
      <c r="N633">
        <v>2400</v>
      </c>
    </row>
    <row r="634" spans="1:14" x14ac:dyDescent="0.25">
      <c r="A634">
        <v>84.622960000000006</v>
      </c>
      <c r="B634" s="1">
        <f>DATE(2010,7,24) + TIME(14,57,3)</f>
        <v>40383.62295138889</v>
      </c>
      <c r="C634">
        <v>80</v>
      </c>
      <c r="D634">
        <v>79.959800720000004</v>
      </c>
      <c r="E634">
        <v>50</v>
      </c>
      <c r="F634">
        <v>15.773830414000001</v>
      </c>
      <c r="G634">
        <v>1336.3475341999999</v>
      </c>
      <c r="H634">
        <v>1334.8176269999999</v>
      </c>
      <c r="I634">
        <v>1325.6605225000001</v>
      </c>
      <c r="J634">
        <v>1323.6010742000001</v>
      </c>
      <c r="K634">
        <v>2400</v>
      </c>
      <c r="L634">
        <v>0</v>
      </c>
      <c r="M634">
        <v>0</v>
      </c>
      <c r="N634">
        <v>2400</v>
      </c>
    </row>
    <row r="635" spans="1:14" x14ac:dyDescent="0.25">
      <c r="A635">
        <v>85.151246999999998</v>
      </c>
      <c r="B635" s="1">
        <f>DATE(2010,7,25) + TIME(3,37,47)</f>
        <v>40384.151238425926</v>
      </c>
      <c r="C635">
        <v>80</v>
      </c>
      <c r="D635">
        <v>79.959823607999994</v>
      </c>
      <c r="E635">
        <v>50</v>
      </c>
      <c r="F635">
        <v>15.869348526</v>
      </c>
      <c r="G635">
        <v>1336.3458252</v>
      </c>
      <c r="H635">
        <v>1334.8165283000001</v>
      </c>
      <c r="I635">
        <v>1325.6649170000001</v>
      </c>
      <c r="J635">
        <v>1323.6043701000001</v>
      </c>
      <c r="K635">
        <v>2400</v>
      </c>
      <c r="L635">
        <v>0</v>
      </c>
      <c r="M635">
        <v>0</v>
      </c>
      <c r="N635">
        <v>2400</v>
      </c>
    </row>
    <row r="636" spans="1:14" x14ac:dyDescent="0.25">
      <c r="A636">
        <v>85.418689999999998</v>
      </c>
      <c r="B636" s="1">
        <f>DATE(2010,7,25) + TIME(10,2,54)</f>
        <v>40384.418680555558</v>
      </c>
      <c r="C636">
        <v>80</v>
      </c>
      <c r="D636">
        <v>79.959823607999994</v>
      </c>
      <c r="E636">
        <v>50</v>
      </c>
      <c r="F636">
        <v>15.936627388</v>
      </c>
      <c r="G636">
        <v>1336.3439940999999</v>
      </c>
      <c r="H636">
        <v>1334.8153076000001</v>
      </c>
      <c r="I636">
        <v>1325.6706543</v>
      </c>
      <c r="J636">
        <v>1323.6075439000001</v>
      </c>
      <c r="K636">
        <v>2400</v>
      </c>
      <c r="L636">
        <v>0</v>
      </c>
      <c r="M636">
        <v>0</v>
      </c>
      <c r="N636">
        <v>2400</v>
      </c>
    </row>
    <row r="637" spans="1:14" x14ac:dyDescent="0.25">
      <c r="A637">
        <v>85.686132999999998</v>
      </c>
      <c r="B637" s="1">
        <f>DATE(2010,7,25) + TIME(16,28,1)</f>
        <v>40384.686122685183</v>
      </c>
      <c r="C637">
        <v>80</v>
      </c>
      <c r="D637">
        <v>79.959831238000007</v>
      </c>
      <c r="E637">
        <v>50</v>
      </c>
      <c r="F637">
        <v>16.004573822000001</v>
      </c>
      <c r="G637">
        <v>1336.3430175999999</v>
      </c>
      <c r="H637">
        <v>1334.8146973</v>
      </c>
      <c r="I637">
        <v>1325.6728516000001</v>
      </c>
      <c r="J637">
        <v>1323.6096190999999</v>
      </c>
      <c r="K637">
        <v>2400</v>
      </c>
      <c r="L637">
        <v>0</v>
      </c>
      <c r="M637">
        <v>0</v>
      </c>
      <c r="N637">
        <v>2400</v>
      </c>
    </row>
    <row r="638" spans="1:14" x14ac:dyDescent="0.25">
      <c r="A638">
        <v>85.953575000000001</v>
      </c>
      <c r="B638" s="1">
        <f>DATE(2010,7,25) + TIME(22,53,8)</f>
        <v>40384.953564814816</v>
      </c>
      <c r="C638">
        <v>80</v>
      </c>
      <c r="D638">
        <v>79.959838867000002</v>
      </c>
      <c r="E638">
        <v>50</v>
      </c>
      <c r="F638">
        <v>16.073911667000001</v>
      </c>
      <c r="G638">
        <v>1336.3420410000001</v>
      </c>
      <c r="H638">
        <v>1334.8142089999999</v>
      </c>
      <c r="I638">
        <v>1325.6751709</v>
      </c>
      <c r="J638">
        <v>1323.6116943</v>
      </c>
      <c r="K638">
        <v>2400</v>
      </c>
      <c r="L638">
        <v>0</v>
      </c>
      <c r="M638">
        <v>0</v>
      </c>
      <c r="N638">
        <v>2400</v>
      </c>
    </row>
    <row r="639" spans="1:14" x14ac:dyDescent="0.25">
      <c r="A639">
        <v>86.221018000000001</v>
      </c>
      <c r="B639" s="1">
        <f>DATE(2010,7,26) + TIME(5,18,15)</f>
        <v>40385.221006944441</v>
      </c>
      <c r="C639">
        <v>80</v>
      </c>
      <c r="D639">
        <v>79.959846497000001</v>
      </c>
      <c r="E639">
        <v>50</v>
      </c>
      <c r="F639">
        <v>16.145231247000002</v>
      </c>
      <c r="G639">
        <v>1336.3411865</v>
      </c>
      <c r="H639">
        <v>1334.8135986</v>
      </c>
      <c r="I639">
        <v>1325.6774902</v>
      </c>
      <c r="J639">
        <v>1323.6137695</v>
      </c>
      <c r="K639">
        <v>2400</v>
      </c>
      <c r="L639">
        <v>0</v>
      </c>
      <c r="M639">
        <v>0</v>
      </c>
      <c r="N639">
        <v>2400</v>
      </c>
    </row>
    <row r="640" spans="1:14" x14ac:dyDescent="0.25">
      <c r="A640">
        <v>86.488460000000003</v>
      </c>
      <c r="B640" s="1">
        <f>DATE(2010,7,26) + TIME(11,43,22)</f>
        <v>40385.488449074073</v>
      </c>
      <c r="C640">
        <v>80</v>
      </c>
      <c r="D640">
        <v>79.959861755000006</v>
      </c>
      <c r="E640">
        <v>50</v>
      </c>
      <c r="F640">
        <v>16.219024657999999</v>
      </c>
      <c r="G640">
        <v>1336.340332</v>
      </c>
      <c r="H640">
        <v>1334.8129882999999</v>
      </c>
      <c r="I640">
        <v>1325.6799315999999</v>
      </c>
      <c r="J640">
        <v>1323.6158447</v>
      </c>
      <c r="K640">
        <v>2400</v>
      </c>
      <c r="L640">
        <v>0</v>
      </c>
      <c r="M640">
        <v>0</v>
      </c>
      <c r="N640">
        <v>2400</v>
      </c>
    </row>
    <row r="641" spans="1:14" x14ac:dyDescent="0.25">
      <c r="A641">
        <v>86.755903000000004</v>
      </c>
      <c r="B641" s="1">
        <f>DATE(2010,7,26) + TIME(18,8,30)</f>
        <v>40385.755902777775</v>
      </c>
      <c r="C641">
        <v>80</v>
      </c>
      <c r="D641">
        <v>79.959869385000005</v>
      </c>
      <c r="E641">
        <v>50</v>
      </c>
      <c r="F641">
        <v>16.295698166000001</v>
      </c>
      <c r="G641">
        <v>1336.3393555</v>
      </c>
      <c r="H641">
        <v>1334.8123779</v>
      </c>
      <c r="I641">
        <v>1325.682251</v>
      </c>
      <c r="J641">
        <v>1323.6180420000001</v>
      </c>
      <c r="K641">
        <v>2400</v>
      </c>
      <c r="L641">
        <v>0</v>
      </c>
      <c r="M641">
        <v>0</v>
      </c>
      <c r="N641">
        <v>2400</v>
      </c>
    </row>
    <row r="642" spans="1:14" x14ac:dyDescent="0.25">
      <c r="A642">
        <v>87.023346000000004</v>
      </c>
      <c r="B642" s="1">
        <f>DATE(2010,7,27) + TIME(0,33,37)</f>
        <v>40386.023344907408</v>
      </c>
      <c r="C642">
        <v>80</v>
      </c>
      <c r="D642">
        <v>79.959877014</v>
      </c>
      <c r="E642">
        <v>50</v>
      </c>
      <c r="F642">
        <v>16.375600814999999</v>
      </c>
      <c r="G642">
        <v>1336.338501</v>
      </c>
      <c r="H642">
        <v>1334.8118896000001</v>
      </c>
      <c r="I642">
        <v>1325.6846923999999</v>
      </c>
      <c r="J642">
        <v>1323.6203613</v>
      </c>
      <c r="K642">
        <v>2400</v>
      </c>
      <c r="L642">
        <v>0</v>
      </c>
      <c r="M642">
        <v>0</v>
      </c>
      <c r="N642">
        <v>2400</v>
      </c>
    </row>
    <row r="643" spans="1:14" x14ac:dyDescent="0.25">
      <c r="A643">
        <v>87.290788000000006</v>
      </c>
      <c r="B643" s="1">
        <f>DATE(2010,7,27) + TIME(6,58,44)</f>
        <v>40386.29078703704</v>
      </c>
      <c r="C643">
        <v>80</v>
      </c>
      <c r="D643">
        <v>79.959884643999999</v>
      </c>
      <c r="E643">
        <v>50</v>
      </c>
      <c r="F643">
        <v>16.459022522000001</v>
      </c>
      <c r="G643">
        <v>1336.3375243999999</v>
      </c>
      <c r="H643">
        <v>1334.8112793</v>
      </c>
      <c r="I643">
        <v>1325.6872559000001</v>
      </c>
      <c r="J643">
        <v>1323.6226807</v>
      </c>
      <c r="K643">
        <v>2400</v>
      </c>
      <c r="L643">
        <v>0</v>
      </c>
      <c r="M643">
        <v>0</v>
      </c>
      <c r="N643">
        <v>2400</v>
      </c>
    </row>
    <row r="644" spans="1:14" x14ac:dyDescent="0.25">
      <c r="A644">
        <v>87.558231000000006</v>
      </c>
      <c r="B644" s="1">
        <f>DATE(2010,7,27) + TIME(13,23,51)</f>
        <v>40386.558229166665</v>
      </c>
      <c r="C644">
        <v>80</v>
      </c>
      <c r="D644">
        <v>79.959892272999994</v>
      </c>
      <c r="E644">
        <v>50</v>
      </c>
      <c r="F644">
        <v>16.546211242999998</v>
      </c>
      <c r="G644">
        <v>1336.3366699000001</v>
      </c>
      <c r="H644">
        <v>1334.8106689000001</v>
      </c>
      <c r="I644">
        <v>1325.6896973</v>
      </c>
      <c r="J644">
        <v>1323.625</v>
      </c>
      <c r="K644">
        <v>2400</v>
      </c>
      <c r="L644">
        <v>0</v>
      </c>
      <c r="M644">
        <v>0</v>
      </c>
      <c r="N644">
        <v>2400</v>
      </c>
    </row>
    <row r="645" spans="1:14" x14ac:dyDescent="0.25">
      <c r="A645">
        <v>87.825672999999995</v>
      </c>
      <c r="B645" s="1">
        <f>DATE(2010,7,27) + TIME(19,48,58)</f>
        <v>40386.825671296298</v>
      </c>
      <c r="C645">
        <v>80</v>
      </c>
      <c r="D645">
        <v>79.959907532000003</v>
      </c>
      <c r="E645">
        <v>50</v>
      </c>
      <c r="F645">
        <v>16.637382507000002</v>
      </c>
      <c r="G645">
        <v>1336.3358154</v>
      </c>
      <c r="H645">
        <v>1334.8101807</v>
      </c>
      <c r="I645">
        <v>1325.6921387</v>
      </c>
      <c r="J645">
        <v>1323.6274414</v>
      </c>
      <c r="K645">
        <v>2400</v>
      </c>
      <c r="L645">
        <v>0</v>
      </c>
      <c r="M645">
        <v>0</v>
      </c>
      <c r="N645">
        <v>2400</v>
      </c>
    </row>
    <row r="646" spans="1:14" x14ac:dyDescent="0.25">
      <c r="A646">
        <v>88.093115999999995</v>
      </c>
      <c r="B646" s="1">
        <f>DATE(2010,7,28) + TIME(2,14,5)</f>
        <v>40387.093113425923</v>
      </c>
      <c r="C646">
        <v>80</v>
      </c>
      <c r="D646">
        <v>79.959915160999998</v>
      </c>
      <c r="E646">
        <v>50</v>
      </c>
      <c r="F646">
        <v>16.732721329</v>
      </c>
      <c r="G646">
        <v>1336.3348389</v>
      </c>
      <c r="H646">
        <v>1334.8095702999999</v>
      </c>
      <c r="I646">
        <v>1325.6947021000001</v>
      </c>
      <c r="J646">
        <v>1323.6300048999999</v>
      </c>
      <c r="K646">
        <v>2400</v>
      </c>
      <c r="L646">
        <v>0</v>
      </c>
      <c r="M646">
        <v>0</v>
      </c>
      <c r="N646">
        <v>2400</v>
      </c>
    </row>
    <row r="647" spans="1:14" x14ac:dyDescent="0.25">
      <c r="A647">
        <v>88.360557999999997</v>
      </c>
      <c r="B647" s="1">
        <f>DATE(2010,7,28) + TIME(8,39,12)</f>
        <v>40387.360555555555</v>
      </c>
      <c r="C647">
        <v>80</v>
      </c>
      <c r="D647">
        <v>79.959922790999997</v>
      </c>
      <c r="E647">
        <v>50</v>
      </c>
      <c r="F647">
        <v>16.832370758</v>
      </c>
      <c r="G647">
        <v>1336.3339844</v>
      </c>
      <c r="H647">
        <v>1334.8089600000001</v>
      </c>
      <c r="I647">
        <v>1325.6972656</v>
      </c>
      <c r="J647">
        <v>1323.6325684000001</v>
      </c>
      <c r="K647">
        <v>2400</v>
      </c>
      <c r="L647">
        <v>0</v>
      </c>
      <c r="M647">
        <v>0</v>
      </c>
      <c r="N647">
        <v>2400</v>
      </c>
    </row>
    <row r="648" spans="1:14" x14ac:dyDescent="0.25">
      <c r="A648">
        <v>88.628000999999998</v>
      </c>
      <c r="B648" s="1">
        <f>DATE(2010,7,28) + TIME(15,4,19)</f>
        <v>40387.627997685187</v>
      </c>
      <c r="C648">
        <v>80</v>
      </c>
      <c r="D648">
        <v>79.959930420000006</v>
      </c>
      <c r="E648">
        <v>50</v>
      </c>
      <c r="F648">
        <v>16.936473845999998</v>
      </c>
      <c r="G648">
        <v>1336.3331298999999</v>
      </c>
      <c r="H648">
        <v>1334.8084716999999</v>
      </c>
      <c r="I648">
        <v>1325.699707</v>
      </c>
      <c r="J648">
        <v>1323.6352539</v>
      </c>
      <c r="K648">
        <v>2400</v>
      </c>
      <c r="L648">
        <v>0</v>
      </c>
      <c r="M648">
        <v>0</v>
      </c>
      <c r="N648">
        <v>2400</v>
      </c>
    </row>
    <row r="649" spans="1:14" x14ac:dyDescent="0.25">
      <c r="A649">
        <v>88.895443999999998</v>
      </c>
      <c r="B649" s="1">
        <f>DATE(2010,7,28) + TIME(21,29,26)</f>
        <v>40387.895439814813</v>
      </c>
      <c r="C649">
        <v>80</v>
      </c>
      <c r="D649">
        <v>79.959945679</v>
      </c>
      <c r="E649">
        <v>50</v>
      </c>
      <c r="F649">
        <v>17.045156478999999</v>
      </c>
      <c r="G649">
        <v>1336.3322754000001</v>
      </c>
      <c r="H649">
        <v>1334.8078613</v>
      </c>
      <c r="I649">
        <v>1325.7022704999999</v>
      </c>
      <c r="J649">
        <v>1323.6380615</v>
      </c>
      <c r="K649">
        <v>2400</v>
      </c>
      <c r="L649">
        <v>0</v>
      </c>
      <c r="M649">
        <v>0</v>
      </c>
      <c r="N649">
        <v>2400</v>
      </c>
    </row>
    <row r="650" spans="1:14" x14ac:dyDescent="0.25">
      <c r="A650">
        <v>89.162886</v>
      </c>
      <c r="B650" s="1">
        <f>DATE(2010,7,29) + TIME(3,54,33)</f>
        <v>40388.162881944445</v>
      </c>
      <c r="C650">
        <v>80</v>
      </c>
      <c r="D650">
        <v>79.959953307999996</v>
      </c>
      <c r="E650">
        <v>50</v>
      </c>
      <c r="F650">
        <v>17.158525467</v>
      </c>
      <c r="G650">
        <v>1336.3312988</v>
      </c>
      <c r="H650">
        <v>1334.8073730000001</v>
      </c>
      <c r="I650">
        <v>1325.7048339999999</v>
      </c>
      <c r="J650">
        <v>1323.6408690999999</v>
      </c>
      <c r="K650">
        <v>2400</v>
      </c>
      <c r="L650">
        <v>0</v>
      </c>
      <c r="M650">
        <v>0</v>
      </c>
      <c r="N650">
        <v>2400</v>
      </c>
    </row>
    <row r="651" spans="1:14" x14ac:dyDescent="0.25">
      <c r="A651">
        <v>89.697771000000003</v>
      </c>
      <c r="B651" s="1">
        <f>DATE(2010,7,29) + TIME(16,44,47)</f>
        <v>40388.697766203702</v>
      </c>
      <c r="C651">
        <v>80</v>
      </c>
      <c r="D651">
        <v>79.959976196</v>
      </c>
      <c r="E651">
        <v>50</v>
      </c>
      <c r="F651">
        <v>17.347003937</v>
      </c>
      <c r="G651">
        <v>1336.3304443</v>
      </c>
      <c r="H651">
        <v>1334.8067627</v>
      </c>
      <c r="I651">
        <v>1325.7056885</v>
      </c>
      <c r="J651">
        <v>1323.6442870999999</v>
      </c>
      <c r="K651">
        <v>2400</v>
      </c>
      <c r="L651">
        <v>0</v>
      </c>
      <c r="M651">
        <v>0</v>
      </c>
      <c r="N651">
        <v>2400</v>
      </c>
    </row>
    <row r="652" spans="1:14" x14ac:dyDescent="0.25">
      <c r="A652">
        <v>90.235849000000002</v>
      </c>
      <c r="B652" s="1">
        <f>DATE(2010,7,30) + TIME(5,39,37)</f>
        <v>40389.235844907409</v>
      </c>
      <c r="C652">
        <v>80</v>
      </c>
      <c r="D652">
        <v>79.959999084000003</v>
      </c>
      <c r="E652">
        <v>50</v>
      </c>
      <c r="F652">
        <v>17.571256638000001</v>
      </c>
      <c r="G652">
        <v>1336.3287353999999</v>
      </c>
      <c r="H652">
        <v>1334.8056641000001</v>
      </c>
      <c r="I652">
        <v>1325.7110596</v>
      </c>
      <c r="J652">
        <v>1323.6499022999999</v>
      </c>
      <c r="K652">
        <v>2400</v>
      </c>
      <c r="L652">
        <v>0</v>
      </c>
      <c r="M652">
        <v>0</v>
      </c>
      <c r="N652">
        <v>2400</v>
      </c>
    </row>
    <row r="653" spans="1:14" x14ac:dyDescent="0.25">
      <c r="A653">
        <v>90.787758999999994</v>
      </c>
      <c r="B653" s="1">
        <f>DATE(2010,7,30) + TIME(18,54,22)</f>
        <v>40389.787754629629</v>
      </c>
      <c r="C653">
        <v>80</v>
      </c>
      <c r="D653">
        <v>79.960021972999996</v>
      </c>
      <c r="E653">
        <v>50</v>
      </c>
      <c r="F653">
        <v>17.829071044999999</v>
      </c>
      <c r="G653">
        <v>1336.3270264</v>
      </c>
      <c r="H653">
        <v>1334.8045654</v>
      </c>
      <c r="I653">
        <v>1325.7161865</v>
      </c>
      <c r="J653">
        <v>1323.6560059000001</v>
      </c>
      <c r="K653">
        <v>2400</v>
      </c>
      <c r="L653">
        <v>0</v>
      </c>
      <c r="M653">
        <v>0</v>
      </c>
      <c r="N653">
        <v>2400</v>
      </c>
    </row>
    <row r="654" spans="1:14" x14ac:dyDescent="0.25">
      <c r="A654">
        <v>91.068224000000001</v>
      </c>
      <c r="B654" s="1">
        <f>DATE(2010,7,31) + TIME(1,38,14)</f>
        <v>40390.06821759259</v>
      </c>
      <c r="C654">
        <v>80</v>
      </c>
      <c r="D654">
        <v>79.960021972999996</v>
      </c>
      <c r="E654">
        <v>50</v>
      </c>
      <c r="F654">
        <v>18.011980056999999</v>
      </c>
      <c r="G654">
        <v>1336.3251952999999</v>
      </c>
      <c r="H654">
        <v>1334.8034668</v>
      </c>
      <c r="I654">
        <v>1325.723999</v>
      </c>
      <c r="J654">
        <v>1323.6619873</v>
      </c>
      <c r="K654">
        <v>2400</v>
      </c>
      <c r="L654">
        <v>0</v>
      </c>
      <c r="M654">
        <v>0</v>
      </c>
      <c r="N654">
        <v>2400</v>
      </c>
    </row>
    <row r="655" spans="1:14" x14ac:dyDescent="0.25">
      <c r="A655">
        <v>91.617330999999993</v>
      </c>
      <c r="B655" s="1">
        <f>DATE(2010,7,31) + TIME(14,48,57)</f>
        <v>40390.617326388892</v>
      </c>
      <c r="C655">
        <v>80</v>
      </c>
      <c r="D655">
        <v>79.960044861</v>
      </c>
      <c r="E655">
        <v>50</v>
      </c>
      <c r="F655">
        <v>18.294061661000001</v>
      </c>
      <c r="G655">
        <v>1336.3243408000001</v>
      </c>
      <c r="H655">
        <v>1334.8028564000001</v>
      </c>
      <c r="I655">
        <v>1325.7237548999999</v>
      </c>
      <c r="J655">
        <v>1323.666626</v>
      </c>
      <c r="K655">
        <v>2400</v>
      </c>
      <c r="L655">
        <v>0</v>
      </c>
      <c r="M655">
        <v>0</v>
      </c>
      <c r="N655">
        <v>2400</v>
      </c>
    </row>
    <row r="656" spans="1:14" x14ac:dyDescent="0.25">
      <c r="A656">
        <v>92</v>
      </c>
      <c r="B656" s="1">
        <f>DATE(2010,8,1) + TIME(0,0,0)</f>
        <v>40391</v>
      </c>
      <c r="C656">
        <v>80</v>
      </c>
      <c r="D656">
        <v>79.960060119999994</v>
      </c>
      <c r="E656">
        <v>50</v>
      </c>
      <c r="F656">
        <v>18.544454575</v>
      </c>
      <c r="G656">
        <v>1336.3225098</v>
      </c>
      <c r="H656">
        <v>1334.8017577999999</v>
      </c>
      <c r="I656">
        <v>1325.7303466999999</v>
      </c>
      <c r="J656">
        <v>1323.6732178</v>
      </c>
      <c r="K656">
        <v>2400</v>
      </c>
      <c r="L656">
        <v>0</v>
      </c>
      <c r="M656">
        <v>0</v>
      </c>
      <c r="N656">
        <v>2400</v>
      </c>
    </row>
    <row r="657" spans="1:14" x14ac:dyDescent="0.25">
      <c r="A657">
        <v>92.550296000000003</v>
      </c>
      <c r="B657" s="1">
        <f>DATE(2010,8,1) + TIME(13,12,25)</f>
        <v>40391.55028935185</v>
      </c>
      <c r="C657">
        <v>80</v>
      </c>
      <c r="D657">
        <v>79.960083007999998</v>
      </c>
      <c r="E657">
        <v>50</v>
      </c>
      <c r="F657">
        <v>18.863298415999999</v>
      </c>
      <c r="G657">
        <v>1336.3212891000001</v>
      </c>
      <c r="H657">
        <v>1334.8009033000001</v>
      </c>
      <c r="I657">
        <v>1325.7321777</v>
      </c>
      <c r="J657">
        <v>1323.6791992000001</v>
      </c>
      <c r="K657">
        <v>2400</v>
      </c>
      <c r="L657">
        <v>0</v>
      </c>
      <c r="M657">
        <v>0</v>
      </c>
      <c r="N657">
        <v>2400</v>
      </c>
    </row>
    <row r="658" spans="1:14" x14ac:dyDescent="0.25">
      <c r="A658">
        <v>93.102991000000003</v>
      </c>
      <c r="B658" s="1">
        <f>DATE(2010,8,2) + TIME(2,28,18)</f>
        <v>40392.102986111109</v>
      </c>
      <c r="C658">
        <v>80</v>
      </c>
      <c r="D658">
        <v>79.960105896000002</v>
      </c>
      <c r="E658">
        <v>50</v>
      </c>
      <c r="F658">
        <v>19.212816237999998</v>
      </c>
      <c r="G658">
        <v>1336.3195800999999</v>
      </c>
      <c r="H658">
        <v>1334.7998047000001</v>
      </c>
      <c r="I658">
        <v>1325.7373047000001</v>
      </c>
      <c r="J658">
        <v>1323.6868896000001</v>
      </c>
      <c r="K658">
        <v>2400</v>
      </c>
      <c r="L658">
        <v>0</v>
      </c>
      <c r="M658">
        <v>0</v>
      </c>
      <c r="N658">
        <v>2400</v>
      </c>
    </row>
    <row r="659" spans="1:14" x14ac:dyDescent="0.25">
      <c r="A659">
        <v>93.660611000000003</v>
      </c>
      <c r="B659" s="1">
        <f>DATE(2010,8,2) + TIME(15,51,16)</f>
        <v>40392.660601851851</v>
      </c>
      <c r="C659">
        <v>80</v>
      </c>
      <c r="D659">
        <v>79.960121154999996</v>
      </c>
      <c r="E659">
        <v>50</v>
      </c>
      <c r="F659">
        <v>19.590122223000002</v>
      </c>
      <c r="G659">
        <v>1336.3178711</v>
      </c>
      <c r="H659">
        <v>1334.7987060999999</v>
      </c>
      <c r="I659">
        <v>1325.7423096</v>
      </c>
      <c r="J659">
        <v>1323.6950684000001</v>
      </c>
      <c r="K659">
        <v>2400</v>
      </c>
      <c r="L659">
        <v>0</v>
      </c>
      <c r="M659">
        <v>0</v>
      </c>
      <c r="N659">
        <v>2400</v>
      </c>
    </row>
    <row r="660" spans="1:14" x14ac:dyDescent="0.25">
      <c r="A660">
        <v>93.943173000000002</v>
      </c>
      <c r="B660" s="1">
        <f>DATE(2010,8,2) + TIME(22,38,10)</f>
        <v>40392.943171296298</v>
      </c>
      <c r="C660">
        <v>80</v>
      </c>
      <c r="D660">
        <v>79.960128784000005</v>
      </c>
      <c r="E660">
        <v>50</v>
      </c>
      <c r="F660">
        <v>19.849344253999998</v>
      </c>
      <c r="G660">
        <v>1336.3160399999999</v>
      </c>
      <c r="H660">
        <v>1334.7976074000001</v>
      </c>
      <c r="I660">
        <v>1325.7509766000001</v>
      </c>
      <c r="J660">
        <v>1323.7028809000001</v>
      </c>
      <c r="K660">
        <v>2400</v>
      </c>
      <c r="L660">
        <v>0</v>
      </c>
      <c r="M660">
        <v>0</v>
      </c>
      <c r="N660">
        <v>2400</v>
      </c>
    </row>
    <row r="661" spans="1:14" x14ac:dyDescent="0.25">
      <c r="A661">
        <v>94.225735999999998</v>
      </c>
      <c r="B661" s="1">
        <f>DATE(2010,8,3) + TIME(5,25,3)</f>
        <v>40393.225729166668</v>
      </c>
      <c r="C661">
        <v>80</v>
      </c>
      <c r="D661">
        <v>79.960136414000004</v>
      </c>
      <c r="E661">
        <v>50</v>
      </c>
      <c r="F661">
        <v>20.107404709000001</v>
      </c>
      <c r="G661">
        <v>1336.3151855000001</v>
      </c>
      <c r="H661">
        <v>1334.7971190999999</v>
      </c>
      <c r="I661">
        <v>1325.7528076000001</v>
      </c>
      <c r="J661">
        <v>1323.7080077999999</v>
      </c>
      <c r="K661">
        <v>2400</v>
      </c>
      <c r="L661">
        <v>0</v>
      </c>
      <c r="M661">
        <v>0</v>
      </c>
      <c r="N661">
        <v>2400</v>
      </c>
    </row>
    <row r="662" spans="1:14" x14ac:dyDescent="0.25">
      <c r="A662">
        <v>94.508298999999994</v>
      </c>
      <c r="B662" s="1">
        <f>DATE(2010,8,3) + TIME(12,11,57)</f>
        <v>40393.508298611108</v>
      </c>
      <c r="C662">
        <v>80</v>
      </c>
      <c r="D662">
        <v>79.960144043</v>
      </c>
      <c r="E662">
        <v>50</v>
      </c>
      <c r="F662">
        <v>20.364267348999999</v>
      </c>
      <c r="G662">
        <v>1336.3143310999999</v>
      </c>
      <c r="H662">
        <v>1334.7965088000001</v>
      </c>
      <c r="I662">
        <v>1325.7547606999999</v>
      </c>
      <c r="J662">
        <v>1323.7131348</v>
      </c>
      <c r="K662">
        <v>2400</v>
      </c>
      <c r="L662">
        <v>0</v>
      </c>
      <c r="M662">
        <v>0</v>
      </c>
      <c r="N662">
        <v>2400</v>
      </c>
    </row>
    <row r="663" spans="1:14" x14ac:dyDescent="0.25">
      <c r="A663">
        <v>94.790862000000004</v>
      </c>
      <c r="B663" s="1">
        <f>DATE(2010,8,3) + TIME(18,58,50)</f>
        <v>40393.790856481479</v>
      </c>
      <c r="C663">
        <v>80</v>
      </c>
      <c r="D663">
        <v>79.960159301999994</v>
      </c>
      <c r="E663">
        <v>50</v>
      </c>
      <c r="F663">
        <v>20.619964599999999</v>
      </c>
      <c r="G663">
        <v>1336.3134766000001</v>
      </c>
      <c r="H663">
        <v>1334.7958983999999</v>
      </c>
      <c r="I663">
        <v>1325.7567139</v>
      </c>
      <c r="J663">
        <v>1323.7182617000001</v>
      </c>
      <c r="K663">
        <v>2400</v>
      </c>
      <c r="L663">
        <v>0</v>
      </c>
      <c r="M663">
        <v>0</v>
      </c>
      <c r="N663">
        <v>2400</v>
      </c>
    </row>
    <row r="664" spans="1:14" x14ac:dyDescent="0.25">
      <c r="A664">
        <v>95.073425</v>
      </c>
      <c r="B664" s="1">
        <f>DATE(2010,8,4) + TIME(1,45,43)</f>
        <v>40394.073414351849</v>
      </c>
      <c r="C664">
        <v>80</v>
      </c>
      <c r="D664">
        <v>79.960166931000003</v>
      </c>
      <c r="E664">
        <v>50</v>
      </c>
      <c r="F664">
        <v>20.874828339</v>
      </c>
      <c r="G664">
        <v>1336.3126221</v>
      </c>
      <c r="H664">
        <v>1334.7954102000001</v>
      </c>
      <c r="I664">
        <v>1325.7586670000001</v>
      </c>
      <c r="J664">
        <v>1323.7233887</v>
      </c>
      <c r="K664">
        <v>2400</v>
      </c>
      <c r="L664">
        <v>0</v>
      </c>
      <c r="M664">
        <v>0</v>
      </c>
      <c r="N664">
        <v>2400</v>
      </c>
    </row>
    <row r="665" spans="1:14" x14ac:dyDescent="0.25">
      <c r="A665">
        <v>95.355987999999996</v>
      </c>
      <c r="B665" s="1">
        <f>DATE(2010,8,4) + TIME(8,32,37)</f>
        <v>40394.355983796297</v>
      </c>
      <c r="C665">
        <v>80</v>
      </c>
      <c r="D665">
        <v>79.960174561000002</v>
      </c>
      <c r="E665">
        <v>50</v>
      </c>
      <c r="F665">
        <v>21.129274368000001</v>
      </c>
      <c r="G665">
        <v>1336.3117675999999</v>
      </c>
      <c r="H665">
        <v>1334.7947998</v>
      </c>
      <c r="I665">
        <v>1325.7607422000001</v>
      </c>
      <c r="J665">
        <v>1323.7285156</v>
      </c>
      <c r="K665">
        <v>2400</v>
      </c>
      <c r="L665">
        <v>0</v>
      </c>
      <c r="M665">
        <v>0</v>
      </c>
      <c r="N665">
        <v>2400</v>
      </c>
    </row>
    <row r="666" spans="1:14" x14ac:dyDescent="0.25">
      <c r="A666">
        <v>95.638551000000007</v>
      </c>
      <c r="B666" s="1">
        <f>DATE(2010,8,4) + TIME(15,19,30)</f>
        <v>40394.638541666667</v>
      </c>
      <c r="C666">
        <v>80</v>
      </c>
      <c r="D666">
        <v>79.960189818999993</v>
      </c>
      <c r="E666">
        <v>50</v>
      </c>
      <c r="F666">
        <v>21.383735656999999</v>
      </c>
      <c r="G666">
        <v>1336.3109131000001</v>
      </c>
      <c r="H666">
        <v>1334.7943115</v>
      </c>
      <c r="I666">
        <v>1325.7628173999999</v>
      </c>
      <c r="J666">
        <v>1323.7336425999999</v>
      </c>
      <c r="K666">
        <v>2400</v>
      </c>
      <c r="L666">
        <v>0</v>
      </c>
      <c r="M666">
        <v>0</v>
      </c>
      <c r="N666">
        <v>2400</v>
      </c>
    </row>
    <row r="667" spans="1:14" x14ac:dyDescent="0.25">
      <c r="A667">
        <v>95.921114000000003</v>
      </c>
      <c r="B667" s="1">
        <f>DATE(2010,8,4) + TIME(22,6,24)</f>
        <v>40394.921111111114</v>
      </c>
      <c r="C667">
        <v>80</v>
      </c>
      <c r="D667">
        <v>79.960197449000006</v>
      </c>
      <c r="E667">
        <v>50</v>
      </c>
      <c r="F667">
        <v>21.638616561999999</v>
      </c>
      <c r="G667">
        <v>1336.3100586</v>
      </c>
      <c r="H667">
        <v>1334.7938231999999</v>
      </c>
      <c r="I667">
        <v>1325.7648925999999</v>
      </c>
      <c r="J667">
        <v>1323.7387695</v>
      </c>
      <c r="K667">
        <v>2400</v>
      </c>
      <c r="L667">
        <v>0</v>
      </c>
      <c r="M667">
        <v>0</v>
      </c>
      <c r="N667">
        <v>2400</v>
      </c>
    </row>
    <row r="668" spans="1:14" x14ac:dyDescent="0.25">
      <c r="A668">
        <v>96.203676999999999</v>
      </c>
      <c r="B668" s="1">
        <f>DATE(2010,8,5) + TIME(4,53,17)</f>
        <v>40395.203668981485</v>
      </c>
      <c r="C668">
        <v>80</v>
      </c>
      <c r="D668">
        <v>79.960212708</v>
      </c>
      <c r="E668">
        <v>50</v>
      </c>
      <c r="F668">
        <v>21.894290924</v>
      </c>
      <c r="G668">
        <v>1336.3092041</v>
      </c>
      <c r="H668">
        <v>1334.7932129000001</v>
      </c>
      <c r="I668">
        <v>1325.7670897999999</v>
      </c>
      <c r="J668">
        <v>1323.7440185999999</v>
      </c>
      <c r="K668">
        <v>2400</v>
      </c>
      <c r="L668">
        <v>0</v>
      </c>
      <c r="M668">
        <v>0</v>
      </c>
      <c r="N668">
        <v>2400</v>
      </c>
    </row>
    <row r="669" spans="1:14" x14ac:dyDescent="0.25">
      <c r="A669">
        <v>96.486239999999995</v>
      </c>
      <c r="B669" s="1">
        <f>DATE(2010,8,5) + TIME(11,40,11)</f>
        <v>40395.486238425925</v>
      </c>
      <c r="C669">
        <v>80</v>
      </c>
      <c r="D669">
        <v>79.960220336999996</v>
      </c>
      <c r="E669">
        <v>50</v>
      </c>
      <c r="F669">
        <v>22.151077270999998</v>
      </c>
      <c r="G669">
        <v>1336.3083495999999</v>
      </c>
      <c r="H669">
        <v>1334.7927245999999</v>
      </c>
      <c r="I669">
        <v>1325.7692870999999</v>
      </c>
      <c r="J669">
        <v>1323.7492675999999</v>
      </c>
      <c r="K669">
        <v>2400</v>
      </c>
      <c r="L669">
        <v>0</v>
      </c>
      <c r="M669">
        <v>0</v>
      </c>
      <c r="N669">
        <v>2400</v>
      </c>
    </row>
    <row r="670" spans="1:14" x14ac:dyDescent="0.25">
      <c r="A670">
        <v>96.768803000000005</v>
      </c>
      <c r="B670" s="1">
        <f>DATE(2010,8,5) + TIME(18,27,4)</f>
        <v>40395.768796296295</v>
      </c>
      <c r="C670">
        <v>80</v>
      </c>
      <c r="D670">
        <v>79.960227966000005</v>
      </c>
      <c r="E670">
        <v>50</v>
      </c>
      <c r="F670">
        <v>22.409231186</v>
      </c>
      <c r="G670">
        <v>1336.3074951000001</v>
      </c>
      <c r="H670">
        <v>1334.7922363</v>
      </c>
      <c r="I670">
        <v>1325.7713623</v>
      </c>
      <c r="J670">
        <v>1323.7543945</v>
      </c>
      <c r="K670">
        <v>2400</v>
      </c>
      <c r="L670">
        <v>0</v>
      </c>
      <c r="M670">
        <v>0</v>
      </c>
      <c r="N670">
        <v>2400</v>
      </c>
    </row>
    <row r="671" spans="1:14" x14ac:dyDescent="0.25">
      <c r="A671">
        <v>97.051366000000002</v>
      </c>
      <c r="B671" s="1">
        <f>DATE(2010,8,6) + TIME(1,13,58)</f>
        <v>40396.051365740743</v>
      </c>
      <c r="C671">
        <v>80</v>
      </c>
      <c r="D671">
        <v>79.960243224999999</v>
      </c>
      <c r="E671">
        <v>50</v>
      </c>
      <c r="F671">
        <v>22.668937682999999</v>
      </c>
      <c r="G671">
        <v>1336.3067627</v>
      </c>
      <c r="H671">
        <v>1334.791626</v>
      </c>
      <c r="I671">
        <v>1325.7735596</v>
      </c>
      <c r="J671">
        <v>1323.7597656</v>
      </c>
      <c r="K671">
        <v>2400</v>
      </c>
      <c r="L671">
        <v>0</v>
      </c>
      <c r="M671">
        <v>0</v>
      </c>
      <c r="N671">
        <v>2400</v>
      </c>
    </row>
    <row r="672" spans="1:14" x14ac:dyDescent="0.25">
      <c r="A672">
        <v>97.333928999999998</v>
      </c>
      <c r="B672" s="1">
        <f>DATE(2010,8,6) + TIME(8,0,51)</f>
        <v>40396.333923611113</v>
      </c>
      <c r="C672">
        <v>80</v>
      </c>
      <c r="D672">
        <v>79.960250853999995</v>
      </c>
      <c r="E672">
        <v>50</v>
      </c>
      <c r="F672">
        <v>22.930324553999998</v>
      </c>
      <c r="G672">
        <v>1336.3059082</v>
      </c>
      <c r="H672">
        <v>1334.7911377</v>
      </c>
      <c r="I672">
        <v>1325.7757568</v>
      </c>
      <c r="J672">
        <v>1323.7650146000001</v>
      </c>
      <c r="K672">
        <v>2400</v>
      </c>
      <c r="L672">
        <v>0</v>
      </c>
      <c r="M672">
        <v>0</v>
      </c>
      <c r="N672">
        <v>2400</v>
      </c>
    </row>
    <row r="673" spans="1:14" x14ac:dyDescent="0.25">
      <c r="A673">
        <v>97.616491999999994</v>
      </c>
      <c r="B673" s="1">
        <f>DATE(2010,8,6) + TIME(14,47,44)</f>
        <v>40396.616481481484</v>
      </c>
      <c r="C673">
        <v>80</v>
      </c>
      <c r="D673">
        <v>79.960266113000003</v>
      </c>
      <c r="E673">
        <v>50</v>
      </c>
      <c r="F673">
        <v>23.193450928000001</v>
      </c>
      <c r="G673">
        <v>1336.3050536999999</v>
      </c>
      <c r="H673">
        <v>1334.7906493999999</v>
      </c>
      <c r="I673">
        <v>1325.7779541</v>
      </c>
      <c r="J673">
        <v>1323.7703856999999</v>
      </c>
      <c r="K673">
        <v>2400</v>
      </c>
      <c r="L673">
        <v>0</v>
      </c>
      <c r="M673">
        <v>0</v>
      </c>
      <c r="N673">
        <v>2400</v>
      </c>
    </row>
    <row r="674" spans="1:14" x14ac:dyDescent="0.25">
      <c r="A674">
        <v>97.899055000000004</v>
      </c>
      <c r="B674" s="1">
        <f>DATE(2010,8,6) + TIME(21,34,38)</f>
        <v>40396.899050925924</v>
      </c>
      <c r="C674">
        <v>80</v>
      </c>
      <c r="D674">
        <v>79.960273743000002</v>
      </c>
      <c r="E674">
        <v>50</v>
      </c>
      <c r="F674">
        <v>23.458324432000001</v>
      </c>
      <c r="G674">
        <v>1336.3041992000001</v>
      </c>
      <c r="H674">
        <v>1334.7900391000001</v>
      </c>
      <c r="I674">
        <v>1325.7801514</v>
      </c>
      <c r="J674">
        <v>1323.7757568</v>
      </c>
      <c r="K674">
        <v>2400</v>
      </c>
      <c r="L674">
        <v>0</v>
      </c>
      <c r="M674">
        <v>0</v>
      </c>
      <c r="N674">
        <v>2400</v>
      </c>
    </row>
    <row r="675" spans="1:14" x14ac:dyDescent="0.25">
      <c r="A675">
        <v>98.181618</v>
      </c>
      <c r="B675" s="1">
        <f>DATE(2010,8,7) + TIME(4,21,31)</f>
        <v>40397.181608796294</v>
      </c>
      <c r="C675">
        <v>80</v>
      </c>
      <c r="D675">
        <v>79.960281371999997</v>
      </c>
      <c r="E675">
        <v>50</v>
      </c>
      <c r="F675">
        <v>23.724903106999999</v>
      </c>
      <c r="G675">
        <v>1336.3034668</v>
      </c>
      <c r="H675">
        <v>1334.7895507999999</v>
      </c>
      <c r="I675">
        <v>1325.7823486</v>
      </c>
      <c r="J675">
        <v>1323.7811279</v>
      </c>
      <c r="K675">
        <v>2400</v>
      </c>
      <c r="L675">
        <v>0</v>
      </c>
      <c r="M675">
        <v>0</v>
      </c>
      <c r="N675">
        <v>2400</v>
      </c>
    </row>
    <row r="676" spans="1:14" x14ac:dyDescent="0.25">
      <c r="A676">
        <v>98.464179999999999</v>
      </c>
      <c r="B676" s="1">
        <f>DATE(2010,8,7) + TIME(11,8,25)</f>
        <v>40397.464178240742</v>
      </c>
      <c r="C676">
        <v>80</v>
      </c>
      <c r="D676">
        <v>79.960296631000006</v>
      </c>
      <c r="E676">
        <v>50</v>
      </c>
      <c r="F676">
        <v>23.993106842</v>
      </c>
      <c r="G676">
        <v>1336.3026123</v>
      </c>
      <c r="H676">
        <v>1334.7890625</v>
      </c>
      <c r="I676">
        <v>1325.7845459</v>
      </c>
      <c r="J676">
        <v>1323.786499</v>
      </c>
      <c r="K676">
        <v>2400</v>
      </c>
      <c r="L676">
        <v>0</v>
      </c>
      <c r="M676">
        <v>0</v>
      </c>
      <c r="N676">
        <v>2400</v>
      </c>
    </row>
    <row r="677" spans="1:14" x14ac:dyDescent="0.25">
      <c r="A677">
        <v>99.029306000000005</v>
      </c>
      <c r="B677" s="1">
        <f>DATE(2010,8,8) + TIME(0,42,12)</f>
        <v>40398.029305555552</v>
      </c>
      <c r="C677">
        <v>80</v>
      </c>
      <c r="D677">
        <v>79.960319518999995</v>
      </c>
      <c r="E677">
        <v>50</v>
      </c>
      <c r="F677">
        <v>24.407409668</v>
      </c>
      <c r="G677">
        <v>1336.3018798999999</v>
      </c>
      <c r="H677">
        <v>1334.7885742000001</v>
      </c>
      <c r="I677">
        <v>1325.7833252</v>
      </c>
      <c r="J677">
        <v>1323.7927245999999</v>
      </c>
      <c r="K677">
        <v>2400</v>
      </c>
      <c r="L677">
        <v>0</v>
      </c>
      <c r="M677">
        <v>0</v>
      </c>
      <c r="N677">
        <v>2400</v>
      </c>
    </row>
    <row r="678" spans="1:14" x14ac:dyDescent="0.25">
      <c r="A678">
        <v>99.595196000000001</v>
      </c>
      <c r="B678" s="1">
        <f>DATE(2010,8,8) + TIME(14,17,4)</f>
        <v>40398.595185185186</v>
      </c>
      <c r="C678">
        <v>80</v>
      </c>
      <c r="D678">
        <v>79.960342406999999</v>
      </c>
      <c r="E678">
        <v>50</v>
      </c>
      <c r="F678">
        <v>24.854415893999999</v>
      </c>
      <c r="G678">
        <v>1336.3001709</v>
      </c>
      <c r="H678">
        <v>1334.7875977000001</v>
      </c>
      <c r="I678">
        <v>1325.7886963000001</v>
      </c>
      <c r="J678">
        <v>1323.8022461</v>
      </c>
      <c r="K678">
        <v>2400</v>
      </c>
      <c r="L678">
        <v>0</v>
      </c>
      <c r="M678">
        <v>0</v>
      </c>
      <c r="N678">
        <v>2400</v>
      </c>
    </row>
    <row r="679" spans="1:14" x14ac:dyDescent="0.25">
      <c r="A679">
        <v>100.195386</v>
      </c>
      <c r="B679" s="1">
        <f>DATE(2010,8,9) + TIME(4,41,21)</f>
        <v>40399.195381944446</v>
      </c>
      <c r="C679">
        <v>80</v>
      </c>
      <c r="D679">
        <v>79.960365295000003</v>
      </c>
      <c r="E679">
        <v>50</v>
      </c>
      <c r="F679">
        <v>25.356025696</v>
      </c>
      <c r="G679">
        <v>1336.2985839999999</v>
      </c>
      <c r="H679">
        <v>1334.7866211</v>
      </c>
      <c r="I679">
        <v>1325.7937012</v>
      </c>
      <c r="J679">
        <v>1323.8123779</v>
      </c>
      <c r="K679">
        <v>2400</v>
      </c>
      <c r="L679">
        <v>0</v>
      </c>
      <c r="M679">
        <v>0</v>
      </c>
      <c r="N679">
        <v>2400</v>
      </c>
    </row>
    <row r="680" spans="1:14" x14ac:dyDescent="0.25">
      <c r="A680">
        <v>100.824139</v>
      </c>
      <c r="B680" s="1">
        <f>DATE(2010,8,9) + TIME(19,46,45)</f>
        <v>40399.824131944442</v>
      </c>
      <c r="C680">
        <v>80</v>
      </c>
      <c r="D680">
        <v>79.960395813000005</v>
      </c>
      <c r="E680">
        <v>50</v>
      </c>
      <c r="F680">
        <v>25.912500381000001</v>
      </c>
      <c r="G680">
        <v>1336.2969971</v>
      </c>
      <c r="H680">
        <v>1334.7855225000001</v>
      </c>
      <c r="I680">
        <v>1325.7987060999999</v>
      </c>
      <c r="J680">
        <v>1323.8234863</v>
      </c>
      <c r="K680">
        <v>2400</v>
      </c>
      <c r="L680">
        <v>0</v>
      </c>
      <c r="M680">
        <v>0</v>
      </c>
      <c r="N680">
        <v>2400</v>
      </c>
    </row>
    <row r="681" spans="1:14" x14ac:dyDescent="0.25">
      <c r="A681">
        <v>101.140047</v>
      </c>
      <c r="B681" s="1">
        <f>DATE(2010,8,10) + TIME(3,21,40)</f>
        <v>40400.140046296299</v>
      </c>
      <c r="C681">
        <v>80</v>
      </c>
      <c r="D681">
        <v>79.960403442</v>
      </c>
      <c r="E681">
        <v>50</v>
      </c>
      <c r="F681">
        <v>26.304615021</v>
      </c>
      <c r="G681">
        <v>1336.2952881000001</v>
      </c>
      <c r="H681">
        <v>1334.7845459</v>
      </c>
      <c r="I681">
        <v>1325.8076172000001</v>
      </c>
      <c r="J681">
        <v>1323.8341064000001</v>
      </c>
      <c r="K681">
        <v>2400</v>
      </c>
      <c r="L681">
        <v>0</v>
      </c>
      <c r="M681">
        <v>0</v>
      </c>
      <c r="N681">
        <v>2400</v>
      </c>
    </row>
    <row r="682" spans="1:14" x14ac:dyDescent="0.25">
      <c r="A682">
        <v>101.45432099999999</v>
      </c>
      <c r="B682" s="1">
        <f>DATE(2010,8,10) + TIME(10,54,13)</f>
        <v>40400.454317129632</v>
      </c>
      <c r="C682">
        <v>80</v>
      </c>
      <c r="D682">
        <v>79.960411071999999</v>
      </c>
      <c r="E682">
        <v>50</v>
      </c>
      <c r="F682">
        <v>26.669366836999998</v>
      </c>
      <c r="G682">
        <v>1336.2944336</v>
      </c>
      <c r="H682">
        <v>1334.7839355000001</v>
      </c>
      <c r="I682">
        <v>1325.8092041</v>
      </c>
      <c r="J682">
        <v>1323.8411865</v>
      </c>
      <c r="K682">
        <v>2400</v>
      </c>
      <c r="L682">
        <v>0</v>
      </c>
      <c r="M682">
        <v>0</v>
      </c>
      <c r="N682">
        <v>2400</v>
      </c>
    </row>
    <row r="683" spans="1:14" x14ac:dyDescent="0.25">
      <c r="A683">
        <v>101.76801</v>
      </c>
      <c r="B683" s="1">
        <f>DATE(2010,8,10) + TIME(18,25,56)</f>
        <v>40400.768009259256</v>
      </c>
      <c r="C683">
        <v>80</v>
      </c>
      <c r="D683">
        <v>79.960418700999995</v>
      </c>
      <c r="E683">
        <v>50</v>
      </c>
      <c r="F683">
        <v>27.014228821</v>
      </c>
      <c r="G683">
        <v>1336.2935791</v>
      </c>
      <c r="H683">
        <v>1334.7834473</v>
      </c>
      <c r="I683">
        <v>1325.8110352000001</v>
      </c>
      <c r="J683">
        <v>1323.8479004000001</v>
      </c>
      <c r="K683">
        <v>2400</v>
      </c>
      <c r="L683">
        <v>0</v>
      </c>
      <c r="M683">
        <v>0</v>
      </c>
      <c r="N683">
        <v>2400</v>
      </c>
    </row>
    <row r="684" spans="1:14" x14ac:dyDescent="0.25">
      <c r="A684">
        <v>102.081388</v>
      </c>
      <c r="B684" s="1">
        <f>DATE(2010,8,11) + TIME(1,57,11)</f>
        <v>40401.081377314818</v>
      </c>
      <c r="C684">
        <v>80</v>
      </c>
      <c r="D684">
        <v>79.960433960000003</v>
      </c>
      <c r="E684">
        <v>50</v>
      </c>
      <c r="F684">
        <v>27.344350814999999</v>
      </c>
      <c r="G684">
        <v>1336.2927245999999</v>
      </c>
      <c r="H684">
        <v>1334.7829589999999</v>
      </c>
      <c r="I684">
        <v>1325.8129882999999</v>
      </c>
      <c r="J684">
        <v>1323.8544922000001</v>
      </c>
      <c r="K684">
        <v>2400</v>
      </c>
      <c r="L684">
        <v>0</v>
      </c>
      <c r="M684">
        <v>0</v>
      </c>
      <c r="N684">
        <v>2400</v>
      </c>
    </row>
    <row r="685" spans="1:14" x14ac:dyDescent="0.25">
      <c r="A685">
        <v>102.394721</v>
      </c>
      <c r="B685" s="1">
        <f>DATE(2010,8,11) + TIME(9,28,23)</f>
        <v>40401.39471064815</v>
      </c>
      <c r="C685">
        <v>80</v>
      </c>
      <c r="D685">
        <v>79.960441588999998</v>
      </c>
      <c r="E685">
        <v>50</v>
      </c>
      <c r="F685">
        <v>27.663208008000002</v>
      </c>
      <c r="G685">
        <v>1336.2918701000001</v>
      </c>
      <c r="H685">
        <v>1334.7824707</v>
      </c>
      <c r="I685">
        <v>1325.8150635</v>
      </c>
      <c r="J685">
        <v>1323.8609618999999</v>
      </c>
      <c r="K685">
        <v>2400</v>
      </c>
      <c r="L685">
        <v>0</v>
      </c>
      <c r="M685">
        <v>0</v>
      </c>
      <c r="N685">
        <v>2400</v>
      </c>
    </row>
    <row r="686" spans="1:14" x14ac:dyDescent="0.25">
      <c r="A686">
        <v>102.70805300000001</v>
      </c>
      <c r="B686" s="1">
        <f>DATE(2010,8,11) + TIME(16,59,35)</f>
        <v>40401.708043981482</v>
      </c>
      <c r="C686">
        <v>80</v>
      </c>
      <c r="D686">
        <v>79.960456848000007</v>
      </c>
      <c r="E686">
        <v>50</v>
      </c>
      <c r="F686">
        <v>27.973026275999999</v>
      </c>
      <c r="G686">
        <v>1336.2911377</v>
      </c>
      <c r="H686">
        <v>1334.7818603999999</v>
      </c>
      <c r="I686">
        <v>1325.8172606999999</v>
      </c>
      <c r="J686">
        <v>1323.8671875</v>
      </c>
      <c r="K686">
        <v>2400</v>
      </c>
      <c r="L686">
        <v>0</v>
      </c>
      <c r="M686">
        <v>0</v>
      </c>
      <c r="N686">
        <v>2400</v>
      </c>
    </row>
    <row r="687" spans="1:14" x14ac:dyDescent="0.25">
      <c r="A687">
        <v>103.021385</v>
      </c>
      <c r="B687" s="1">
        <f>DATE(2010,8,12) + TIME(0,30,47)</f>
        <v>40402.021377314813</v>
      </c>
      <c r="C687">
        <v>80</v>
      </c>
      <c r="D687">
        <v>79.960472107000001</v>
      </c>
      <c r="E687">
        <v>50</v>
      </c>
      <c r="F687">
        <v>28.275289535999999</v>
      </c>
      <c r="G687">
        <v>1336.2902832</v>
      </c>
      <c r="H687">
        <v>1334.7813721</v>
      </c>
      <c r="I687">
        <v>1325.8195800999999</v>
      </c>
      <c r="J687">
        <v>1323.8734131000001</v>
      </c>
      <c r="K687">
        <v>2400</v>
      </c>
      <c r="L687">
        <v>0</v>
      </c>
      <c r="M687">
        <v>0</v>
      </c>
      <c r="N687">
        <v>2400</v>
      </c>
    </row>
    <row r="688" spans="1:14" x14ac:dyDescent="0.25">
      <c r="A688">
        <v>103.334718</v>
      </c>
      <c r="B688" s="1">
        <f>DATE(2010,8,12) + TIME(8,1,59)</f>
        <v>40402.334710648145</v>
      </c>
      <c r="C688">
        <v>80</v>
      </c>
      <c r="D688">
        <v>79.960479735999996</v>
      </c>
      <c r="E688">
        <v>50</v>
      </c>
      <c r="F688">
        <v>28.570995330999999</v>
      </c>
      <c r="G688">
        <v>1336.2894286999999</v>
      </c>
      <c r="H688">
        <v>1334.7808838000001</v>
      </c>
      <c r="I688">
        <v>1325.8218993999999</v>
      </c>
      <c r="J688">
        <v>1323.8795166</v>
      </c>
      <c r="K688">
        <v>2400</v>
      </c>
      <c r="L688">
        <v>0</v>
      </c>
      <c r="M688">
        <v>0</v>
      </c>
      <c r="N688">
        <v>2400</v>
      </c>
    </row>
    <row r="689" spans="1:14" x14ac:dyDescent="0.25">
      <c r="A689">
        <v>103.961382</v>
      </c>
      <c r="B689" s="1">
        <f>DATE(2010,8,12) + TIME(23,4,23)</f>
        <v>40402.961377314816</v>
      </c>
      <c r="C689">
        <v>80</v>
      </c>
      <c r="D689">
        <v>79.960510253999999</v>
      </c>
      <c r="E689">
        <v>50</v>
      </c>
      <c r="F689">
        <v>29.004619598000001</v>
      </c>
      <c r="G689">
        <v>1336.2886963000001</v>
      </c>
      <c r="H689">
        <v>1334.7803954999999</v>
      </c>
      <c r="I689">
        <v>1325.8217772999999</v>
      </c>
      <c r="J689">
        <v>1323.8864745999999</v>
      </c>
      <c r="K689">
        <v>2400</v>
      </c>
      <c r="L689">
        <v>0</v>
      </c>
      <c r="M689">
        <v>0</v>
      </c>
      <c r="N689">
        <v>2400</v>
      </c>
    </row>
    <row r="690" spans="1:14" x14ac:dyDescent="0.25">
      <c r="A690">
        <v>104.589252</v>
      </c>
      <c r="B690" s="1">
        <f>DATE(2010,8,13) + TIME(14,8,31)</f>
        <v>40403.589247685188</v>
      </c>
      <c r="C690">
        <v>80</v>
      </c>
      <c r="D690">
        <v>79.960533142000003</v>
      </c>
      <c r="E690">
        <v>50</v>
      </c>
      <c r="F690">
        <v>29.495372772</v>
      </c>
      <c r="G690">
        <v>1336.2871094</v>
      </c>
      <c r="H690">
        <v>1334.7794189000001</v>
      </c>
      <c r="I690">
        <v>1325.8275146000001</v>
      </c>
      <c r="J690">
        <v>1323.8969727000001</v>
      </c>
      <c r="K690">
        <v>2400</v>
      </c>
      <c r="L690">
        <v>0</v>
      </c>
      <c r="M690">
        <v>0</v>
      </c>
      <c r="N690">
        <v>2400</v>
      </c>
    </row>
    <row r="691" spans="1:14" x14ac:dyDescent="0.25">
      <c r="A691">
        <v>105.224214</v>
      </c>
      <c r="B691" s="1">
        <f>DATE(2010,8,14) + TIME(5,22,52)</f>
        <v>40404.224212962959</v>
      </c>
      <c r="C691">
        <v>80</v>
      </c>
      <c r="D691">
        <v>79.960563660000005</v>
      </c>
      <c r="E691">
        <v>50</v>
      </c>
      <c r="F691">
        <v>30.009191513000001</v>
      </c>
      <c r="G691">
        <v>1336.2855225000001</v>
      </c>
      <c r="H691">
        <v>1334.7785644999999</v>
      </c>
      <c r="I691">
        <v>1325.8330077999999</v>
      </c>
      <c r="J691">
        <v>1323.9080810999999</v>
      </c>
      <c r="K691">
        <v>2400</v>
      </c>
      <c r="L691">
        <v>0</v>
      </c>
      <c r="M691">
        <v>0</v>
      </c>
      <c r="N691">
        <v>2400</v>
      </c>
    </row>
    <row r="692" spans="1:14" x14ac:dyDescent="0.25">
      <c r="A692">
        <v>105.86810199999999</v>
      </c>
      <c r="B692" s="1">
        <f>DATE(2010,8,14) + TIME(20,50,4)</f>
        <v>40404.868101851855</v>
      </c>
      <c r="C692">
        <v>80</v>
      </c>
      <c r="D692">
        <v>79.960586547999995</v>
      </c>
      <c r="E692">
        <v>50</v>
      </c>
      <c r="F692">
        <v>30.530044556</v>
      </c>
      <c r="G692">
        <v>1336.2839355000001</v>
      </c>
      <c r="H692">
        <v>1334.7775879000001</v>
      </c>
      <c r="I692">
        <v>1325.8383789</v>
      </c>
      <c r="J692">
        <v>1323.9194336</v>
      </c>
      <c r="K692">
        <v>2400</v>
      </c>
      <c r="L692">
        <v>0</v>
      </c>
      <c r="M692">
        <v>0</v>
      </c>
      <c r="N692">
        <v>2400</v>
      </c>
    </row>
    <row r="693" spans="1:14" x14ac:dyDescent="0.25">
      <c r="A693">
        <v>106.52096</v>
      </c>
      <c r="B693" s="1">
        <f>DATE(2010,8,15) + TIME(12,30,10)</f>
        <v>40405.520949074074</v>
      </c>
      <c r="C693">
        <v>80</v>
      </c>
      <c r="D693">
        <v>79.960609435999999</v>
      </c>
      <c r="E693">
        <v>50</v>
      </c>
      <c r="F693">
        <v>31.049707413</v>
      </c>
      <c r="G693">
        <v>1336.2823486</v>
      </c>
      <c r="H693">
        <v>1334.7766113</v>
      </c>
      <c r="I693">
        <v>1325.84375</v>
      </c>
      <c r="J693">
        <v>1323.9307861</v>
      </c>
      <c r="K693">
        <v>2400</v>
      </c>
      <c r="L693">
        <v>0</v>
      </c>
      <c r="M693">
        <v>0</v>
      </c>
      <c r="N693">
        <v>2400</v>
      </c>
    </row>
    <row r="694" spans="1:14" x14ac:dyDescent="0.25">
      <c r="A694">
        <v>107.180223</v>
      </c>
      <c r="B694" s="1">
        <f>DATE(2010,8,16) + TIME(4,19,31)</f>
        <v>40406.180219907408</v>
      </c>
      <c r="C694">
        <v>80</v>
      </c>
      <c r="D694">
        <v>79.960639954000001</v>
      </c>
      <c r="E694">
        <v>50</v>
      </c>
      <c r="F694">
        <v>31.563217163000001</v>
      </c>
      <c r="G694">
        <v>1336.2807617000001</v>
      </c>
      <c r="H694">
        <v>1334.7757568</v>
      </c>
      <c r="I694">
        <v>1325.8493652</v>
      </c>
      <c r="J694">
        <v>1323.9422606999999</v>
      </c>
      <c r="K694">
        <v>2400</v>
      </c>
      <c r="L694">
        <v>0</v>
      </c>
      <c r="M694">
        <v>0</v>
      </c>
      <c r="N694">
        <v>2400</v>
      </c>
    </row>
    <row r="695" spans="1:14" x14ac:dyDescent="0.25">
      <c r="A695">
        <v>107.84621199999999</v>
      </c>
      <c r="B695" s="1">
        <f>DATE(2010,8,16) + TIME(20,18,32)</f>
        <v>40406.846203703702</v>
      </c>
      <c r="C695">
        <v>80</v>
      </c>
      <c r="D695">
        <v>79.960662842000005</v>
      </c>
      <c r="E695">
        <v>50</v>
      </c>
      <c r="F695">
        <v>32.068290709999999</v>
      </c>
      <c r="G695">
        <v>1336.2792969</v>
      </c>
      <c r="H695">
        <v>1334.7747803</v>
      </c>
      <c r="I695">
        <v>1325.8549805</v>
      </c>
      <c r="J695">
        <v>1323.9537353999999</v>
      </c>
      <c r="K695">
        <v>2400</v>
      </c>
      <c r="L695">
        <v>0</v>
      </c>
      <c r="M695">
        <v>0</v>
      </c>
      <c r="N695">
        <v>2400</v>
      </c>
    </row>
    <row r="696" spans="1:14" x14ac:dyDescent="0.25">
      <c r="A696">
        <v>108.521038</v>
      </c>
      <c r="B696" s="1">
        <f>DATE(2010,8,17) + TIME(12,30,17)</f>
        <v>40407.52103009259</v>
      </c>
      <c r="C696">
        <v>80</v>
      </c>
      <c r="D696">
        <v>79.960693359000004</v>
      </c>
      <c r="E696">
        <v>50</v>
      </c>
      <c r="F696">
        <v>32.564575195000003</v>
      </c>
      <c r="G696">
        <v>1336.2777100000001</v>
      </c>
      <c r="H696">
        <v>1334.7739257999999</v>
      </c>
      <c r="I696">
        <v>1325.8607178</v>
      </c>
      <c r="J696">
        <v>1323.9650879000001</v>
      </c>
      <c r="K696">
        <v>2400</v>
      </c>
      <c r="L696">
        <v>0</v>
      </c>
      <c r="M696">
        <v>0</v>
      </c>
      <c r="N696">
        <v>2400</v>
      </c>
    </row>
    <row r="697" spans="1:14" x14ac:dyDescent="0.25">
      <c r="A697">
        <v>108.86043600000001</v>
      </c>
      <c r="B697" s="1">
        <f>DATE(2010,8,17) + TIME(20,39,1)</f>
        <v>40407.86042824074</v>
      </c>
      <c r="C697">
        <v>80</v>
      </c>
      <c r="D697">
        <v>79.960700989000003</v>
      </c>
      <c r="E697">
        <v>50</v>
      </c>
      <c r="F697">
        <v>32.897449493000003</v>
      </c>
      <c r="G697">
        <v>1336.2761230000001</v>
      </c>
      <c r="H697">
        <v>1334.7729492000001</v>
      </c>
      <c r="I697">
        <v>1325.8691406</v>
      </c>
      <c r="J697">
        <v>1323.9754639</v>
      </c>
      <c r="K697">
        <v>2400</v>
      </c>
      <c r="L697">
        <v>0</v>
      </c>
      <c r="M697">
        <v>0</v>
      </c>
      <c r="N697">
        <v>2400</v>
      </c>
    </row>
    <row r="698" spans="1:14" x14ac:dyDescent="0.25">
      <c r="A698">
        <v>109.199834</v>
      </c>
      <c r="B698" s="1">
        <f>DATE(2010,8,18) + TIME(4,47,45)</f>
        <v>40408.199826388889</v>
      </c>
      <c r="C698">
        <v>80</v>
      </c>
      <c r="D698">
        <v>79.960708617999998</v>
      </c>
      <c r="E698">
        <v>50</v>
      </c>
      <c r="F698">
        <v>33.192863463999998</v>
      </c>
      <c r="G698">
        <v>1336.2753906</v>
      </c>
      <c r="H698">
        <v>1334.7725829999999</v>
      </c>
      <c r="I698">
        <v>1325.8714600000001</v>
      </c>
      <c r="J698">
        <v>1323.9820557</v>
      </c>
      <c r="K698">
        <v>2400</v>
      </c>
      <c r="L698">
        <v>0</v>
      </c>
      <c r="M698">
        <v>0</v>
      </c>
      <c r="N698">
        <v>2400</v>
      </c>
    </row>
    <row r="699" spans="1:14" x14ac:dyDescent="0.25">
      <c r="A699">
        <v>109.53878899999999</v>
      </c>
      <c r="B699" s="1">
        <f>DATE(2010,8,18) + TIME(12,55,51)</f>
        <v>40408.538784722223</v>
      </c>
      <c r="C699">
        <v>80</v>
      </c>
      <c r="D699">
        <v>79.960723877000007</v>
      </c>
      <c r="E699">
        <v>50</v>
      </c>
      <c r="F699">
        <v>33.462882995999998</v>
      </c>
      <c r="G699">
        <v>1336.2746582</v>
      </c>
      <c r="H699">
        <v>1334.7720947</v>
      </c>
      <c r="I699">
        <v>1325.8740233999999</v>
      </c>
      <c r="J699">
        <v>1323.9882812000001</v>
      </c>
      <c r="K699">
        <v>2400</v>
      </c>
      <c r="L699">
        <v>0</v>
      </c>
      <c r="M699">
        <v>0</v>
      </c>
      <c r="N699">
        <v>2400</v>
      </c>
    </row>
    <row r="700" spans="1:14" x14ac:dyDescent="0.25">
      <c r="A700">
        <v>109.877083</v>
      </c>
      <c r="B700" s="1">
        <f>DATE(2010,8,18) + TIME(21,2,59)</f>
        <v>40408.877071759256</v>
      </c>
      <c r="C700">
        <v>80</v>
      </c>
      <c r="D700">
        <v>79.960739136000001</v>
      </c>
      <c r="E700">
        <v>50</v>
      </c>
      <c r="F700">
        <v>33.715229033999996</v>
      </c>
      <c r="G700">
        <v>1336.2739257999999</v>
      </c>
      <c r="H700">
        <v>1334.7716064000001</v>
      </c>
      <c r="I700">
        <v>1325.8768310999999</v>
      </c>
      <c r="J700">
        <v>1323.9942627</v>
      </c>
      <c r="K700">
        <v>2400</v>
      </c>
      <c r="L700">
        <v>0</v>
      </c>
      <c r="M700">
        <v>0</v>
      </c>
      <c r="N700">
        <v>2400</v>
      </c>
    </row>
    <row r="701" spans="1:14" x14ac:dyDescent="0.25">
      <c r="A701">
        <v>110.21502</v>
      </c>
      <c r="B701" s="1">
        <f>DATE(2010,8,19) + TIME(5,9,37)</f>
        <v>40409.215011574073</v>
      </c>
      <c r="C701">
        <v>80</v>
      </c>
      <c r="D701">
        <v>79.960746764999996</v>
      </c>
      <c r="E701">
        <v>50</v>
      </c>
      <c r="F701">
        <v>33.955017089999998</v>
      </c>
      <c r="G701">
        <v>1336.2731934000001</v>
      </c>
      <c r="H701">
        <v>1334.7712402</v>
      </c>
      <c r="I701">
        <v>1325.8796387</v>
      </c>
      <c r="J701">
        <v>1324</v>
      </c>
      <c r="K701">
        <v>2400</v>
      </c>
      <c r="L701">
        <v>0</v>
      </c>
      <c r="M701">
        <v>0</v>
      </c>
      <c r="N701">
        <v>2400</v>
      </c>
    </row>
    <row r="702" spans="1:14" x14ac:dyDescent="0.25">
      <c r="A702">
        <v>110.55289500000001</v>
      </c>
      <c r="B702" s="1">
        <f>DATE(2010,8,19) + TIME(13,16,10)</f>
        <v>40409.552893518521</v>
      </c>
      <c r="C702">
        <v>80</v>
      </c>
      <c r="D702">
        <v>79.960762024000005</v>
      </c>
      <c r="E702">
        <v>50</v>
      </c>
      <c r="F702">
        <v>34.185546875</v>
      </c>
      <c r="G702">
        <v>1336.2723389</v>
      </c>
      <c r="H702">
        <v>1334.7707519999999</v>
      </c>
      <c r="I702">
        <v>1325.8824463000001</v>
      </c>
      <c r="J702">
        <v>1324.0056152</v>
      </c>
      <c r="K702">
        <v>2400</v>
      </c>
      <c r="L702">
        <v>0</v>
      </c>
      <c r="M702">
        <v>0</v>
      </c>
      <c r="N702">
        <v>2400</v>
      </c>
    </row>
    <row r="703" spans="1:14" x14ac:dyDescent="0.25">
      <c r="A703">
        <v>110.89077</v>
      </c>
      <c r="B703" s="1">
        <f>DATE(2010,8,19) + TIME(21,22,42)</f>
        <v>40409.890763888892</v>
      </c>
      <c r="C703">
        <v>80</v>
      </c>
      <c r="D703">
        <v>79.960777282999999</v>
      </c>
      <c r="E703">
        <v>50</v>
      </c>
      <c r="F703">
        <v>34.408889770999998</v>
      </c>
      <c r="G703">
        <v>1336.2716064000001</v>
      </c>
      <c r="H703">
        <v>1334.7703856999999</v>
      </c>
      <c r="I703">
        <v>1325.885376</v>
      </c>
      <c r="J703">
        <v>1324.0111084</v>
      </c>
      <c r="K703">
        <v>2400</v>
      </c>
      <c r="L703">
        <v>0</v>
      </c>
      <c r="M703">
        <v>0</v>
      </c>
      <c r="N703">
        <v>2400</v>
      </c>
    </row>
    <row r="704" spans="1:14" x14ac:dyDescent="0.25">
      <c r="A704">
        <v>111.228645</v>
      </c>
      <c r="B704" s="1">
        <f>DATE(2010,8,20) + TIME(5,29,14)</f>
        <v>40410.228634259256</v>
      </c>
      <c r="C704">
        <v>80</v>
      </c>
      <c r="D704">
        <v>79.960792541999993</v>
      </c>
      <c r="E704">
        <v>50</v>
      </c>
      <c r="F704">
        <v>34.626361846999998</v>
      </c>
      <c r="G704">
        <v>1336.270874</v>
      </c>
      <c r="H704">
        <v>1334.7698975000001</v>
      </c>
      <c r="I704">
        <v>1325.8884277</v>
      </c>
      <c r="J704">
        <v>1324.0164795000001</v>
      </c>
      <c r="K704">
        <v>2400</v>
      </c>
      <c r="L704">
        <v>0</v>
      </c>
      <c r="M704">
        <v>0</v>
      </c>
      <c r="N704">
        <v>2400</v>
      </c>
    </row>
    <row r="705" spans="1:14" x14ac:dyDescent="0.25">
      <c r="A705">
        <v>111.56652099999999</v>
      </c>
      <c r="B705" s="1">
        <f>DATE(2010,8,20) + TIME(13,35,47)</f>
        <v>40410.566516203704</v>
      </c>
      <c r="C705">
        <v>80</v>
      </c>
      <c r="D705">
        <v>79.960800171000002</v>
      </c>
      <c r="E705">
        <v>50</v>
      </c>
      <c r="F705">
        <v>34.838829040999997</v>
      </c>
      <c r="G705">
        <v>1336.2702637</v>
      </c>
      <c r="H705">
        <v>1334.7695312000001</v>
      </c>
      <c r="I705">
        <v>1325.8913574000001</v>
      </c>
      <c r="J705">
        <v>1324.0217285000001</v>
      </c>
      <c r="K705">
        <v>2400</v>
      </c>
      <c r="L705">
        <v>0</v>
      </c>
      <c r="M705">
        <v>0</v>
      </c>
      <c r="N705">
        <v>2400</v>
      </c>
    </row>
    <row r="706" spans="1:14" x14ac:dyDescent="0.25">
      <c r="A706">
        <v>112.242271</v>
      </c>
      <c r="B706" s="1">
        <f>DATE(2010,8,21) + TIME(5,48,52)</f>
        <v>40411.242268518516</v>
      </c>
      <c r="C706">
        <v>80</v>
      </c>
      <c r="D706">
        <v>79.960830688000001</v>
      </c>
      <c r="E706">
        <v>50</v>
      </c>
      <c r="F706">
        <v>35.140796661000003</v>
      </c>
      <c r="G706">
        <v>1336.2695312000001</v>
      </c>
      <c r="H706">
        <v>1334.7691649999999</v>
      </c>
      <c r="I706">
        <v>1325.8928223</v>
      </c>
      <c r="J706">
        <v>1324.0275879000001</v>
      </c>
      <c r="K706">
        <v>2400</v>
      </c>
      <c r="L706">
        <v>0</v>
      </c>
      <c r="M706">
        <v>0</v>
      </c>
      <c r="N706">
        <v>2400</v>
      </c>
    </row>
    <row r="707" spans="1:14" x14ac:dyDescent="0.25">
      <c r="A707">
        <v>112.91818000000001</v>
      </c>
      <c r="B707" s="1">
        <f>DATE(2010,8,21) + TIME(22,2,10)</f>
        <v>40411.918171296296</v>
      </c>
      <c r="C707">
        <v>80</v>
      </c>
      <c r="D707">
        <v>79.960861206000004</v>
      </c>
      <c r="E707">
        <v>50</v>
      </c>
      <c r="F707">
        <v>35.492744446000003</v>
      </c>
      <c r="G707">
        <v>1336.2680664</v>
      </c>
      <c r="H707">
        <v>1334.7683105000001</v>
      </c>
      <c r="I707">
        <v>1325.8991699000001</v>
      </c>
      <c r="J707">
        <v>1324.0367432</v>
      </c>
      <c r="K707">
        <v>2400</v>
      </c>
      <c r="L707">
        <v>0</v>
      </c>
      <c r="M707">
        <v>0</v>
      </c>
      <c r="N707">
        <v>2400</v>
      </c>
    </row>
    <row r="708" spans="1:14" x14ac:dyDescent="0.25">
      <c r="A708">
        <v>113.603126</v>
      </c>
      <c r="B708" s="1">
        <f>DATE(2010,8,22) + TIME(14,28,30)</f>
        <v>40412.603125000001</v>
      </c>
      <c r="C708">
        <v>80</v>
      </c>
      <c r="D708">
        <v>79.960891724000007</v>
      </c>
      <c r="E708">
        <v>50</v>
      </c>
      <c r="F708">
        <v>35.862552643000001</v>
      </c>
      <c r="G708">
        <v>1336.2666016000001</v>
      </c>
      <c r="H708">
        <v>1334.7675781</v>
      </c>
      <c r="I708">
        <v>1325.9052733999999</v>
      </c>
      <c r="J708">
        <v>1324.0462646000001</v>
      </c>
      <c r="K708">
        <v>2400</v>
      </c>
      <c r="L708">
        <v>0</v>
      </c>
      <c r="M708">
        <v>0</v>
      </c>
      <c r="N708">
        <v>2400</v>
      </c>
    </row>
    <row r="709" spans="1:14" x14ac:dyDescent="0.25">
      <c r="A709">
        <v>114.29915</v>
      </c>
      <c r="B709" s="1">
        <f>DATE(2010,8,23) + TIME(7,10,46)</f>
        <v>40413.299143518518</v>
      </c>
      <c r="C709">
        <v>80</v>
      </c>
      <c r="D709">
        <v>79.960914611999996</v>
      </c>
      <c r="E709">
        <v>50</v>
      </c>
      <c r="F709">
        <v>36.236427307</v>
      </c>
      <c r="G709">
        <v>1336.2652588000001</v>
      </c>
      <c r="H709">
        <v>1334.7667236</v>
      </c>
      <c r="I709">
        <v>1325.9113769999999</v>
      </c>
      <c r="J709">
        <v>1324.0560303</v>
      </c>
      <c r="K709">
        <v>2400</v>
      </c>
      <c r="L709">
        <v>0</v>
      </c>
      <c r="M709">
        <v>0</v>
      </c>
      <c r="N709">
        <v>2400</v>
      </c>
    </row>
    <row r="710" spans="1:14" x14ac:dyDescent="0.25">
      <c r="A710">
        <v>115.003579</v>
      </c>
      <c r="B710" s="1">
        <f>DATE(2010,8,24) + TIME(0,5,9)</f>
        <v>40414.003576388888</v>
      </c>
      <c r="C710">
        <v>80</v>
      </c>
      <c r="D710">
        <v>79.960945128999995</v>
      </c>
      <c r="E710">
        <v>50</v>
      </c>
      <c r="F710">
        <v>36.607616425000003</v>
      </c>
      <c r="G710">
        <v>1336.2637939000001</v>
      </c>
      <c r="H710">
        <v>1334.7659911999999</v>
      </c>
      <c r="I710">
        <v>1325.9176024999999</v>
      </c>
      <c r="J710">
        <v>1324.0660399999999</v>
      </c>
      <c r="K710">
        <v>2400</v>
      </c>
      <c r="L710">
        <v>0</v>
      </c>
      <c r="M710">
        <v>0</v>
      </c>
      <c r="N710">
        <v>2400</v>
      </c>
    </row>
    <row r="711" spans="1:14" x14ac:dyDescent="0.25">
      <c r="A711">
        <v>115.717472</v>
      </c>
      <c r="B711" s="1">
        <f>DATE(2010,8,24) + TIME(17,13,9)</f>
        <v>40414.717465277776</v>
      </c>
      <c r="C711">
        <v>80</v>
      </c>
      <c r="D711">
        <v>79.960975646999998</v>
      </c>
      <c r="E711">
        <v>50</v>
      </c>
      <c r="F711">
        <v>36.973346710000001</v>
      </c>
      <c r="G711">
        <v>1336.2624512</v>
      </c>
      <c r="H711">
        <v>1334.7651367000001</v>
      </c>
      <c r="I711">
        <v>1325.9239502</v>
      </c>
      <c r="J711">
        <v>1324.0760498</v>
      </c>
      <c r="K711">
        <v>2400</v>
      </c>
      <c r="L711">
        <v>0</v>
      </c>
      <c r="M711">
        <v>0</v>
      </c>
      <c r="N711">
        <v>2400</v>
      </c>
    </row>
    <row r="712" spans="1:14" x14ac:dyDescent="0.25">
      <c r="A712">
        <v>116.43712600000001</v>
      </c>
      <c r="B712" s="1">
        <f>DATE(2010,8,25) + TIME(10,29,27)</f>
        <v>40415.437118055554</v>
      </c>
      <c r="C712">
        <v>80</v>
      </c>
      <c r="D712">
        <v>79.961006165000001</v>
      </c>
      <c r="E712">
        <v>50</v>
      </c>
      <c r="F712">
        <v>37.332046509000001</v>
      </c>
      <c r="G712">
        <v>1336.2609863</v>
      </c>
      <c r="H712">
        <v>1334.7644043</v>
      </c>
      <c r="I712">
        <v>1325.9302978999999</v>
      </c>
      <c r="J712">
        <v>1324.0861815999999</v>
      </c>
      <c r="K712">
        <v>2400</v>
      </c>
      <c r="L712">
        <v>0</v>
      </c>
      <c r="M712">
        <v>0</v>
      </c>
      <c r="N712">
        <v>2400</v>
      </c>
    </row>
    <row r="713" spans="1:14" x14ac:dyDescent="0.25">
      <c r="A713">
        <v>117.164412</v>
      </c>
      <c r="B713" s="1">
        <f>DATE(2010,8,26) + TIME(3,56,45)</f>
        <v>40416.164409722223</v>
      </c>
      <c r="C713">
        <v>80</v>
      </c>
      <c r="D713">
        <v>79.961029053000004</v>
      </c>
      <c r="E713">
        <v>50</v>
      </c>
      <c r="F713">
        <v>37.683628081999998</v>
      </c>
      <c r="G713">
        <v>1336.2595214999999</v>
      </c>
      <c r="H713">
        <v>1334.7635498</v>
      </c>
      <c r="I713">
        <v>1325.9368896000001</v>
      </c>
      <c r="J713">
        <v>1324.0961914</v>
      </c>
      <c r="K713">
        <v>2400</v>
      </c>
      <c r="L713">
        <v>0</v>
      </c>
      <c r="M713">
        <v>0</v>
      </c>
      <c r="N713">
        <v>2400</v>
      </c>
    </row>
    <row r="714" spans="1:14" x14ac:dyDescent="0.25">
      <c r="A714">
        <v>117.528976</v>
      </c>
      <c r="B714" s="1">
        <f>DATE(2010,8,26) + TIME(12,41,43)</f>
        <v>40416.528969907406</v>
      </c>
      <c r="C714">
        <v>80</v>
      </c>
      <c r="D714">
        <v>79.961044311999999</v>
      </c>
      <c r="E714">
        <v>50</v>
      </c>
      <c r="F714">
        <v>37.925327301000003</v>
      </c>
      <c r="G714">
        <v>1336.2580565999999</v>
      </c>
      <c r="H714">
        <v>1334.7626952999999</v>
      </c>
      <c r="I714">
        <v>1325.9449463000001</v>
      </c>
      <c r="J714">
        <v>1324.1055908000001</v>
      </c>
      <c r="K714">
        <v>2400</v>
      </c>
      <c r="L714">
        <v>0</v>
      </c>
      <c r="M714">
        <v>0</v>
      </c>
      <c r="N714">
        <v>2400</v>
      </c>
    </row>
    <row r="715" spans="1:14" x14ac:dyDescent="0.25">
      <c r="A715">
        <v>117.892561</v>
      </c>
      <c r="B715" s="1">
        <f>DATE(2010,8,26) + TIME(21,25,17)</f>
        <v>40416.892557870371</v>
      </c>
      <c r="C715">
        <v>80</v>
      </c>
      <c r="D715">
        <v>79.961051940999994</v>
      </c>
      <c r="E715">
        <v>50</v>
      </c>
      <c r="F715">
        <v>38.135650634999998</v>
      </c>
      <c r="G715">
        <v>1336.2573242000001</v>
      </c>
      <c r="H715">
        <v>1334.7623291</v>
      </c>
      <c r="I715">
        <v>1325.9479980000001</v>
      </c>
      <c r="J715">
        <v>1324.1115723</v>
      </c>
      <c r="K715">
        <v>2400</v>
      </c>
      <c r="L715">
        <v>0</v>
      </c>
      <c r="M715">
        <v>0</v>
      </c>
      <c r="N715">
        <v>2400</v>
      </c>
    </row>
    <row r="716" spans="1:14" x14ac:dyDescent="0.25">
      <c r="A716">
        <v>118.255938</v>
      </c>
      <c r="B716" s="1">
        <f>DATE(2010,8,27) + TIME(6,8,33)</f>
        <v>40417.255937499998</v>
      </c>
      <c r="C716">
        <v>80</v>
      </c>
      <c r="D716">
        <v>79.961067200000002</v>
      </c>
      <c r="E716">
        <v>50</v>
      </c>
      <c r="F716">
        <v>38.326461792000003</v>
      </c>
      <c r="G716">
        <v>1336.2565918</v>
      </c>
      <c r="H716">
        <v>1334.7619629000001</v>
      </c>
      <c r="I716">
        <v>1325.9511719</v>
      </c>
      <c r="J716">
        <v>1324.1171875</v>
      </c>
      <c r="K716">
        <v>2400</v>
      </c>
      <c r="L716">
        <v>0</v>
      </c>
      <c r="M716">
        <v>0</v>
      </c>
      <c r="N716">
        <v>2400</v>
      </c>
    </row>
    <row r="717" spans="1:14" x14ac:dyDescent="0.25">
      <c r="A717">
        <v>118.619314</v>
      </c>
      <c r="B717" s="1">
        <f>DATE(2010,8,27) + TIME(14,51,48)</f>
        <v>40417.619305555556</v>
      </c>
      <c r="C717">
        <v>80</v>
      </c>
      <c r="D717">
        <v>79.961082458000007</v>
      </c>
      <c r="E717">
        <v>50</v>
      </c>
      <c r="F717">
        <v>38.504795074</v>
      </c>
      <c r="G717">
        <v>1336.2558594</v>
      </c>
      <c r="H717">
        <v>1334.7614745999999</v>
      </c>
      <c r="I717">
        <v>1325.9543457</v>
      </c>
      <c r="J717">
        <v>1324.1225586</v>
      </c>
      <c r="K717">
        <v>2400</v>
      </c>
      <c r="L717">
        <v>0</v>
      </c>
      <c r="M717">
        <v>0</v>
      </c>
      <c r="N717">
        <v>2400</v>
      </c>
    </row>
    <row r="718" spans="1:14" x14ac:dyDescent="0.25">
      <c r="A718">
        <v>118.98269000000001</v>
      </c>
      <c r="B718" s="1">
        <f>DATE(2010,8,27) + TIME(23,35,4)</f>
        <v>40417.982685185183</v>
      </c>
      <c r="C718">
        <v>80</v>
      </c>
      <c r="D718">
        <v>79.961090088000006</v>
      </c>
      <c r="E718">
        <v>50</v>
      </c>
      <c r="F718">
        <v>38.674850464000002</v>
      </c>
      <c r="G718">
        <v>1336.2551269999999</v>
      </c>
      <c r="H718">
        <v>1334.7611084</v>
      </c>
      <c r="I718">
        <v>1325.9576416</v>
      </c>
      <c r="J718">
        <v>1324.1278076000001</v>
      </c>
      <c r="K718">
        <v>2400</v>
      </c>
      <c r="L718">
        <v>0</v>
      </c>
      <c r="M718">
        <v>0</v>
      </c>
      <c r="N718">
        <v>2400</v>
      </c>
    </row>
    <row r="719" spans="1:14" x14ac:dyDescent="0.25">
      <c r="A719">
        <v>119.34606599999999</v>
      </c>
      <c r="B719" s="1">
        <f>DATE(2010,8,28) + TIME(8,18,20)</f>
        <v>40418.346064814818</v>
      </c>
      <c r="C719">
        <v>80</v>
      </c>
      <c r="D719">
        <v>79.961105347</v>
      </c>
      <c r="E719">
        <v>50</v>
      </c>
      <c r="F719">
        <v>38.839160919000001</v>
      </c>
      <c r="G719">
        <v>1336.2543945</v>
      </c>
      <c r="H719">
        <v>1334.7607422000001</v>
      </c>
      <c r="I719">
        <v>1325.9609375</v>
      </c>
      <c r="J719">
        <v>1324.1329346</v>
      </c>
      <c r="K719">
        <v>2400</v>
      </c>
      <c r="L719">
        <v>0</v>
      </c>
      <c r="M719">
        <v>0</v>
      </c>
      <c r="N719">
        <v>2400</v>
      </c>
    </row>
    <row r="720" spans="1:14" x14ac:dyDescent="0.25">
      <c r="A720">
        <v>119.709442</v>
      </c>
      <c r="B720" s="1">
        <f>DATE(2010,8,28) + TIME(17,1,35)</f>
        <v>40418.709432870368</v>
      </c>
      <c r="C720">
        <v>80</v>
      </c>
      <c r="D720">
        <v>79.961120605000005</v>
      </c>
      <c r="E720">
        <v>50</v>
      </c>
      <c r="F720">
        <v>38.999271393000001</v>
      </c>
      <c r="G720">
        <v>1336.2536620999999</v>
      </c>
      <c r="H720">
        <v>1334.760376</v>
      </c>
      <c r="I720">
        <v>1325.9642334</v>
      </c>
      <c r="J720">
        <v>1324.1379394999999</v>
      </c>
      <c r="K720">
        <v>2400</v>
      </c>
      <c r="L720">
        <v>0</v>
      </c>
      <c r="M720">
        <v>0</v>
      </c>
      <c r="N720">
        <v>2400</v>
      </c>
    </row>
    <row r="721" spans="1:14" x14ac:dyDescent="0.25">
      <c r="A721">
        <v>120.072818</v>
      </c>
      <c r="B721" s="1">
        <f>DATE(2010,8,29) + TIME(1,44,51)</f>
        <v>40419.072812500002</v>
      </c>
      <c r="C721">
        <v>80</v>
      </c>
      <c r="D721">
        <v>79.961135863999999</v>
      </c>
      <c r="E721">
        <v>50</v>
      </c>
      <c r="F721">
        <v>39.156127929999997</v>
      </c>
      <c r="G721">
        <v>1336.2530518000001</v>
      </c>
      <c r="H721">
        <v>1334.7600098</v>
      </c>
      <c r="I721">
        <v>1325.9675293</v>
      </c>
      <c r="J721">
        <v>1324.1429443</v>
      </c>
      <c r="K721">
        <v>2400</v>
      </c>
      <c r="L721">
        <v>0</v>
      </c>
      <c r="M721">
        <v>0</v>
      </c>
      <c r="N721">
        <v>2400</v>
      </c>
    </row>
    <row r="722" spans="1:14" x14ac:dyDescent="0.25">
      <c r="A722">
        <v>120.799571</v>
      </c>
      <c r="B722" s="1">
        <f>DATE(2010,8,29) + TIME(19,11,22)</f>
        <v>40419.799560185187</v>
      </c>
      <c r="C722">
        <v>80</v>
      </c>
      <c r="D722">
        <v>79.961166382000002</v>
      </c>
      <c r="E722">
        <v>50</v>
      </c>
      <c r="F722">
        <v>39.374935149999999</v>
      </c>
      <c r="G722">
        <v>1336.2523193</v>
      </c>
      <c r="H722">
        <v>1334.7596435999999</v>
      </c>
      <c r="I722">
        <v>1325.9699707</v>
      </c>
      <c r="J722">
        <v>1324.1485596</v>
      </c>
      <c r="K722">
        <v>2400</v>
      </c>
      <c r="L722">
        <v>0</v>
      </c>
      <c r="M722">
        <v>0</v>
      </c>
      <c r="N722">
        <v>2400</v>
      </c>
    </row>
    <row r="723" spans="1:14" x14ac:dyDescent="0.25">
      <c r="A723">
        <v>121.527244</v>
      </c>
      <c r="B723" s="1">
        <f>DATE(2010,8,30) + TIME(12,39,13)</f>
        <v>40420.527233796296</v>
      </c>
      <c r="C723">
        <v>80</v>
      </c>
      <c r="D723">
        <v>79.961196899000001</v>
      </c>
      <c r="E723">
        <v>50</v>
      </c>
      <c r="F723">
        <v>39.638809203999998</v>
      </c>
      <c r="G723">
        <v>1336.2509766000001</v>
      </c>
      <c r="H723">
        <v>1334.7589111</v>
      </c>
      <c r="I723">
        <v>1325.9766846</v>
      </c>
      <c r="J723">
        <v>1324.1572266000001</v>
      </c>
      <c r="K723">
        <v>2400</v>
      </c>
      <c r="L723">
        <v>0</v>
      </c>
      <c r="M723">
        <v>0</v>
      </c>
      <c r="N723">
        <v>2400</v>
      </c>
    </row>
    <row r="724" spans="1:14" x14ac:dyDescent="0.25">
      <c r="A724">
        <v>122.26465399999999</v>
      </c>
      <c r="B724" s="1">
        <f>DATE(2010,8,31) + TIME(6,21,6)</f>
        <v>40421.264652777776</v>
      </c>
      <c r="C724">
        <v>80</v>
      </c>
      <c r="D724">
        <v>79.961227417000003</v>
      </c>
      <c r="E724">
        <v>50</v>
      </c>
      <c r="F724">
        <v>39.919479369999998</v>
      </c>
      <c r="G724">
        <v>1336.2496338000001</v>
      </c>
      <c r="H724">
        <v>1334.7581786999999</v>
      </c>
      <c r="I724">
        <v>1325.9833983999999</v>
      </c>
      <c r="J724">
        <v>1324.1665039</v>
      </c>
      <c r="K724">
        <v>2400</v>
      </c>
      <c r="L724">
        <v>0</v>
      </c>
      <c r="M724">
        <v>0</v>
      </c>
      <c r="N724">
        <v>2400</v>
      </c>
    </row>
    <row r="725" spans="1:14" x14ac:dyDescent="0.25">
      <c r="A725">
        <v>123</v>
      </c>
      <c r="B725" s="1">
        <f>DATE(2010,9,1) + TIME(0,0,0)</f>
        <v>40422</v>
      </c>
      <c r="C725">
        <v>80</v>
      </c>
      <c r="D725">
        <v>79.961257935000006</v>
      </c>
      <c r="E725">
        <v>50</v>
      </c>
      <c r="F725">
        <v>40.203994751000003</v>
      </c>
      <c r="G725">
        <v>1336.2482910000001</v>
      </c>
      <c r="H725">
        <v>1334.7574463000001</v>
      </c>
      <c r="I725">
        <v>1325.9902344</v>
      </c>
      <c r="J725">
        <v>1324.1761475000001</v>
      </c>
      <c r="K725">
        <v>2400</v>
      </c>
      <c r="L725">
        <v>0</v>
      </c>
      <c r="M725">
        <v>0</v>
      </c>
      <c r="N725">
        <v>2400</v>
      </c>
    </row>
    <row r="726" spans="1:14" x14ac:dyDescent="0.25">
      <c r="A726">
        <v>123.749562</v>
      </c>
      <c r="B726" s="1">
        <f>DATE(2010,9,1) + TIME(17,59,22)</f>
        <v>40422.749560185184</v>
      </c>
      <c r="C726">
        <v>80</v>
      </c>
      <c r="D726">
        <v>79.961288452000005</v>
      </c>
      <c r="E726">
        <v>50</v>
      </c>
      <c r="F726">
        <v>40.488632201999998</v>
      </c>
      <c r="G726">
        <v>1336.2469481999999</v>
      </c>
      <c r="H726">
        <v>1334.7567139</v>
      </c>
      <c r="I726">
        <v>1325.9969481999999</v>
      </c>
      <c r="J726">
        <v>1324.1859131000001</v>
      </c>
      <c r="K726">
        <v>2400</v>
      </c>
      <c r="L726">
        <v>0</v>
      </c>
      <c r="M726">
        <v>0</v>
      </c>
      <c r="N726">
        <v>2400</v>
      </c>
    </row>
    <row r="727" spans="1:14" x14ac:dyDescent="0.25">
      <c r="A727">
        <v>124.51600500000001</v>
      </c>
      <c r="B727" s="1">
        <f>DATE(2010,9,2) + TIME(12,23,2)</f>
        <v>40423.51599537037</v>
      </c>
      <c r="C727">
        <v>80</v>
      </c>
      <c r="D727">
        <v>79.961318969999994</v>
      </c>
      <c r="E727">
        <v>50</v>
      </c>
      <c r="F727">
        <v>40.773273467999999</v>
      </c>
      <c r="G727">
        <v>1336.2456055</v>
      </c>
      <c r="H727">
        <v>1334.7561035000001</v>
      </c>
      <c r="I727">
        <v>1326.0037841999999</v>
      </c>
      <c r="J727">
        <v>1324.1959228999999</v>
      </c>
      <c r="K727">
        <v>2400</v>
      </c>
      <c r="L727">
        <v>0</v>
      </c>
      <c r="M727">
        <v>0</v>
      </c>
      <c r="N727">
        <v>2400</v>
      </c>
    </row>
    <row r="728" spans="1:14" x14ac:dyDescent="0.25">
      <c r="A728">
        <v>125.29293199999999</v>
      </c>
      <c r="B728" s="1">
        <f>DATE(2010,9,3) + TIME(7,1,49)</f>
        <v>40424.292928240742</v>
      </c>
      <c r="C728">
        <v>80</v>
      </c>
      <c r="D728">
        <v>79.961349487000007</v>
      </c>
      <c r="E728">
        <v>50</v>
      </c>
      <c r="F728">
        <v>41.056957245</v>
      </c>
      <c r="G728">
        <v>1336.2442627</v>
      </c>
      <c r="H728">
        <v>1334.7553711</v>
      </c>
      <c r="I728">
        <v>1326.0108643000001</v>
      </c>
      <c r="J728">
        <v>1324.2061768000001</v>
      </c>
      <c r="K728">
        <v>2400</v>
      </c>
      <c r="L728">
        <v>0</v>
      </c>
      <c r="M728">
        <v>0</v>
      </c>
      <c r="N728">
        <v>2400</v>
      </c>
    </row>
    <row r="729" spans="1:14" x14ac:dyDescent="0.25">
      <c r="A729">
        <v>125.684927</v>
      </c>
      <c r="B729" s="1">
        <f>DATE(2010,9,3) + TIME(16,26,17)</f>
        <v>40424.684918981482</v>
      </c>
      <c r="C729">
        <v>80</v>
      </c>
      <c r="D729">
        <v>79.961357117000006</v>
      </c>
      <c r="E729">
        <v>50</v>
      </c>
      <c r="F729">
        <v>41.258678435999997</v>
      </c>
      <c r="G729">
        <v>1336.2429199000001</v>
      </c>
      <c r="H729">
        <v>1334.7546387</v>
      </c>
      <c r="I729">
        <v>1326.0191649999999</v>
      </c>
      <c r="J729">
        <v>1324.2156981999999</v>
      </c>
      <c r="K729">
        <v>2400</v>
      </c>
      <c r="L729">
        <v>0</v>
      </c>
      <c r="M729">
        <v>0</v>
      </c>
      <c r="N729">
        <v>2400</v>
      </c>
    </row>
    <row r="730" spans="1:14" x14ac:dyDescent="0.25">
      <c r="A730">
        <v>126.076922</v>
      </c>
      <c r="B730" s="1">
        <f>DATE(2010,9,4) + TIME(1,50,46)</f>
        <v>40425.076921296299</v>
      </c>
      <c r="C730">
        <v>80</v>
      </c>
      <c r="D730">
        <v>79.961372374999996</v>
      </c>
      <c r="E730">
        <v>50</v>
      </c>
      <c r="F730">
        <v>41.432712555000002</v>
      </c>
      <c r="G730">
        <v>1336.2423096</v>
      </c>
      <c r="H730">
        <v>1334.7542725000001</v>
      </c>
      <c r="I730">
        <v>1326.0227050999999</v>
      </c>
      <c r="J730">
        <v>1324.2219238</v>
      </c>
      <c r="K730">
        <v>2400</v>
      </c>
      <c r="L730">
        <v>0</v>
      </c>
      <c r="M730">
        <v>0</v>
      </c>
      <c r="N730">
        <v>2400</v>
      </c>
    </row>
    <row r="731" spans="1:14" x14ac:dyDescent="0.25">
      <c r="A731">
        <v>126.46880299999999</v>
      </c>
      <c r="B731" s="1">
        <f>DATE(2010,9,4) + TIME(11,15,4)</f>
        <v>40425.4687962963</v>
      </c>
      <c r="C731">
        <v>80</v>
      </c>
      <c r="D731">
        <v>79.961387634000005</v>
      </c>
      <c r="E731">
        <v>50</v>
      </c>
      <c r="F731">
        <v>41.590373993</v>
      </c>
      <c r="G731">
        <v>1336.2415771000001</v>
      </c>
      <c r="H731">
        <v>1334.7540283000001</v>
      </c>
      <c r="I731">
        <v>1326.0263672000001</v>
      </c>
      <c r="J731">
        <v>1324.2279053</v>
      </c>
      <c r="K731">
        <v>2400</v>
      </c>
      <c r="L731">
        <v>0</v>
      </c>
      <c r="M731">
        <v>0</v>
      </c>
      <c r="N731">
        <v>2400</v>
      </c>
    </row>
    <row r="732" spans="1:14" x14ac:dyDescent="0.25">
      <c r="A732">
        <v>126.86036300000001</v>
      </c>
      <c r="B732" s="1">
        <f>DATE(2010,9,4) + TIME(20,38,55)</f>
        <v>40425.860358796293</v>
      </c>
      <c r="C732">
        <v>80</v>
      </c>
      <c r="D732">
        <v>79.961402892999999</v>
      </c>
      <c r="E732">
        <v>50</v>
      </c>
      <c r="F732">
        <v>41.738002776999998</v>
      </c>
      <c r="G732">
        <v>1336.2409668</v>
      </c>
      <c r="H732">
        <v>1334.7536620999999</v>
      </c>
      <c r="I732">
        <v>1326.0300293</v>
      </c>
      <c r="J732">
        <v>1324.2335204999999</v>
      </c>
      <c r="K732">
        <v>2400</v>
      </c>
      <c r="L732">
        <v>0</v>
      </c>
      <c r="M732">
        <v>0</v>
      </c>
      <c r="N732">
        <v>2400</v>
      </c>
    </row>
    <row r="733" spans="1:14" x14ac:dyDescent="0.25">
      <c r="A733">
        <v>127.25181600000001</v>
      </c>
      <c r="B733" s="1">
        <f>DATE(2010,9,5) + TIME(6,2,36)</f>
        <v>40426.251805555556</v>
      </c>
      <c r="C733">
        <v>80</v>
      </c>
      <c r="D733">
        <v>79.961418151999993</v>
      </c>
      <c r="E733">
        <v>50</v>
      </c>
      <c r="F733">
        <v>41.879302979000002</v>
      </c>
      <c r="G733">
        <v>1336.2403564000001</v>
      </c>
      <c r="H733">
        <v>1334.7532959</v>
      </c>
      <c r="I733">
        <v>1326.0336914</v>
      </c>
      <c r="J733">
        <v>1324.2390137</v>
      </c>
      <c r="K733">
        <v>2400</v>
      </c>
      <c r="L733">
        <v>0</v>
      </c>
      <c r="M733">
        <v>0</v>
      </c>
      <c r="N733">
        <v>2400</v>
      </c>
    </row>
    <row r="734" spans="1:14" x14ac:dyDescent="0.25">
      <c r="A734">
        <v>127.64312</v>
      </c>
      <c r="B734" s="1">
        <f>DATE(2010,9,5) + TIME(15,26,5)</f>
        <v>40426.643113425926</v>
      </c>
      <c r="C734">
        <v>80</v>
      </c>
      <c r="D734">
        <v>79.961433411000002</v>
      </c>
      <c r="E734">
        <v>50</v>
      </c>
      <c r="F734">
        <v>42.016380310000002</v>
      </c>
      <c r="G734">
        <v>1336.239624</v>
      </c>
      <c r="H734">
        <v>1334.7529297000001</v>
      </c>
      <c r="I734">
        <v>1326.0373535000001</v>
      </c>
      <c r="J734">
        <v>1324.2443848</v>
      </c>
      <c r="K734">
        <v>2400</v>
      </c>
      <c r="L734">
        <v>0</v>
      </c>
      <c r="M734">
        <v>0</v>
      </c>
      <c r="N734">
        <v>2400</v>
      </c>
    </row>
    <row r="735" spans="1:14" x14ac:dyDescent="0.25">
      <c r="A735">
        <v>128.034424</v>
      </c>
      <c r="B735" s="1">
        <f>DATE(2010,9,6) + TIME(0,49,34)</f>
        <v>40427.034421296295</v>
      </c>
      <c r="C735">
        <v>80</v>
      </c>
      <c r="D735">
        <v>79.961448669000006</v>
      </c>
      <c r="E735">
        <v>50</v>
      </c>
      <c r="F735">
        <v>42.150501251000001</v>
      </c>
      <c r="G735">
        <v>1336.2390137</v>
      </c>
      <c r="H735">
        <v>1334.7526855000001</v>
      </c>
      <c r="I735">
        <v>1326.0410156</v>
      </c>
      <c r="J735">
        <v>1324.2497559000001</v>
      </c>
      <c r="K735">
        <v>2400</v>
      </c>
      <c r="L735">
        <v>0</v>
      </c>
      <c r="M735">
        <v>0</v>
      </c>
      <c r="N735">
        <v>2400</v>
      </c>
    </row>
    <row r="736" spans="1:14" x14ac:dyDescent="0.25">
      <c r="A736">
        <v>128.42572799999999</v>
      </c>
      <c r="B736" s="1">
        <f>DATE(2010,9,6) + TIME(10,13,2)</f>
        <v>40427.425717592596</v>
      </c>
      <c r="C736">
        <v>80</v>
      </c>
      <c r="D736">
        <v>79.961463928000001</v>
      </c>
      <c r="E736">
        <v>50</v>
      </c>
      <c r="F736">
        <v>42.282402038999997</v>
      </c>
      <c r="G736">
        <v>1336.2384033000001</v>
      </c>
      <c r="H736">
        <v>1334.7523193</v>
      </c>
      <c r="I736">
        <v>1326.0446777</v>
      </c>
      <c r="J736">
        <v>1324.2550048999999</v>
      </c>
      <c r="K736">
        <v>2400</v>
      </c>
      <c r="L736">
        <v>0</v>
      </c>
      <c r="M736">
        <v>0</v>
      </c>
      <c r="N736">
        <v>2400</v>
      </c>
    </row>
    <row r="737" spans="1:14" x14ac:dyDescent="0.25">
      <c r="A737">
        <v>128.81703099999999</v>
      </c>
      <c r="B737" s="1">
        <f>DATE(2010,9,6) + TIME(19,36,31)</f>
        <v>40427.817025462966</v>
      </c>
      <c r="C737">
        <v>80</v>
      </c>
      <c r="D737">
        <v>79.961479186999995</v>
      </c>
      <c r="E737">
        <v>50</v>
      </c>
      <c r="F737">
        <v>42.412532806000002</v>
      </c>
      <c r="G737">
        <v>1336.237793</v>
      </c>
      <c r="H737">
        <v>1334.7520752</v>
      </c>
      <c r="I737">
        <v>1326.0483397999999</v>
      </c>
      <c r="J737">
        <v>1324.260376</v>
      </c>
      <c r="K737">
        <v>2400</v>
      </c>
      <c r="L737">
        <v>0</v>
      </c>
      <c r="M737">
        <v>0</v>
      </c>
      <c r="N737">
        <v>2400</v>
      </c>
    </row>
    <row r="738" spans="1:14" x14ac:dyDescent="0.25">
      <c r="A738">
        <v>129.599639</v>
      </c>
      <c r="B738" s="1">
        <f>DATE(2010,9,7) + TIME(14,23,28)</f>
        <v>40428.599629629629</v>
      </c>
      <c r="C738">
        <v>80</v>
      </c>
      <c r="D738">
        <v>79.961517334000007</v>
      </c>
      <c r="E738">
        <v>50</v>
      </c>
      <c r="F738">
        <v>42.591705322000003</v>
      </c>
      <c r="G738">
        <v>1336.2371826000001</v>
      </c>
      <c r="H738">
        <v>1334.7517089999999</v>
      </c>
      <c r="I738">
        <v>1326.0513916</v>
      </c>
      <c r="J738">
        <v>1324.2662353999999</v>
      </c>
      <c r="K738">
        <v>2400</v>
      </c>
      <c r="L738">
        <v>0</v>
      </c>
      <c r="M738">
        <v>0</v>
      </c>
      <c r="N738">
        <v>2400</v>
      </c>
    </row>
    <row r="739" spans="1:14" x14ac:dyDescent="0.25">
      <c r="A739">
        <v>130.383456</v>
      </c>
      <c r="B739" s="1">
        <f>DATE(2010,9,8) + TIME(9,12,10)</f>
        <v>40429.383449074077</v>
      </c>
      <c r="C739">
        <v>80</v>
      </c>
      <c r="D739">
        <v>79.961547851999995</v>
      </c>
      <c r="E739">
        <v>50</v>
      </c>
      <c r="F739">
        <v>42.814311981000003</v>
      </c>
      <c r="G739">
        <v>1336.2359618999999</v>
      </c>
      <c r="H739">
        <v>1334.7510986</v>
      </c>
      <c r="I739">
        <v>1326.0584716999999</v>
      </c>
      <c r="J739">
        <v>1324.2752685999999</v>
      </c>
      <c r="K739">
        <v>2400</v>
      </c>
      <c r="L739">
        <v>0</v>
      </c>
      <c r="M739">
        <v>0</v>
      </c>
      <c r="N739">
        <v>2400</v>
      </c>
    </row>
    <row r="740" spans="1:14" x14ac:dyDescent="0.25">
      <c r="A740">
        <v>131.178223</v>
      </c>
      <c r="B740" s="1">
        <f>DATE(2010,9,9) + TIME(4,16,38)</f>
        <v>40430.178217592591</v>
      </c>
      <c r="C740">
        <v>80</v>
      </c>
      <c r="D740">
        <v>79.961585998999993</v>
      </c>
      <c r="E740">
        <v>50</v>
      </c>
      <c r="F740">
        <v>43.052822112999998</v>
      </c>
      <c r="G740">
        <v>1336.2347411999999</v>
      </c>
      <c r="H740">
        <v>1334.7504882999999</v>
      </c>
      <c r="I740">
        <v>1326.0656738</v>
      </c>
      <c r="J740">
        <v>1324.2851562000001</v>
      </c>
      <c r="K740">
        <v>2400</v>
      </c>
      <c r="L740">
        <v>0</v>
      </c>
      <c r="M740">
        <v>0</v>
      </c>
      <c r="N740">
        <v>2400</v>
      </c>
    </row>
    <row r="741" spans="1:14" x14ac:dyDescent="0.25">
      <c r="A741">
        <v>131.98494099999999</v>
      </c>
      <c r="B741" s="1">
        <f>DATE(2010,9,9) + TIME(23,38,18)</f>
        <v>40430.984930555554</v>
      </c>
      <c r="C741">
        <v>80</v>
      </c>
      <c r="D741">
        <v>79.961616516000007</v>
      </c>
      <c r="E741">
        <v>50</v>
      </c>
      <c r="F741">
        <v>43.297466278000002</v>
      </c>
      <c r="G741">
        <v>1336.2333983999999</v>
      </c>
      <c r="H741">
        <v>1334.7498779</v>
      </c>
      <c r="I741">
        <v>1326.0731201000001</v>
      </c>
      <c r="J741">
        <v>1324.2955322</v>
      </c>
      <c r="K741">
        <v>2400</v>
      </c>
      <c r="L741">
        <v>0</v>
      </c>
      <c r="M741">
        <v>0</v>
      </c>
      <c r="N741">
        <v>2400</v>
      </c>
    </row>
    <row r="742" spans="1:14" x14ac:dyDescent="0.25">
      <c r="A742">
        <v>132.80088900000001</v>
      </c>
      <c r="B742" s="1">
        <f>DATE(2010,9,10) + TIME(19,13,16)</f>
        <v>40431.800879629627</v>
      </c>
      <c r="C742">
        <v>80</v>
      </c>
      <c r="D742">
        <v>79.961647033999995</v>
      </c>
      <c r="E742">
        <v>50</v>
      </c>
      <c r="F742">
        <v>43.544162749999998</v>
      </c>
      <c r="G742">
        <v>1336.2321777</v>
      </c>
      <c r="H742">
        <v>1334.7492675999999</v>
      </c>
      <c r="I742">
        <v>1326.0805664</v>
      </c>
      <c r="J742">
        <v>1324.3061522999999</v>
      </c>
      <c r="K742">
        <v>2400</v>
      </c>
      <c r="L742">
        <v>0</v>
      </c>
      <c r="M742">
        <v>0</v>
      </c>
      <c r="N742">
        <v>2400</v>
      </c>
    </row>
    <row r="743" spans="1:14" x14ac:dyDescent="0.25">
      <c r="A743">
        <v>133.62574900000001</v>
      </c>
      <c r="B743" s="1">
        <f>DATE(2010,9,11) + TIME(15,1,4)</f>
        <v>40432.625740740739</v>
      </c>
      <c r="C743">
        <v>80</v>
      </c>
      <c r="D743">
        <v>79.961685181000007</v>
      </c>
      <c r="E743">
        <v>50</v>
      </c>
      <c r="F743">
        <v>43.790924072000003</v>
      </c>
      <c r="G743">
        <v>1336.230957</v>
      </c>
      <c r="H743">
        <v>1334.7486572</v>
      </c>
      <c r="I743">
        <v>1326.0882568</v>
      </c>
      <c r="J743">
        <v>1324.3170166</v>
      </c>
      <c r="K743">
        <v>2400</v>
      </c>
      <c r="L743">
        <v>0</v>
      </c>
      <c r="M743">
        <v>0</v>
      </c>
      <c r="N743">
        <v>2400</v>
      </c>
    </row>
    <row r="744" spans="1:14" x14ac:dyDescent="0.25">
      <c r="A744">
        <v>134.45803699999999</v>
      </c>
      <c r="B744" s="1">
        <f>DATE(2010,9,12) + TIME(10,59,34)</f>
        <v>40433.458032407405</v>
      </c>
      <c r="C744">
        <v>80</v>
      </c>
      <c r="D744">
        <v>79.961715698000006</v>
      </c>
      <c r="E744">
        <v>50</v>
      </c>
      <c r="F744">
        <v>44.036670684999997</v>
      </c>
      <c r="G744">
        <v>1336.2297363</v>
      </c>
      <c r="H744">
        <v>1334.7480469</v>
      </c>
      <c r="I744">
        <v>1326.0959473</v>
      </c>
      <c r="J744">
        <v>1324.3278809000001</v>
      </c>
      <c r="K744">
        <v>2400</v>
      </c>
      <c r="L744">
        <v>0</v>
      </c>
      <c r="M744">
        <v>0</v>
      </c>
      <c r="N744">
        <v>2400</v>
      </c>
    </row>
    <row r="745" spans="1:14" x14ac:dyDescent="0.25">
      <c r="A745">
        <v>135.300836</v>
      </c>
      <c r="B745" s="1">
        <f>DATE(2010,9,13) + TIME(7,13,12)</f>
        <v>40434.300833333335</v>
      </c>
      <c r="C745">
        <v>80</v>
      </c>
      <c r="D745">
        <v>79.961746215999995</v>
      </c>
      <c r="E745">
        <v>50</v>
      </c>
      <c r="F745">
        <v>44.281166077000002</v>
      </c>
      <c r="G745">
        <v>1336.2285156</v>
      </c>
      <c r="H745">
        <v>1334.7474365</v>
      </c>
      <c r="I745">
        <v>1326.1036377</v>
      </c>
      <c r="J745">
        <v>1324.3389893000001</v>
      </c>
      <c r="K745">
        <v>2400</v>
      </c>
      <c r="L745">
        <v>0</v>
      </c>
      <c r="M745">
        <v>0</v>
      </c>
      <c r="N745">
        <v>2400</v>
      </c>
    </row>
    <row r="746" spans="1:14" x14ac:dyDescent="0.25">
      <c r="A746">
        <v>135.72308000000001</v>
      </c>
      <c r="B746" s="1">
        <f>DATE(2010,9,13) + TIME(17,21,14)</f>
        <v>40434.723078703704</v>
      </c>
      <c r="C746">
        <v>80</v>
      </c>
      <c r="D746">
        <v>79.961761475000003</v>
      </c>
      <c r="E746">
        <v>50</v>
      </c>
      <c r="F746">
        <v>44.458141327</v>
      </c>
      <c r="G746">
        <v>1336.2272949000001</v>
      </c>
      <c r="H746">
        <v>1334.7468262</v>
      </c>
      <c r="I746">
        <v>1326.1123047000001</v>
      </c>
      <c r="J746">
        <v>1324.3493652</v>
      </c>
      <c r="K746">
        <v>2400</v>
      </c>
      <c r="L746">
        <v>0</v>
      </c>
      <c r="M746">
        <v>0</v>
      </c>
      <c r="N746">
        <v>2400</v>
      </c>
    </row>
    <row r="747" spans="1:14" x14ac:dyDescent="0.25">
      <c r="A747">
        <v>136.145173</v>
      </c>
      <c r="B747" s="1">
        <f>DATE(2010,9,14) + TIME(3,29,2)</f>
        <v>40435.145162037035</v>
      </c>
      <c r="C747">
        <v>80</v>
      </c>
      <c r="D747">
        <v>79.961776732999994</v>
      </c>
      <c r="E747">
        <v>50</v>
      </c>
      <c r="F747">
        <v>44.608531952</v>
      </c>
      <c r="G747">
        <v>1336.2266846</v>
      </c>
      <c r="H747">
        <v>1334.746582</v>
      </c>
      <c r="I747">
        <v>1326.1163329999999</v>
      </c>
      <c r="J747">
        <v>1324.3562012</v>
      </c>
      <c r="K747">
        <v>2400</v>
      </c>
      <c r="L747">
        <v>0</v>
      </c>
      <c r="M747">
        <v>0</v>
      </c>
      <c r="N747">
        <v>2400</v>
      </c>
    </row>
    <row r="748" spans="1:14" x14ac:dyDescent="0.25">
      <c r="A748">
        <v>136.56724199999999</v>
      </c>
      <c r="B748" s="1">
        <f>DATE(2010,9,14) + TIME(13,36,49)</f>
        <v>40435.567233796297</v>
      </c>
      <c r="C748">
        <v>80</v>
      </c>
      <c r="D748">
        <v>79.961791992000002</v>
      </c>
      <c r="E748">
        <v>50</v>
      </c>
      <c r="F748">
        <v>44.744163512999997</v>
      </c>
      <c r="G748">
        <v>1336.2261963000001</v>
      </c>
      <c r="H748">
        <v>1334.7462158000001</v>
      </c>
      <c r="I748">
        <v>1326.1203613</v>
      </c>
      <c r="J748">
        <v>1324.3625488</v>
      </c>
      <c r="K748">
        <v>2400</v>
      </c>
      <c r="L748">
        <v>0</v>
      </c>
      <c r="M748">
        <v>0</v>
      </c>
      <c r="N748">
        <v>2400</v>
      </c>
    </row>
    <row r="749" spans="1:14" x14ac:dyDescent="0.25">
      <c r="A749">
        <v>136.98931099999999</v>
      </c>
      <c r="B749" s="1">
        <f>DATE(2010,9,14) + TIME(23,44,36)</f>
        <v>40435.989305555559</v>
      </c>
      <c r="C749">
        <v>80</v>
      </c>
      <c r="D749">
        <v>79.961807250999996</v>
      </c>
      <c r="E749">
        <v>50</v>
      </c>
      <c r="F749">
        <v>44.871379851999997</v>
      </c>
      <c r="G749">
        <v>1336.2255858999999</v>
      </c>
      <c r="H749">
        <v>1334.7459716999999</v>
      </c>
      <c r="I749">
        <v>1326.1243896000001</v>
      </c>
      <c r="J749">
        <v>1324.3685303</v>
      </c>
      <c r="K749">
        <v>2400</v>
      </c>
      <c r="L749">
        <v>0</v>
      </c>
      <c r="M749">
        <v>0</v>
      </c>
      <c r="N749">
        <v>2400</v>
      </c>
    </row>
    <row r="750" spans="1:14" x14ac:dyDescent="0.25">
      <c r="A750">
        <v>137.41138000000001</v>
      </c>
      <c r="B750" s="1">
        <f>DATE(2010,9,15) + TIME(9,52,23)</f>
        <v>40436.411377314813</v>
      </c>
      <c r="C750">
        <v>80</v>
      </c>
      <c r="D750">
        <v>79.961830139</v>
      </c>
      <c r="E750">
        <v>50</v>
      </c>
      <c r="F750">
        <v>44.993606567</v>
      </c>
      <c r="G750">
        <v>1336.2249756000001</v>
      </c>
      <c r="H750">
        <v>1334.7457274999999</v>
      </c>
      <c r="I750">
        <v>1326.1282959</v>
      </c>
      <c r="J750">
        <v>1324.3743896000001</v>
      </c>
      <c r="K750">
        <v>2400</v>
      </c>
      <c r="L750">
        <v>0</v>
      </c>
      <c r="M750">
        <v>0</v>
      </c>
      <c r="N750">
        <v>2400</v>
      </c>
    </row>
    <row r="751" spans="1:14" x14ac:dyDescent="0.25">
      <c r="A751">
        <v>137.833448</v>
      </c>
      <c r="B751" s="1">
        <f>DATE(2010,9,15) + TIME(20,0,9)</f>
        <v>40436.833437499998</v>
      </c>
      <c r="C751">
        <v>80</v>
      </c>
      <c r="D751">
        <v>79.961845397999994</v>
      </c>
      <c r="E751">
        <v>50</v>
      </c>
      <c r="F751">
        <v>45.112693786999998</v>
      </c>
      <c r="G751">
        <v>1336.2243652</v>
      </c>
      <c r="H751">
        <v>1334.7454834</v>
      </c>
      <c r="I751">
        <v>1326.1323242000001</v>
      </c>
      <c r="J751">
        <v>1324.3801269999999</v>
      </c>
      <c r="K751">
        <v>2400</v>
      </c>
      <c r="L751">
        <v>0</v>
      </c>
      <c r="M751">
        <v>0</v>
      </c>
      <c r="N751">
        <v>2400</v>
      </c>
    </row>
    <row r="752" spans="1:14" x14ac:dyDescent="0.25">
      <c r="A752">
        <v>138.255517</v>
      </c>
      <c r="B752" s="1">
        <f>DATE(2010,9,16) + TIME(6,7,56)</f>
        <v>40437.255509259259</v>
      </c>
      <c r="C752">
        <v>80</v>
      </c>
      <c r="D752">
        <v>79.961860657000003</v>
      </c>
      <c r="E752">
        <v>50</v>
      </c>
      <c r="F752">
        <v>45.229644774999997</v>
      </c>
      <c r="G752">
        <v>1336.2238769999999</v>
      </c>
      <c r="H752">
        <v>1334.7451172000001</v>
      </c>
      <c r="I752">
        <v>1326.1362305</v>
      </c>
      <c r="J752">
        <v>1324.3857422000001</v>
      </c>
      <c r="K752">
        <v>2400</v>
      </c>
      <c r="L752">
        <v>0</v>
      </c>
      <c r="M752">
        <v>0</v>
      </c>
      <c r="N752">
        <v>2400</v>
      </c>
    </row>
    <row r="753" spans="1:14" x14ac:dyDescent="0.25">
      <c r="A753">
        <v>138.67758599999999</v>
      </c>
      <c r="B753" s="1">
        <f>DATE(2010,9,16) + TIME(16,15,43)</f>
        <v>40437.677581018521</v>
      </c>
      <c r="C753">
        <v>80</v>
      </c>
      <c r="D753">
        <v>79.961875915999997</v>
      </c>
      <c r="E753">
        <v>50</v>
      </c>
      <c r="F753">
        <v>45.345012664999999</v>
      </c>
      <c r="G753">
        <v>1336.2232666</v>
      </c>
      <c r="H753">
        <v>1334.7448730000001</v>
      </c>
      <c r="I753">
        <v>1326.1401367000001</v>
      </c>
      <c r="J753">
        <v>1324.3913574000001</v>
      </c>
      <c r="K753">
        <v>2400</v>
      </c>
      <c r="L753">
        <v>0</v>
      </c>
      <c r="M753">
        <v>0</v>
      </c>
      <c r="N753">
        <v>2400</v>
      </c>
    </row>
    <row r="754" spans="1:14" x14ac:dyDescent="0.25">
      <c r="A754">
        <v>139.52172300000001</v>
      </c>
      <c r="B754" s="1">
        <f>DATE(2010,9,17) + TIME(12,31,16)</f>
        <v>40438.52171296296</v>
      </c>
      <c r="C754">
        <v>80</v>
      </c>
      <c r="D754">
        <v>79.961914062000005</v>
      </c>
      <c r="E754">
        <v>50</v>
      </c>
      <c r="F754">
        <v>45.501163482999999</v>
      </c>
      <c r="G754">
        <v>1336.2226562000001</v>
      </c>
      <c r="H754">
        <v>1334.7446289</v>
      </c>
      <c r="I754">
        <v>1326.1435547000001</v>
      </c>
      <c r="J754">
        <v>1324.3974608999999</v>
      </c>
      <c r="K754">
        <v>2400</v>
      </c>
      <c r="L754">
        <v>0</v>
      </c>
      <c r="M754">
        <v>0</v>
      </c>
      <c r="N754">
        <v>2400</v>
      </c>
    </row>
    <row r="755" spans="1:14" x14ac:dyDescent="0.25">
      <c r="A755">
        <v>140.36943500000001</v>
      </c>
      <c r="B755" s="1">
        <f>DATE(2010,9,18) + TIME(8,51,59)</f>
        <v>40439.369432870371</v>
      </c>
      <c r="C755">
        <v>80</v>
      </c>
      <c r="D755">
        <v>79.961952209000003</v>
      </c>
      <c r="E755">
        <v>50</v>
      </c>
      <c r="F755">
        <v>45.699577331999997</v>
      </c>
      <c r="G755">
        <v>1336.2215576000001</v>
      </c>
      <c r="H755">
        <v>1334.7441406</v>
      </c>
      <c r="I755">
        <v>1326.1508789</v>
      </c>
      <c r="J755">
        <v>1324.4068603999999</v>
      </c>
      <c r="K755">
        <v>2400</v>
      </c>
      <c r="L755">
        <v>0</v>
      </c>
      <c r="M755">
        <v>0</v>
      </c>
      <c r="N755">
        <v>2400</v>
      </c>
    </row>
    <row r="756" spans="1:14" x14ac:dyDescent="0.25">
      <c r="A756">
        <v>141.23041799999999</v>
      </c>
      <c r="B756" s="1">
        <f>DATE(2010,9,19) + TIME(5,31,48)</f>
        <v>40440.230416666665</v>
      </c>
      <c r="C756">
        <v>80</v>
      </c>
      <c r="D756">
        <v>79.961990356000001</v>
      </c>
      <c r="E756">
        <v>50</v>
      </c>
      <c r="F756">
        <v>45.912612914999997</v>
      </c>
      <c r="G756">
        <v>1336.2204589999999</v>
      </c>
      <c r="H756">
        <v>1334.7435303</v>
      </c>
      <c r="I756">
        <v>1326.1584473</v>
      </c>
      <c r="J756">
        <v>1324.4171143000001</v>
      </c>
      <c r="K756">
        <v>2400</v>
      </c>
      <c r="L756">
        <v>0</v>
      </c>
      <c r="M756">
        <v>0</v>
      </c>
      <c r="N756">
        <v>2400</v>
      </c>
    </row>
    <row r="757" spans="1:14" x14ac:dyDescent="0.25">
      <c r="A757">
        <v>142.10472799999999</v>
      </c>
      <c r="B757" s="1">
        <f>DATE(2010,9,20) + TIME(2,30,48)</f>
        <v>40441.104722222219</v>
      </c>
      <c r="C757">
        <v>80</v>
      </c>
      <c r="D757">
        <v>79.962020874000004</v>
      </c>
      <c r="E757">
        <v>50</v>
      </c>
      <c r="F757">
        <v>46.131103516000003</v>
      </c>
      <c r="G757">
        <v>1336.2192382999999</v>
      </c>
      <c r="H757">
        <v>1334.7430420000001</v>
      </c>
      <c r="I757">
        <v>1326.1661377</v>
      </c>
      <c r="J757">
        <v>1324.4277344</v>
      </c>
      <c r="K757">
        <v>2400</v>
      </c>
      <c r="L757">
        <v>0</v>
      </c>
      <c r="M757">
        <v>0</v>
      </c>
      <c r="N757">
        <v>2400</v>
      </c>
    </row>
    <row r="758" spans="1:14" x14ac:dyDescent="0.25">
      <c r="A758">
        <v>142.987706</v>
      </c>
      <c r="B758" s="1">
        <f>DATE(2010,9,20) + TIME(23,42,17)</f>
        <v>40441.987696759257</v>
      </c>
      <c r="C758">
        <v>80</v>
      </c>
      <c r="D758">
        <v>79.962059021000002</v>
      </c>
      <c r="E758">
        <v>50</v>
      </c>
      <c r="F758">
        <v>46.351146698000001</v>
      </c>
      <c r="G758">
        <v>1336.2181396000001</v>
      </c>
      <c r="H758">
        <v>1334.7425536999999</v>
      </c>
      <c r="I758">
        <v>1326.1739502</v>
      </c>
      <c r="J758">
        <v>1324.4387207</v>
      </c>
      <c r="K758">
        <v>2400</v>
      </c>
      <c r="L758">
        <v>0</v>
      </c>
      <c r="M758">
        <v>0</v>
      </c>
      <c r="N758">
        <v>2400</v>
      </c>
    </row>
    <row r="759" spans="1:14" x14ac:dyDescent="0.25">
      <c r="A759">
        <v>143.88190599999999</v>
      </c>
      <c r="B759" s="1">
        <f>DATE(2010,9,21) + TIME(21,9,56)</f>
        <v>40442.881898148145</v>
      </c>
      <c r="C759">
        <v>80</v>
      </c>
      <c r="D759">
        <v>79.962097168</v>
      </c>
      <c r="E759">
        <v>50</v>
      </c>
      <c r="F759">
        <v>46.571056366000001</v>
      </c>
      <c r="G759">
        <v>1336.2170410000001</v>
      </c>
      <c r="H759">
        <v>1334.7420654</v>
      </c>
      <c r="I759">
        <v>1326.1817627</v>
      </c>
      <c r="J759">
        <v>1324.449707</v>
      </c>
      <c r="K759">
        <v>2400</v>
      </c>
      <c r="L759">
        <v>0</v>
      </c>
      <c r="M759">
        <v>0</v>
      </c>
      <c r="N759">
        <v>2400</v>
      </c>
    </row>
    <row r="760" spans="1:14" x14ac:dyDescent="0.25">
      <c r="A760">
        <v>144.78462500000001</v>
      </c>
      <c r="B760" s="1">
        <f>DATE(2010,9,22) + TIME(18,49,51)</f>
        <v>40443.784618055557</v>
      </c>
      <c r="C760">
        <v>80</v>
      </c>
      <c r="D760">
        <v>79.962127686000002</v>
      </c>
      <c r="E760">
        <v>50</v>
      </c>
      <c r="F760">
        <v>46.790046691999997</v>
      </c>
      <c r="G760">
        <v>1336.2159423999999</v>
      </c>
      <c r="H760">
        <v>1334.7415771000001</v>
      </c>
      <c r="I760">
        <v>1326.1896973</v>
      </c>
      <c r="J760">
        <v>1324.4606934000001</v>
      </c>
      <c r="K760">
        <v>2400</v>
      </c>
      <c r="L760">
        <v>0</v>
      </c>
      <c r="M760">
        <v>0</v>
      </c>
      <c r="N760">
        <v>2400</v>
      </c>
    </row>
    <row r="761" spans="1:14" x14ac:dyDescent="0.25">
      <c r="A761">
        <v>145.24044000000001</v>
      </c>
      <c r="B761" s="1">
        <f>DATE(2010,9,23) + TIME(5,46,14)</f>
        <v>40444.240439814814</v>
      </c>
      <c r="C761">
        <v>80</v>
      </c>
      <c r="D761">
        <v>79.962142943999993</v>
      </c>
      <c r="E761">
        <v>50</v>
      </c>
      <c r="F761">
        <v>46.951526641999997</v>
      </c>
      <c r="G761">
        <v>1336.2148437999999</v>
      </c>
      <c r="H761">
        <v>1334.7410889</v>
      </c>
      <c r="I761">
        <v>1326.1982422000001</v>
      </c>
      <c r="J761">
        <v>1324.4710693</v>
      </c>
      <c r="K761">
        <v>2400</v>
      </c>
      <c r="L761">
        <v>0</v>
      </c>
      <c r="M761">
        <v>0</v>
      </c>
      <c r="N761">
        <v>2400</v>
      </c>
    </row>
    <row r="762" spans="1:14" x14ac:dyDescent="0.25">
      <c r="A762">
        <v>145.695652</v>
      </c>
      <c r="B762" s="1">
        <f>DATE(2010,9,23) + TIME(16,41,44)</f>
        <v>40444.695648148147</v>
      </c>
      <c r="C762">
        <v>80</v>
      </c>
      <c r="D762">
        <v>79.962158203000001</v>
      </c>
      <c r="E762">
        <v>50</v>
      </c>
      <c r="F762">
        <v>47.086677551000001</v>
      </c>
      <c r="G762">
        <v>1336.2142334</v>
      </c>
      <c r="H762">
        <v>1334.7408447</v>
      </c>
      <c r="I762">
        <v>1326.2023925999999</v>
      </c>
      <c r="J762">
        <v>1324.4779053</v>
      </c>
      <c r="K762">
        <v>2400</v>
      </c>
      <c r="L762">
        <v>0</v>
      </c>
      <c r="M762">
        <v>0</v>
      </c>
      <c r="N762">
        <v>2400</v>
      </c>
    </row>
    <row r="763" spans="1:14" x14ac:dyDescent="0.25">
      <c r="A763">
        <v>146.150002</v>
      </c>
      <c r="B763" s="1">
        <f>DATE(2010,9,24) + TIME(3,36,0)</f>
        <v>40445.15</v>
      </c>
      <c r="C763">
        <v>80</v>
      </c>
      <c r="D763">
        <v>79.962181091000005</v>
      </c>
      <c r="E763">
        <v>50</v>
      </c>
      <c r="F763">
        <v>47.207744597999998</v>
      </c>
      <c r="G763">
        <v>1336.2137451000001</v>
      </c>
      <c r="H763">
        <v>1334.7406006000001</v>
      </c>
      <c r="I763">
        <v>1326.206543</v>
      </c>
      <c r="J763">
        <v>1324.4842529</v>
      </c>
      <c r="K763">
        <v>2400</v>
      </c>
      <c r="L763">
        <v>0</v>
      </c>
      <c r="M763">
        <v>0</v>
      </c>
      <c r="N763">
        <v>2400</v>
      </c>
    </row>
    <row r="764" spans="1:14" x14ac:dyDescent="0.25">
      <c r="A764">
        <v>146.603973</v>
      </c>
      <c r="B764" s="1">
        <f>DATE(2010,9,24) + TIME(14,29,43)</f>
        <v>40445.60396990741</v>
      </c>
      <c r="C764">
        <v>80</v>
      </c>
      <c r="D764">
        <v>79.962196349999999</v>
      </c>
      <c r="E764">
        <v>50</v>
      </c>
      <c r="F764">
        <v>47.321022034000002</v>
      </c>
      <c r="G764">
        <v>1336.2131348</v>
      </c>
      <c r="H764">
        <v>1334.7403564000001</v>
      </c>
      <c r="I764">
        <v>1326.2105713000001</v>
      </c>
      <c r="J764">
        <v>1324.4901123</v>
      </c>
      <c r="K764">
        <v>2400</v>
      </c>
      <c r="L764">
        <v>0</v>
      </c>
      <c r="M764">
        <v>0</v>
      </c>
      <c r="N764">
        <v>2400</v>
      </c>
    </row>
    <row r="765" spans="1:14" x14ac:dyDescent="0.25">
      <c r="A765">
        <v>147.05794399999999</v>
      </c>
      <c r="B765" s="1">
        <f>DATE(2010,9,25) + TIME(1,23,26)</f>
        <v>40446.057939814818</v>
      </c>
      <c r="C765">
        <v>80</v>
      </c>
      <c r="D765">
        <v>79.962211608999993</v>
      </c>
      <c r="E765">
        <v>50</v>
      </c>
      <c r="F765">
        <v>47.429767609000002</v>
      </c>
      <c r="G765">
        <v>1336.2126464999999</v>
      </c>
      <c r="H765">
        <v>1334.7401123</v>
      </c>
      <c r="I765">
        <v>1326.2145995999999</v>
      </c>
      <c r="J765">
        <v>1324.4957274999999</v>
      </c>
      <c r="K765">
        <v>2400</v>
      </c>
      <c r="L765">
        <v>0</v>
      </c>
      <c r="M765">
        <v>0</v>
      </c>
      <c r="N765">
        <v>2400</v>
      </c>
    </row>
    <row r="766" spans="1:14" x14ac:dyDescent="0.25">
      <c r="A766">
        <v>147.51191499999999</v>
      </c>
      <c r="B766" s="1">
        <f>DATE(2010,9,25) + TIME(12,17,9)</f>
        <v>40446.51190972222</v>
      </c>
      <c r="C766">
        <v>80</v>
      </c>
      <c r="D766">
        <v>79.962234496999997</v>
      </c>
      <c r="E766">
        <v>50</v>
      </c>
      <c r="F766">
        <v>47.535644531000003</v>
      </c>
      <c r="G766">
        <v>1336.2120361</v>
      </c>
      <c r="H766">
        <v>1334.7398682</v>
      </c>
      <c r="I766">
        <v>1326.2185059000001</v>
      </c>
      <c r="J766">
        <v>1324.5013428</v>
      </c>
      <c r="K766">
        <v>2400</v>
      </c>
      <c r="L766">
        <v>0</v>
      </c>
      <c r="M766">
        <v>0</v>
      </c>
      <c r="N766">
        <v>2400</v>
      </c>
    </row>
    <row r="767" spans="1:14" x14ac:dyDescent="0.25">
      <c r="A767">
        <v>148.41985600000001</v>
      </c>
      <c r="B767" s="1">
        <f>DATE(2010,9,26) + TIME(10,4,35)</f>
        <v>40447.419849537036</v>
      </c>
      <c r="C767">
        <v>80</v>
      </c>
      <c r="D767">
        <v>79.962272643999995</v>
      </c>
      <c r="E767">
        <v>50</v>
      </c>
      <c r="F767">
        <v>47.675567627</v>
      </c>
      <c r="G767">
        <v>1336.2115478999999</v>
      </c>
      <c r="H767">
        <v>1334.739624</v>
      </c>
      <c r="I767">
        <v>1326.2220459</v>
      </c>
      <c r="J767">
        <v>1324.5072021000001</v>
      </c>
      <c r="K767">
        <v>2400</v>
      </c>
      <c r="L767">
        <v>0</v>
      </c>
      <c r="M767">
        <v>0</v>
      </c>
      <c r="N767">
        <v>2400</v>
      </c>
    </row>
    <row r="768" spans="1:14" x14ac:dyDescent="0.25">
      <c r="A768">
        <v>149.32836399999999</v>
      </c>
      <c r="B768" s="1">
        <f>DATE(2010,9,27) + TIME(7,52,50)</f>
        <v>40448.328356481485</v>
      </c>
      <c r="C768">
        <v>80</v>
      </c>
      <c r="D768">
        <v>79.962310790999993</v>
      </c>
      <c r="E768">
        <v>50</v>
      </c>
      <c r="F768">
        <v>47.855075835999997</v>
      </c>
      <c r="G768">
        <v>1336.2104492000001</v>
      </c>
      <c r="H768">
        <v>1334.7391356999999</v>
      </c>
      <c r="I768">
        <v>1326.2292480000001</v>
      </c>
      <c r="J768">
        <v>1324.5162353999999</v>
      </c>
      <c r="K768">
        <v>2400</v>
      </c>
      <c r="L768">
        <v>0</v>
      </c>
      <c r="M768">
        <v>0</v>
      </c>
      <c r="N768">
        <v>2400</v>
      </c>
    </row>
    <row r="769" spans="1:14" x14ac:dyDescent="0.25">
      <c r="A769">
        <v>150.247467</v>
      </c>
      <c r="B769" s="1">
        <f>DATE(2010,9,28) + TIME(5,56,21)</f>
        <v>40449.247465277775</v>
      </c>
      <c r="C769">
        <v>80</v>
      </c>
      <c r="D769">
        <v>79.962348938000005</v>
      </c>
      <c r="E769">
        <v>50</v>
      </c>
      <c r="F769">
        <v>48.046161652000002</v>
      </c>
      <c r="G769">
        <v>1336.2094727000001</v>
      </c>
      <c r="H769">
        <v>1334.7387695</v>
      </c>
      <c r="I769">
        <v>1326.2366943</v>
      </c>
      <c r="J769">
        <v>1324.5261230000001</v>
      </c>
      <c r="K769">
        <v>2400</v>
      </c>
      <c r="L769">
        <v>0</v>
      </c>
      <c r="M769">
        <v>0</v>
      </c>
      <c r="N769">
        <v>2400</v>
      </c>
    </row>
    <row r="770" spans="1:14" x14ac:dyDescent="0.25">
      <c r="A770">
        <v>151.177222</v>
      </c>
      <c r="B770" s="1">
        <f>DATE(2010,9,29) + TIME(4,15,11)</f>
        <v>40450.177210648151</v>
      </c>
      <c r="C770">
        <v>80</v>
      </c>
      <c r="D770">
        <v>79.962387085000003</v>
      </c>
      <c r="E770">
        <v>50</v>
      </c>
      <c r="F770">
        <v>48.240360260000003</v>
      </c>
      <c r="G770">
        <v>1336.208374</v>
      </c>
      <c r="H770">
        <v>1334.7382812000001</v>
      </c>
      <c r="I770">
        <v>1326.2442627</v>
      </c>
      <c r="J770">
        <v>1324.5362548999999</v>
      </c>
      <c r="K770">
        <v>2400</v>
      </c>
      <c r="L770">
        <v>0</v>
      </c>
      <c r="M770">
        <v>0</v>
      </c>
      <c r="N770">
        <v>2400</v>
      </c>
    </row>
    <row r="771" spans="1:14" x14ac:dyDescent="0.25">
      <c r="A771">
        <v>152.11673099999999</v>
      </c>
      <c r="B771" s="1">
        <f>DATE(2010,9,30) + TIME(2,48,5)</f>
        <v>40451.116724537038</v>
      </c>
      <c r="C771">
        <v>80</v>
      </c>
      <c r="D771">
        <v>79.962425232000001</v>
      </c>
      <c r="E771">
        <v>50</v>
      </c>
      <c r="F771">
        <v>48.434608459000003</v>
      </c>
      <c r="G771">
        <v>1336.2073975000001</v>
      </c>
      <c r="H771">
        <v>1334.7379149999999</v>
      </c>
      <c r="I771">
        <v>1326.2519531</v>
      </c>
      <c r="J771">
        <v>1324.5466309000001</v>
      </c>
      <c r="K771">
        <v>2400</v>
      </c>
      <c r="L771">
        <v>0</v>
      </c>
      <c r="M771">
        <v>0</v>
      </c>
      <c r="N771">
        <v>2400</v>
      </c>
    </row>
    <row r="772" spans="1:14" x14ac:dyDescent="0.25">
      <c r="A772">
        <v>153</v>
      </c>
      <c r="B772" s="1">
        <f>DATE(2010,10,1) + TIME(0,0,0)</f>
        <v>40452</v>
      </c>
      <c r="C772">
        <v>80</v>
      </c>
      <c r="D772">
        <v>79.962455750000004</v>
      </c>
      <c r="E772">
        <v>50</v>
      </c>
      <c r="F772">
        <v>48.622982024999999</v>
      </c>
      <c r="G772">
        <v>1336.2062988</v>
      </c>
      <c r="H772">
        <v>1334.7374268000001</v>
      </c>
      <c r="I772">
        <v>1326.2596435999999</v>
      </c>
      <c r="J772">
        <v>1324.5568848</v>
      </c>
      <c r="K772">
        <v>2400</v>
      </c>
      <c r="L772">
        <v>0</v>
      </c>
      <c r="M772">
        <v>0</v>
      </c>
      <c r="N772">
        <v>2400</v>
      </c>
    </row>
    <row r="773" spans="1:14" x14ac:dyDescent="0.25">
      <c r="A773">
        <v>153.95020600000001</v>
      </c>
      <c r="B773" s="1">
        <f>DATE(2010,10,1) + TIME(22,48,17)</f>
        <v>40452.950196759259</v>
      </c>
      <c r="C773">
        <v>80</v>
      </c>
      <c r="D773">
        <v>79.962493895999998</v>
      </c>
      <c r="E773">
        <v>50</v>
      </c>
      <c r="F773">
        <v>48.808265685999999</v>
      </c>
      <c r="G773">
        <v>1336.2053223</v>
      </c>
      <c r="H773">
        <v>1334.7370605000001</v>
      </c>
      <c r="I773">
        <v>1326.2668457</v>
      </c>
      <c r="J773">
        <v>1324.5667725000001</v>
      </c>
      <c r="K773">
        <v>2400</v>
      </c>
      <c r="L773">
        <v>0</v>
      </c>
      <c r="M773">
        <v>0</v>
      </c>
      <c r="N773">
        <v>2400</v>
      </c>
    </row>
    <row r="774" spans="1:14" x14ac:dyDescent="0.25">
      <c r="A774">
        <v>154.91995</v>
      </c>
      <c r="B774" s="1">
        <f>DATE(2010,10,2) + TIME(22,4,43)</f>
        <v>40453.919942129629</v>
      </c>
      <c r="C774">
        <v>80</v>
      </c>
      <c r="D774">
        <v>79.962539672999995</v>
      </c>
      <c r="E774">
        <v>50</v>
      </c>
      <c r="F774">
        <v>48.995494843000003</v>
      </c>
      <c r="G774">
        <v>1336.2043457</v>
      </c>
      <c r="H774">
        <v>1334.7366943</v>
      </c>
      <c r="I774">
        <v>1326.2744141000001</v>
      </c>
      <c r="J774">
        <v>1324.5770264</v>
      </c>
      <c r="K774">
        <v>2400</v>
      </c>
      <c r="L774">
        <v>0</v>
      </c>
      <c r="M774">
        <v>0</v>
      </c>
      <c r="N774">
        <v>2400</v>
      </c>
    </row>
    <row r="775" spans="1:14" x14ac:dyDescent="0.25">
      <c r="A775">
        <v>155.411315</v>
      </c>
      <c r="B775" s="1">
        <f>DATE(2010,10,3) + TIME(9,52,17)</f>
        <v>40454.411307870374</v>
      </c>
      <c r="C775">
        <v>80</v>
      </c>
      <c r="D775">
        <v>79.962554932000003</v>
      </c>
      <c r="E775">
        <v>50</v>
      </c>
      <c r="F775">
        <v>49.136848450000002</v>
      </c>
      <c r="G775">
        <v>1336.2033690999999</v>
      </c>
      <c r="H775">
        <v>1334.7362060999999</v>
      </c>
      <c r="I775">
        <v>1326.2825928</v>
      </c>
      <c r="J775">
        <v>1324.5866699000001</v>
      </c>
      <c r="K775">
        <v>2400</v>
      </c>
      <c r="L775">
        <v>0</v>
      </c>
      <c r="M775">
        <v>0</v>
      </c>
      <c r="N775">
        <v>2400</v>
      </c>
    </row>
    <row r="776" spans="1:14" x14ac:dyDescent="0.25">
      <c r="A776">
        <v>155.90268</v>
      </c>
      <c r="B776" s="1">
        <f>DATE(2010,10,3) + TIME(21,39,51)</f>
        <v>40454.902673611112</v>
      </c>
      <c r="C776">
        <v>80</v>
      </c>
      <c r="D776">
        <v>79.962570189999994</v>
      </c>
      <c r="E776">
        <v>50</v>
      </c>
      <c r="F776">
        <v>49.25358963</v>
      </c>
      <c r="G776">
        <v>1336.2028809000001</v>
      </c>
      <c r="H776">
        <v>1334.7360839999999</v>
      </c>
      <c r="I776">
        <v>1326.2868652</v>
      </c>
      <c r="J776">
        <v>1324.5931396000001</v>
      </c>
      <c r="K776">
        <v>2400</v>
      </c>
      <c r="L776">
        <v>0</v>
      </c>
      <c r="M776">
        <v>0</v>
      </c>
      <c r="N776">
        <v>2400</v>
      </c>
    </row>
    <row r="777" spans="1:14" x14ac:dyDescent="0.25">
      <c r="A777">
        <v>156.39404500000001</v>
      </c>
      <c r="B777" s="1">
        <f>DATE(2010,10,4) + TIME(9,27,25)</f>
        <v>40455.39403935185</v>
      </c>
      <c r="C777">
        <v>80</v>
      </c>
      <c r="D777">
        <v>79.962585449000002</v>
      </c>
      <c r="E777">
        <v>50</v>
      </c>
      <c r="F777">
        <v>49.357818604000002</v>
      </c>
      <c r="G777">
        <v>1336.2022704999999</v>
      </c>
      <c r="H777">
        <v>1334.7358397999999</v>
      </c>
      <c r="I777">
        <v>1326.2908935999999</v>
      </c>
      <c r="J777">
        <v>1324.598999</v>
      </c>
      <c r="K777">
        <v>2400</v>
      </c>
      <c r="L777">
        <v>0</v>
      </c>
      <c r="M777">
        <v>0</v>
      </c>
      <c r="N777">
        <v>2400</v>
      </c>
    </row>
    <row r="778" spans="1:14" x14ac:dyDescent="0.25">
      <c r="A778">
        <v>156.88541000000001</v>
      </c>
      <c r="B778" s="1">
        <f>DATE(2010,10,4) + TIME(21,14,59)</f>
        <v>40455.885405092595</v>
      </c>
      <c r="C778">
        <v>80</v>
      </c>
      <c r="D778">
        <v>79.962608337000006</v>
      </c>
      <c r="E778">
        <v>50</v>
      </c>
      <c r="F778">
        <v>49.455379485999998</v>
      </c>
      <c r="G778">
        <v>1336.2017822</v>
      </c>
      <c r="H778">
        <v>1334.7357178</v>
      </c>
      <c r="I778">
        <v>1326.2949219</v>
      </c>
      <c r="J778">
        <v>1324.6044922000001</v>
      </c>
      <c r="K778">
        <v>2400</v>
      </c>
      <c r="L778">
        <v>0</v>
      </c>
      <c r="M778">
        <v>0</v>
      </c>
      <c r="N778">
        <v>2400</v>
      </c>
    </row>
    <row r="779" spans="1:14" x14ac:dyDescent="0.25">
      <c r="A779">
        <v>157.376485</v>
      </c>
      <c r="B779" s="1">
        <f>DATE(2010,10,5) + TIME(9,2,8)</f>
        <v>40456.376481481479</v>
      </c>
      <c r="C779">
        <v>80</v>
      </c>
      <c r="D779">
        <v>79.962623596</v>
      </c>
      <c r="E779">
        <v>50</v>
      </c>
      <c r="F779">
        <v>49.549068450999997</v>
      </c>
      <c r="G779">
        <v>1336.2012939000001</v>
      </c>
      <c r="H779">
        <v>1334.7354736</v>
      </c>
      <c r="I779">
        <v>1326.2988281</v>
      </c>
      <c r="J779">
        <v>1324.6097411999999</v>
      </c>
      <c r="K779">
        <v>2400</v>
      </c>
      <c r="L779">
        <v>0</v>
      </c>
      <c r="M779">
        <v>0</v>
      </c>
      <c r="N779">
        <v>2400</v>
      </c>
    </row>
    <row r="780" spans="1:14" x14ac:dyDescent="0.25">
      <c r="A780">
        <v>157.867527</v>
      </c>
      <c r="B780" s="1">
        <f>DATE(2010,10,5) + TIME(20,49,14)</f>
        <v>40456.867523148147</v>
      </c>
      <c r="C780">
        <v>80</v>
      </c>
      <c r="D780">
        <v>79.962646484000004</v>
      </c>
      <c r="E780">
        <v>50</v>
      </c>
      <c r="F780">
        <v>49.640262604</v>
      </c>
      <c r="G780">
        <v>1336.2008057</v>
      </c>
      <c r="H780">
        <v>1334.7352295000001</v>
      </c>
      <c r="I780">
        <v>1326.3026123</v>
      </c>
      <c r="J780">
        <v>1324.6149902</v>
      </c>
      <c r="K780">
        <v>2400</v>
      </c>
      <c r="L780">
        <v>0</v>
      </c>
      <c r="M780">
        <v>0</v>
      </c>
      <c r="N780">
        <v>2400</v>
      </c>
    </row>
    <row r="781" spans="1:14" x14ac:dyDescent="0.25">
      <c r="A781">
        <v>158.35856899999999</v>
      </c>
      <c r="B781" s="1">
        <f>DATE(2010,10,6) + TIME(8,36,20)</f>
        <v>40457.358564814815</v>
      </c>
      <c r="C781">
        <v>80</v>
      </c>
      <c r="D781">
        <v>79.962669372999997</v>
      </c>
      <c r="E781">
        <v>50</v>
      </c>
      <c r="F781">
        <v>49.729644774999997</v>
      </c>
      <c r="G781">
        <v>1336.2003173999999</v>
      </c>
      <c r="H781">
        <v>1334.7351074000001</v>
      </c>
      <c r="I781">
        <v>1326.3065185999999</v>
      </c>
      <c r="J781">
        <v>1324.6201172000001</v>
      </c>
      <c r="K781">
        <v>2400</v>
      </c>
      <c r="L781">
        <v>0</v>
      </c>
      <c r="M781">
        <v>0</v>
      </c>
      <c r="N781">
        <v>2400</v>
      </c>
    </row>
    <row r="782" spans="1:14" x14ac:dyDescent="0.25">
      <c r="A782">
        <v>158.84961100000001</v>
      </c>
      <c r="B782" s="1">
        <f>DATE(2010,10,6) + TIME(20,23,26)</f>
        <v>40457.849606481483</v>
      </c>
      <c r="C782">
        <v>80</v>
      </c>
      <c r="D782">
        <v>79.962684631000002</v>
      </c>
      <c r="E782">
        <v>50</v>
      </c>
      <c r="F782">
        <v>49.817573547000002</v>
      </c>
      <c r="G782">
        <v>1336.1998291</v>
      </c>
      <c r="H782">
        <v>1334.7348632999999</v>
      </c>
      <c r="I782">
        <v>1326.3103027</v>
      </c>
      <c r="J782">
        <v>1324.6251221</v>
      </c>
      <c r="K782">
        <v>2400</v>
      </c>
      <c r="L782">
        <v>0</v>
      </c>
      <c r="M782">
        <v>0</v>
      </c>
      <c r="N782">
        <v>2400</v>
      </c>
    </row>
    <row r="783" spans="1:14" x14ac:dyDescent="0.25">
      <c r="A783">
        <v>159.34065200000001</v>
      </c>
      <c r="B783" s="1">
        <f>DATE(2010,10,7) + TIME(8,10,32)</f>
        <v>40458.340648148151</v>
      </c>
      <c r="C783">
        <v>80</v>
      </c>
      <c r="D783">
        <v>79.962707519999995</v>
      </c>
      <c r="E783">
        <v>50</v>
      </c>
      <c r="F783">
        <v>49.904254913000003</v>
      </c>
      <c r="G783">
        <v>1336.1993408000001</v>
      </c>
      <c r="H783">
        <v>1334.7347411999999</v>
      </c>
      <c r="I783">
        <v>1326.3140868999999</v>
      </c>
      <c r="J783">
        <v>1324.6301269999999</v>
      </c>
      <c r="K783">
        <v>2400</v>
      </c>
      <c r="L783">
        <v>0</v>
      </c>
      <c r="M783">
        <v>0</v>
      </c>
      <c r="N783">
        <v>2400</v>
      </c>
    </row>
    <row r="784" spans="1:14" x14ac:dyDescent="0.25">
      <c r="A784">
        <v>160.32273599999999</v>
      </c>
      <c r="B784" s="1">
        <f>DATE(2010,10,8) + TIME(7,44,44)</f>
        <v>40459.322731481479</v>
      </c>
      <c r="C784">
        <v>80</v>
      </c>
      <c r="D784">
        <v>79.962753296000002</v>
      </c>
      <c r="E784">
        <v>50</v>
      </c>
      <c r="F784">
        <v>50.017562865999999</v>
      </c>
      <c r="G784">
        <v>1336.1988524999999</v>
      </c>
      <c r="H784">
        <v>1334.7344971</v>
      </c>
      <c r="I784">
        <v>1326.3176269999999</v>
      </c>
      <c r="J784">
        <v>1324.635376</v>
      </c>
      <c r="K784">
        <v>2400</v>
      </c>
      <c r="L784">
        <v>0</v>
      </c>
      <c r="M784">
        <v>0</v>
      </c>
      <c r="N784">
        <v>2400</v>
      </c>
    </row>
    <row r="785" spans="1:14" x14ac:dyDescent="0.25">
      <c r="A785">
        <v>161.30871500000001</v>
      </c>
      <c r="B785" s="1">
        <f>DATE(2010,10,9) + TIME(7,24,32)</f>
        <v>40460.308703703704</v>
      </c>
      <c r="C785">
        <v>80</v>
      </c>
      <c r="D785">
        <v>79.962791443</v>
      </c>
      <c r="E785">
        <v>50</v>
      </c>
      <c r="F785">
        <v>50.166648864999999</v>
      </c>
      <c r="G785">
        <v>1336.197876</v>
      </c>
      <c r="H785">
        <v>1334.7341309000001</v>
      </c>
      <c r="I785">
        <v>1326.3245850000001</v>
      </c>
      <c r="J785">
        <v>1324.6436768000001</v>
      </c>
      <c r="K785">
        <v>2400</v>
      </c>
      <c r="L785">
        <v>0</v>
      </c>
      <c r="M785">
        <v>0</v>
      </c>
      <c r="N785">
        <v>2400</v>
      </c>
    </row>
    <row r="786" spans="1:14" x14ac:dyDescent="0.25">
      <c r="A786">
        <v>162.31185099999999</v>
      </c>
      <c r="B786" s="1">
        <f>DATE(2010,10,10) + TIME(7,29,3)</f>
        <v>40461.311840277776</v>
      </c>
      <c r="C786">
        <v>80</v>
      </c>
      <c r="D786">
        <v>79.962829589999998</v>
      </c>
      <c r="E786">
        <v>50</v>
      </c>
      <c r="F786">
        <v>50.325679778999998</v>
      </c>
      <c r="G786">
        <v>1336.1968993999999</v>
      </c>
      <c r="H786">
        <v>1334.7337646000001</v>
      </c>
      <c r="I786">
        <v>1326.3317870999999</v>
      </c>
      <c r="J786">
        <v>1324.6527100000001</v>
      </c>
      <c r="K786">
        <v>2400</v>
      </c>
      <c r="L786">
        <v>0</v>
      </c>
      <c r="M786">
        <v>0</v>
      </c>
      <c r="N786">
        <v>2400</v>
      </c>
    </row>
    <row r="787" spans="1:14" x14ac:dyDescent="0.25">
      <c r="A787">
        <v>163.329295</v>
      </c>
      <c r="B787" s="1">
        <f>DATE(2010,10,11) + TIME(7,54,11)</f>
        <v>40462.329293981478</v>
      </c>
      <c r="C787">
        <v>80</v>
      </c>
      <c r="D787">
        <v>79.962867736999996</v>
      </c>
      <c r="E787">
        <v>50</v>
      </c>
      <c r="F787">
        <v>50.487613678000002</v>
      </c>
      <c r="G787">
        <v>1336.1959228999999</v>
      </c>
      <c r="H787">
        <v>1334.7333983999999</v>
      </c>
      <c r="I787">
        <v>1326.3392334</v>
      </c>
      <c r="J787">
        <v>1324.6622314000001</v>
      </c>
      <c r="K787">
        <v>2400</v>
      </c>
      <c r="L787">
        <v>0</v>
      </c>
      <c r="M787">
        <v>0</v>
      </c>
      <c r="N787">
        <v>2400</v>
      </c>
    </row>
    <row r="788" spans="1:14" x14ac:dyDescent="0.25">
      <c r="A788">
        <v>164.35872599999999</v>
      </c>
      <c r="B788" s="1">
        <f>DATE(2010,10,12) + TIME(8,36,33)</f>
        <v>40463.358715277776</v>
      </c>
      <c r="C788">
        <v>80</v>
      </c>
      <c r="D788">
        <v>79.962913513000004</v>
      </c>
      <c r="E788">
        <v>50</v>
      </c>
      <c r="F788">
        <v>50.649864196999999</v>
      </c>
      <c r="G788">
        <v>1336.1950684000001</v>
      </c>
      <c r="H788">
        <v>1334.7331543</v>
      </c>
      <c r="I788">
        <v>1326.3468018000001</v>
      </c>
      <c r="J788">
        <v>1324.671875</v>
      </c>
      <c r="K788">
        <v>2400</v>
      </c>
      <c r="L788">
        <v>0</v>
      </c>
      <c r="M788">
        <v>0</v>
      </c>
      <c r="N788">
        <v>2400</v>
      </c>
    </row>
    <row r="789" spans="1:14" x14ac:dyDescent="0.25">
      <c r="A789">
        <v>165.39903200000001</v>
      </c>
      <c r="B789" s="1">
        <f>DATE(2010,10,13) + TIME(9,34,36)</f>
        <v>40464.399027777778</v>
      </c>
      <c r="C789">
        <v>80</v>
      </c>
      <c r="D789">
        <v>79.962951660000002</v>
      </c>
      <c r="E789">
        <v>50</v>
      </c>
      <c r="F789">
        <v>50.811363219999997</v>
      </c>
      <c r="G789">
        <v>1336.1940918</v>
      </c>
      <c r="H789">
        <v>1334.7327881000001</v>
      </c>
      <c r="I789">
        <v>1326.3543701000001</v>
      </c>
      <c r="J789">
        <v>1324.6816406</v>
      </c>
      <c r="K789">
        <v>2400</v>
      </c>
      <c r="L789">
        <v>0</v>
      </c>
      <c r="M789">
        <v>0</v>
      </c>
      <c r="N789">
        <v>2400</v>
      </c>
    </row>
    <row r="790" spans="1:14" x14ac:dyDescent="0.25">
      <c r="A790">
        <v>166.44935699999999</v>
      </c>
      <c r="B790" s="1">
        <f>DATE(2010,10,14) + TIME(10,47,4)</f>
        <v>40465.44935185185</v>
      </c>
      <c r="C790">
        <v>80</v>
      </c>
      <c r="D790">
        <v>79.962997436999999</v>
      </c>
      <c r="E790">
        <v>50</v>
      </c>
      <c r="F790">
        <v>50.971683501999998</v>
      </c>
      <c r="G790">
        <v>1336.1931152</v>
      </c>
      <c r="H790">
        <v>1334.7324219</v>
      </c>
      <c r="I790">
        <v>1326.3619385</v>
      </c>
      <c r="J790">
        <v>1324.6914062000001</v>
      </c>
      <c r="K790">
        <v>2400</v>
      </c>
      <c r="L790">
        <v>0</v>
      </c>
      <c r="M790">
        <v>0</v>
      </c>
      <c r="N790">
        <v>2400</v>
      </c>
    </row>
    <row r="791" spans="1:14" x14ac:dyDescent="0.25">
      <c r="A791">
        <v>166.98173</v>
      </c>
      <c r="B791" s="1">
        <f>DATE(2010,10,14) + TIME(23,33,41)</f>
        <v>40465.981724537036</v>
      </c>
      <c r="C791">
        <v>80</v>
      </c>
      <c r="D791">
        <v>79.963012695000003</v>
      </c>
      <c r="E791">
        <v>50</v>
      </c>
      <c r="F791">
        <v>51.093711853000002</v>
      </c>
      <c r="G791">
        <v>1336.1921387</v>
      </c>
      <c r="H791">
        <v>1334.7320557</v>
      </c>
      <c r="I791">
        <v>1326.3698730000001</v>
      </c>
      <c r="J791">
        <v>1324.7005615</v>
      </c>
      <c r="K791">
        <v>2400</v>
      </c>
      <c r="L791">
        <v>0</v>
      </c>
      <c r="M791">
        <v>0</v>
      </c>
      <c r="N791">
        <v>2400</v>
      </c>
    </row>
    <row r="792" spans="1:14" x14ac:dyDescent="0.25">
      <c r="A792">
        <v>167.512203</v>
      </c>
      <c r="B792" s="1">
        <f>DATE(2010,10,15) + TIME(12,17,34)</f>
        <v>40466.512199074074</v>
      </c>
      <c r="C792">
        <v>80</v>
      </c>
      <c r="D792">
        <v>79.963027953999998</v>
      </c>
      <c r="E792">
        <v>50</v>
      </c>
      <c r="F792">
        <v>51.192657470999997</v>
      </c>
      <c r="G792">
        <v>1336.1916504000001</v>
      </c>
      <c r="H792">
        <v>1334.7319336</v>
      </c>
      <c r="I792">
        <v>1326.3741454999999</v>
      </c>
      <c r="J792">
        <v>1324.7067870999999</v>
      </c>
      <c r="K792">
        <v>2400</v>
      </c>
      <c r="L792">
        <v>0</v>
      </c>
      <c r="M792">
        <v>0</v>
      </c>
      <c r="N792">
        <v>2400</v>
      </c>
    </row>
    <row r="793" spans="1:14" x14ac:dyDescent="0.25">
      <c r="A793">
        <v>168.04261299999999</v>
      </c>
      <c r="B793" s="1">
        <f>DATE(2010,10,16) + TIME(1,1,21)</f>
        <v>40467.042604166665</v>
      </c>
      <c r="C793">
        <v>80</v>
      </c>
      <c r="D793">
        <v>79.963050842000001</v>
      </c>
      <c r="E793">
        <v>50</v>
      </c>
      <c r="F793">
        <v>51.280555724999999</v>
      </c>
      <c r="G793">
        <v>1336.1912841999999</v>
      </c>
      <c r="H793">
        <v>1334.7318115</v>
      </c>
      <c r="I793">
        <v>1326.3781738</v>
      </c>
      <c r="J793">
        <v>1324.7122803</v>
      </c>
      <c r="K793">
        <v>2400</v>
      </c>
      <c r="L793">
        <v>0</v>
      </c>
      <c r="M793">
        <v>0</v>
      </c>
      <c r="N793">
        <v>2400</v>
      </c>
    </row>
    <row r="794" spans="1:14" x14ac:dyDescent="0.25">
      <c r="A794">
        <v>168.573024</v>
      </c>
      <c r="B794" s="1">
        <f>DATE(2010,10,16) + TIME(13,45,9)</f>
        <v>40467.573020833333</v>
      </c>
      <c r="C794">
        <v>80</v>
      </c>
      <c r="D794">
        <v>79.963073730000005</v>
      </c>
      <c r="E794">
        <v>50</v>
      </c>
      <c r="F794">
        <v>51.362888335999997</v>
      </c>
      <c r="G794">
        <v>1336.1907959</v>
      </c>
      <c r="H794">
        <v>1334.7315673999999</v>
      </c>
      <c r="I794">
        <v>1326.3820800999999</v>
      </c>
      <c r="J794">
        <v>1324.7175293</v>
      </c>
      <c r="K794">
        <v>2400</v>
      </c>
      <c r="L794">
        <v>0</v>
      </c>
      <c r="M794">
        <v>0</v>
      </c>
      <c r="N794">
        <v>2400</v>
      </c>
    </row>
    <row r="795" spans="1:14" x14ac:dyDescent="0.25">
      <c r="A795">
        <v>169.10343499999999</v>
      </c>
      <c r="B795" s="1">
        <f>DATE(2010,10,17) + TIME(2,28,56)</f>
        <v>40468.103425925925</v>
      </c>
      <c r="C795">
        <v>80</v>
      </c>
      <c r="D795">
        <v>79.963088988999999</v>
      </c>
      <c r="E795">
        <v>50</v>
      </c>
      <c r="F795">
        <v>51.442199707</v>
      </c>
      <c r="G795">
        <v>1336.1903076000001</v>
      </c>
      <c r="H795">
        <v>1334.7314452999999</v>
      </c>
      <c r="I795">
        <v>1326.3859863</v>
      </c>
      <c r="J795">
        <v>1324.7225341999999</v>
      </c>
      <c r="K795">
        <v>2400</v>
      </c>
      <c r="L795">
        <v>0</v>
      </c>
      <c r="M795">
        <v>0</v>
      </c>
      <c r="N795">
        <v>2400</v>
      </c>
    </row>
    <row r="796" spans="1:14" x14ac:dyDescent="0.25">
      <c r="A796">
        <v>169.63384500000001</v>
      </c>
      <c r="B796" s="1">
        <f>DATE(2010,10,17) + TIME(15,12,44)</f>
        <v>40468.633842592593</v>
      </c>
      <c r="C796">
        <v>80</v>
      </c>
      <c r="D796">
        <v>79.963111877000003</v>
      </c>
      <c r="E796">
        <v>50</v>
      </c>
      <c r="F796">
        <v>51.519676208</v>
      </c>
      <c r="G796">
        <v>1336.1898193</v>
      </c>
      <c r="H796">
        <v>1334.7313231999999</v>
      </c>
      <c r="I796">
        <v>1326.3897704999999</v>
      </c>
      <c r="J796">
        <v>1324.7274170000001</v>
      </c>
      <c r="K796">
        <v>2400</v>
      </c>
      <c r="L796">
        <v>0</v>
      </c>
      <c r="M796">
        <v>0</v>
      </c>
      <c r="N796">
        <v>2400</v>
      </c>
    </row>
    <row r="797" spans="1:14" x14ac:dyDescent="0.25">
      <c r="A797">
        <v>170.16425599999999</v>
      </c>
      <c r="B797" s="1">
        <f>DATE(2010,10,18) + TIME(3,56,31)</f>
        <v>40469.164247685185</v>
      </c>
      <c r="C797">
        <v>80</v>
      </c>
      <c r="D797">
        <v>79.963134765999996</v>
      </c>
      <c r="E797">
        <v>50</v>
      </c>
      <c r="F797">
        <v>51.595890044999997</v>
      </c>
      <c r="G797">
        <v>1336.1894531</v>
      </c>
      <c r="H797">
        <v>1334.7312012</v>
      </c>
      <c r="I797">
        <v>1326.3936768000001</v>
      </c>
      <c r="J797">
        <v>1324.7322998</v>
      </c>
      <c r="K797">
        <v>2400</v>
      </c>
      <c r="L797">
        <v>0</v>
      </c>
      <c r="M797">
        <v>0</v>
      </c>
      <c r="N797">
        <v>2400</v>
      </c>
    </row>
    <row r="798" spans="1:14" x14ac:dyDescent="0.25">
      <c r="A798">
        <v>170.69466600000001</v>
      </c>
      <c r="B798" s="1">
        <f>DATE(2010,10,18) + TIME(16,40,19)</f>
        <v>40469.694664351853</v>
      </c>
      <c r="C798">
        <v>80</v>
      </c>
      <c r="D798">
        <v>79.963157654</v>
      </c>
      <c r="E798">
        <v>50</v>
      </c>
      <c r="F798">
        <v>51.671119689999998</v>
      </c>
      <c r="G798">
        <v>1336.1889647999999</v>
      </c>
      <c r="H798">
        <v>1334.730957</v>
      </c>
      <c r="I798">
        <v>1326.3973389</v>
      </c>
      <c r="J798">
        <v>1324.7370605000001</v>
      </c>
      <c r="K798">
        <v>2400</v>
      </c>
      <c r="L798">
        <v>0</v>
      </c>
      <c r="M798">
        <v>0</v>
      </c>
      <c r="N798">
        <v>2400</v>
      </c>
    </row>
    <row r="799" spans="1:14" x14ac:dyDescent="0.25">
      <c r="A799">
        <v>171.75548800000001</v>
      </c>
      <c r="B799" s="1">
        <f>DATE(2010,10,19) + TIME(18,7,54)</f>
        <v>40470.755486111113</v>
      </c>
      <c r="C799">
        <v>80</v>
      </c>
      <c r="D799">
        <v>79.963203429999993</v>
      </c>
      <c r="E799">
        <v>50</v>
      </c>
      <c r="F799">
        <v>51.768196105999998</v>
      </c>
      <c r="G799">
        <v>1336.1884766000001</v>
      </c>
      <c r="H799">
        <v>1334.7308350000001</v>
      </c>
      <c r="I799">
        <v>1326.401001</v>
      </c>
      <c r="J799">
        <v>1324.7421875</v>
      </c>
      <c r="K799">
        <v>2400</v>
      </c>
      <c r="L799">
        <v>0</v>
      </c>
      <c r="M799">
        <v>0</v>
      </c>
      <c r="N799">
        <v>2400</v>
      </c>
    </row>
    <row r="800" spans="1:14" x14ac:dyDescent="0.25">
      <c r="A800">
        <v>172.82058000000001</v>
      </c>
      <c r="B800" s="1">
        <f>DATE(2010,10,20) + TIME(19,41,38)</f>
        <v>40471.8205787037</v>
      </c>
      <c r="C800">
        <v>80</v>
      </c>
      <c r="D800">
        <v>79.963241577000005</v>
      </c>
      <c r="E800">
        <v>50</v>
      </c>
      <c r="F800">
        <v>51.898929596000002</v>
      </c>
      <c r="G800">
        <v>1336.1876221</v>
      </c>
      <c r="H800">
        <v>1334.7305908000001</v>
      </c>
      <c r="I800">
        <v>1326.4078368999999</v>
      </c>
      <c r="J800">
        <v>1324.75</v>
      </c>
      <c r="K800">
        <v>2400</v>
      </c>
      <c r="L800">
        <v>0</v>
      </c>
      <c r="M800">
        <v>0</v>
      </c>
      <c r="N800">
        <v>2400</v>
      </c>
    </row>
    <row r="801" spans="1:14" x14ac:dyDescent="0.25">
      <c r="A801">
        <v>173.90380099999999</v>
      </c>
      <c r="B801" s="1">
        <f>DATE(2010,10,21) + TIME(21,41,28)</f>
        <v>40472.903796296298</v>
      </c>
      <c r="C801">
        <v>80</v>
      </c>
      <c r="D801">
        <v>79.963287354000002</v>
      </c>
      <c r="E801">
        <v>50</v>
      </c>
      <c r="F801">
        <v>52.038715363000001</v>
      </c>
      <c r="G801">
        <v>1336.1866454999999</v>
      </c>
      <c r="H801">
        <v>1334.7302245999999</v>
      </c>
      <c r="I801">
        <v>1326.4150391000001</v>
      </c>
      <c r="J801">
        <v>1324.7587891000001</v>
      </c>
      <c r="K801">
        <v>2400</v>
      </c>
      <c r="L801">
        <v>0</v>
      </c>
      <c r="M801">
        <v>0</v>
      </c>
      <c r="N801">
        <v>2400</v>
      </c>
    </row>
    <row r="802" spans="1:14" x14ac:dyDescent="0.25">
      <c r="A802">
        <v>175.00553300000001</v>
      </c>
      <c r="B802" s="1">
        <f>DATE(2010,10,23) + TIME(0,7,58)</f>
        <v>40474.005532407406</v>
      </c>
      <c r="C802">
        <v>80</v>
      </c>
      <c r="D802">
        <v>79.963333129999995</v>
      </c>
      <c r="E802">
        <v>50</v>
      </c>
      <c r="F802">
        <v>52.181621552000003</v>
      </c>
      <c r="G802">
        <v>1336.1857910000001</v>
      </c>
      <c r="H802">
        <v>1334.7299805</v>
      </c>
      <c r="I802">
        <v>1326.4223632999999</v>
      </c>
      <c r="J802">
        <v>1324.7679443</v>
      </c>
      <c r="K802">
        <v>2400</v>
      </c>
      <c r="L802">
        <v>0</v>
      </c>
      <c r="M802">
        <v>0</v>
      </c>
      <c r="N802">
        <v>2400</v>
      </c>
    </row>
    <row r="803" spans="1:14" x14ac:dyDescent="0.25">
      <c r="A803">
        <v>176.117718</v>
      </c>
      <c r="B803" s="1">
        <f>DATE(2010,10,24) + TIME(2,49,30)</f>
        <v>40475.117708333331</v>
      </c>
      <c r="C803">
        <v>80</v>
      </c>
      <c r="D803">
        <v>79.963371276999993</v>
      </c>
      <c r="E803">
        <v>50</v>
      </c>
      <c r="F803">
        <v>52.325382232999999</v>
      </c>
      <c r="G803">
        <v>1336.1849365</v>
      </c>
      <c r="H803">
        <v>1334.7297363</v>
      </c>
      <c r="I803">
        <v>1326.4298096</v>
      </c>
      <c r="J803">
        <v>1324.7773437999999</v>
      </c>
      <c r="K803">
        <v>2400</v>
      </c>
      <c r="L803">
        <v>0</v>
      </c>
      <c r="M803">
        <v>0</v>
      </c>
      <c r="N803">
        <v>2400</v>
      </c>
    </row>
    <row r="804" spans="1:14" x14ac:dyDescent="0.25">
      <c r="A804">
        <v>177.24520699999999</v>
      </c>
      <c r="B804" s="1">
        <f>DATE(2010,10,25) + TIME(5,53,5)</f>
        <v>40476.245196759257</v>
      </c>
      <c r="C804">
        <v>80</v>
      </c>
      <c r="D804">
        <v>79.963417053000001</v>
      </c>
      <c r="E804">
        <v>50</v>
      </c>
      <c r="F804">
        <v>52.468975067000002</v>
      </c>
      <c r="G804">
        <v>1336.1839600000001</v>
      </c>
      <c r="H804">
        <v>1334.7293701000001</v>
      </c>
      <c r="I804">
        <v>1326.4373779</v>
      </c>
      <c r="J804">
        <v>1324.7867432</v>
      </c>
      <c r="K804">
        <v>2400</v>
      </c>
      <c r="L804">
        <v>0</v>
      </c>
      <c r="M804">
        <v>0</v>
      </c>
      <c r="N804">
        <v>2400</v>
      </c>
    </row>
    <row r="805" spans="1:14" x14ac:dyDescent="0.25">
      <c r="A805">
        <v>178.38312999999999</v>
      </c>
      <c r="B805" s="1">
        <f>DATE(2010,10,26) + TIME(9,11,42)</f>
        <v>40477.383125</v>
      </c>
      <c r="C805">
        <v>80</v>
      </c>
      <c r="D805">
        <v>79.963462829999997</v>
      </c>
      <c r="E805">
        <v>50</v>
      </c>
      <c r="F805">
        <v>52.612098693999997</v>
      </c>
      <c r="G805">
        <v>1336.1831055</v>
      </c>
      <c r="H805">
        <v>1334.729126</v>
      </c>
      <c r="I805">
        <v>1326.4449463000001</v>
      </c>
      <c r="J805">
        <v>1324.7961425999999</v>
      </c>
      <c r="K805">
        <v>2400</v>
      </c>
      <c r="L805">
        <v>0</v>
      </c>
      <c r="M805">
        <v>0</v>
      </c>
      <c r="N805">
        <v>2400</v>
      </c>
    </row>
    <row r="806" spans="1:14" x14ac:dyDescent="0.25">
      <c r="A806">
        <v>178.957593</v>
      </c>
      <c r="B806" s="1">
        <f>DATE(2010,10,26) + TIME(22,58,56)</f>
        <v>40477.957592592589</v>
      </c>
      <c r="C806">
        <v>80</v>
      </c>
      <c r="D806">
        <v>79.963478088000002</v>
      </c>
      <c r="E806">
        <v>50</v>
      </c>
      <c r="F806">
        <v>52.722774506</v>
      </c>
      <c r="G806">
        <v>1336.182251</v>
      </c>
      <c r="H806">
        <v>1334.7288818</v>
      </c>
      <c r="I806">
        <v>1326.4527588000001</v>
      </c>
      <c r="J806">
        <v>1324.8051757999999</v>
      </c>
      <c r="K806">
        <v>2400</v>
      </c>
      <c r="L806">
        <v>0</v>
      </c>
      <c r="M806">
        <v>0</v>
      </c>
      <c r="N806">
        <v>2400</v>
      </c>
    </row>
    <row r="807" spans="1:14" x14ac:dyDescent="0.25">
      <c r="A807">
        <v>179.53119699999999</v>
      </c>
      <c r="B807" s="1">
        <f>DATE(2010,10,27) + TIME(12,44,55)</f>
        <v>40478.531192129631</v>
      </c>
      <c r="C807">
        <v>80</v>
      </c>
      <c r="D807">
        <v>79.963500976999995</v>
      </c>
      <c r="E807">
        <v>50</v>
      </c>
      <c r="F807">
        <v>52.811218261999997</v>
      </c>
      <c r="G807">
        <v>1336.1817627</v>
      </c>
      <c r="H807">
        <v>1334.7287598</v>
      </c>
      <c r="I807">
        <v>1326.4570312000001</v>
      </c>
      <c r="J807">
        <v>1324.8111572</v>
      </c>
      <c r="K807">
        <v>2400</v>
      </c>
      <c r="L807">
        <v>0</v>
      </c>
      <c r="M807">
        <v>0</v>
      </c>
      <c r="N807">
        <v>2400</v>
      </c>
    </row>
    <row r="808" spans="1:14" x14ac:dyDescent="0.25">
      <c r="A808">
        <v>180.10410100000001</v>
      </c>
      <c r="B808" s="1">
        <f>DATE(2010,10,28) + TIME(2,29,54)</f>
        <v>40479.104097222225</v>
      </c>
      <c r="C808">
        <v>80</v>
      </c>
      <c r="D808">
        <v>79.963523864999999</v>
      </c>
      <c r="E808">
        <v>50</v>
      </c>
      <c r="F808">
        <v>52.889522552000003</v>
      </c>
      <c r="G808">
        <v>1336.1813964999999</v>
      </c>
      <c r="H808">
        <v>1334.7286377</v>
      </c>
      <c r="I808">
        <v>1326.4610596</v>
      </c>
      <c r="J808">
        <v>1324.8166504000001</v>
      </c>
      <c r="K808">
        <v>2400</v>
      </c>
      <c r="L808">
        <v>0</v>
      </c>
      <c r="M808">
        <v>0</v>
      </c>
      <c r="N808">
        <v>2400</v>
      </c>
    </row>
    <row r="809" spans="1:14" x14ac:dyDescent="0.25">
      <c r="A809">
        <v>180.676986</v>
      </c>
      <c r="B809" s="1">
        <f>DATE(2010,10,28) + TIME(16,14,51)</f>
        <v>40479.676979166667</v>
      </c>
      <c r="C809">
        <v>80</v>
      </c>
      <c r="D809">
        <v>79.963546753000003</v>
      </c>
      <c r="E809">
        <v>50</v>
      </c>
      <c r="F809">
        <v>52.962959290000001</v>
      </c>
      <c r="G809">
        <v>1336.1809082</v>
      </c>
      <c r="H809">
        <v>1334.7285156</v>
      </c>
      <c r="I809">
        <v>1326.4649658000001</v>
      </c>
      <c r="J809">
        <v>1324.8216553</v>
      </c>
      <c r="K809">
        <v>2400</v>
      </c>
      <c r="L809">
        <v>0</v>
      </c>
      <c r="M809">
        <v>0</v>
      </c>
      <c r="N809">
        <v>2400</v>
      </c>
    </row>
    <row r="810" spans="1:14" x14ac:dyDescent="0.25">
      <c r="A810">
        <v>181.24987200000001</v>
      </c>
      <c r="B810" s="1">
        <f>DATE(2010,10,29) + TIME(5,59,48)</f>
        <v>40480.249861111108</v>
      </c>
      <c r="C810">
        <v>80</v>
      </c>
      <c r="D810">
        <v>79.963569641000007</v>
      </c>
      <c r="E810">
        <v>50</v>
      </c>
      <c r="F810">
        <v>53.033836364999999</v>
      </c>
      <c r="G810">
        <v>1336.1805420000001</v>
      </c>
      <c r="H810">
        <v>1334.7282714999999</v>
      </c>
      <c r="I810">
        <v>1326.46875</v>
      </c>
      <c r="J810">
        <v>1324.8265381000001</v>
      </c>
      <c r="K810">
        <v>2400</v>
      </c>
      <c r="L810">
        <v>0</v>
      </c>
      <c r="M810">
        <v>0</v>
      </c>
      <c r="N810">
        <v>2400</v>
      </c>
    </row>
    <row r="811" spans="1:14" x14ac:dyDescent="0.25">
      <c r="A811">
        <v>182.395644</v>
      </c>
      <c r="B811" s="1">
        <f>DATE(2010,10,30) + TIME(9,29,43)</f>
        <v>40481.395636574074</v>
      </c>
      <c r="C811">
        <v>80</v>
      </c>
      <c r="D811">
        <v>79.963615417</v>
      </c>
      <c r="E811">
        <v>50</v>
      </c>
      <c r="F811">
        <v>53.123081206999998</v>
      </c>
      <c r="G811">
        <v>1336.1800536999999</v>
      </c>
      <c r="H811">
        <v>1334.7282714999999</v>
      </c>
      <c r="I811">
        <v>1326.4724120999999</v>
      </c>
      <c r="J811">
        <v>1324.8316649999999</v>
      </c>
      <c r="K811">
        <v>2400</v>
      </c>
      <c r="L811">
        <v>0</v>
      </c>
      <c r="M811">
        <v>0</v>
      </c>
      <c r="N811">
        <v>2400</v>
      </c>
    </row>
    <row r="812" spans="1:14" x14ac:dyDescent="0.25">
      <c r="A812">
        <v>183.54297700000001</v>
      </c>
      <c r="B812" s="1">
        <f>DATE(2010,10,31) + TIME(13,1,53)</f>
        <v>40482.542974537035</v>
      </c>
      <c r="C812">
        <v>80</v>
      </c>
      <c r="D812">
        <v>79.963661193999997</v>
      </c>
      <c r="E812">
        <v>50</v>
      </c>
      <c r="F812">
        <v>53.244506835999999</v>
      </c>
      <c r="G812">
        <v>1336.1791992000001</v>
      </c>
      <c r="H812">
        <v>1334.7279053</v>
      </c>
      <c r="I812">
        <v>1326.4792480000001</v>
      </c>
      <c r="J812">
        <v>1324.8393555</v>
      </c>
      <c r="K812">
        <v>2400</v>
      </c>
      <c r="L812">
        <v>0</v>
      </c>
      <c r="M812">
        <v>0</v>
      </c>
      <c r="N812">
        <v>2400</v>
      </c>
    </row>
    <row r="813" spans="1:14" x14ac:dyDescent="0.25">
      <c r="A813">
        <v>184</v>
      </c>
      <c r="B813" s="1">
        <f>DATE(2010,11,1) + TIME(0,0,0)</f>
        <v>40483</v>
      </c>
      <c r="C813">
        <v>80</v>
      </c>
      <c r="D813">
        <v>79.963676453000005</v>
      </c>
      <c r="E813">
        <v>50</v>
      </c>
      <c r="F813">
        <v>53.334365845000001</v>
      </c>
      <c r="G813">
        <v>1336.1783447</v>
      </c>
      <c r="H813">
        <v>1334.7276611</v>
      </c>
      <c r="I813">
        <v>1326.4866943</v>
      </c>
      <c r="J813">
        <v>1324.8474120999999</v>
      </c>
      <c r="K813">
        <v>2400</v>
      </c>
      <c r="L813">
        <v>0</v>
      </c>
      <c r="M813">
        <v>0</v>
      </c>
      <c r="N813">
        <v>2400</v>
      </c>
    </row>
    <row r="814" spans="1:14" x14ac:dyDescent="0.25">
      <c r="A814">
        <v>184.000001</v>
      </c>
      <c r="B814" s="1">
        <f>DATE(2010,11,1) + TIME(0,0,0)</f>
        <v>40483</v>
      </c>
      <c r="C814">
        <v>80</v>
      </c>
      <c r="D814">
        <v>79.963592528999996</v>
      </c>
      <c r="E814">
        <v>50</v>
      </c>
      <c r="F814">
        <v>53.334476471000002</v>
      </c>
      <c r="G814">
        <v>1334.1512451000001</v>
      </c>
      <c r="H814">
        <v>1333.973999</v>
      </c>
      <c r="I814">
        <v>1328.8161620999999</v>
      </c>
      <c r="J814">
        <v>1327.3801269999999</v>
      </c>
      <c r="K814">
        <v>0</v>
      </c>
      <c r="L814">
        <v>2400</v>
      </c>
      <c r="M814">
        <v>2400</v>
      </c>
      <c r="N814">
        <v>0</v>
      </c>
    </row>
    <row r="815" spans="1:14" x14ac:dyDescent="0.25">
      <c r="A815">
        <v>184.00000399999999</v>
      </c>
      <c r="B815" s="1">
        <f>DATE(2010,11,1) + TIME(0,0,0)</f>
        <v>40483</v>
      </c>
      <c r="C815">
        <v>80</v>
      </c>
      <c r="D815">
        <v>79.963508606000005</v>
      </c>
      <c r="E815">
        <v>50</v>
      </c>
      <c r="F815">
        <v>53.334587096999996</v>
      </c>
      <c r="G815">
        <v>1333.5614014</v>
      </c>
      <c r="H815">
        <v>1333.3756103999999</v>
      </c>
      <c r="I815">
        <v>1329.7520752</v>
      </c>
      <c r="J815">
        <v>1328.3806152</v>
      </c>
      <c r="K815">
        <v>0</v>
      </c>
      <c r="L815">
        <v>2400</v>
      </c>
      <c r="M815">
        <v>2400</v>
      </c>
      <c r="N815">
        <v>0</v>
      </c>
    </row>
    <row r="816" spans="1:14" x14ac:dyDescent="0.25">
      <c r="A816">
        <v>184.000013</v>
      </c>
      <c r="B816" s="1">
        <f>DATE(2010,11,1) + TIME(0,0,1)</f>
        <v>40483.000011574077</v>
      </c>
      <c r="C816">
        <v>80</v>
      </c>
      <c r="D816">
        <v>79.963432311999995</v>
      </c>
      <c r="E816">
        <v>50</v>
      </c>
      <c r="F816">
        <v>53.334655761999997</v>
      </c>
      <c r="G816">
        <v>1333.010376</v>
      </c>
      <c r="H816">
        <v>1332.7923584</v>
      </c>
      <c r="I816">
        <v>1330.7774658000001</v>
      </c>
      <c r="J816">
        <v>1329.3734131000001</v>
      </c>
      <c r="K816">
        <v>0</v>
      </c>
      <c r="L816">
        <v>2400</v>
      </c>
      <c r="M816">
        <v>2400</v>
      </c>
      <c r="N816">
        <v>0</v>
      </c>
    </row>
    <row r="817" spans="1:14" x14ac:dyDescent="0.25">
      <c r="A817">
        <v>184.00004000000001</v>
      </c>
      <c r="B817" s="1">
        <f>DATE(2010,11,1) + TIME(0,0,3)</f>
        <v>40483.000034722223</v>
      </c>
      <c r="C817">
        <v>80</v>
      </c>
      <c r="D817">
        <v>79.963348389000004</v>
      </c>
      <c r="E817">
        <v>50</v>
      </c>
      <c r="F817">
        <v>53.334606170999997</v>
      </c>
      <c r="G817">
        <v>1332.4631348</v>
      </c>
      <c r="H817">
        <v>1332.2099608999999</v>
      </c>
      <c r="I817">
        <v>1331.7805175999999</v>
      </c>
      <c r="J817">
        <v>1330.3411865</v>
      </c>
      <c r="K817">
        <v>0</v>
      </c>
      <c r="L817">
        <v>2400</v>
      </c>
      <c r="M817">
        <v>2400</v>
      </c>
      <c r="N817">
        <v>0</v>
      </c>
    </row>
    <row r="818" spans="1:14" x14ac:dyDescent="0.25">
      <c r="A818">
        <v>184.00012100000001</v>
      </c>
      <c r="B818" s="1">
        <f>DATE(2010,11,1) + TIME(0,0,10)</f>
        <v>40483.000115740739</v>
      </c>
      <c r="C818">
        <v>80</v>
      </c>
      <c r="D818">
        <v>79.963256835999999</v>
      </c>
      <c r="E818">
        <v>50</v>
      </c>
      <c r="F818">
        <v>53.334190368999998</v>
      </c>
      <c r="G818">
        <v>1331.8889160000001</v>
      </c>
      <c r="H818">
        <v>1331.6021728999999</v>
      </c>
      <c r="I818">
        <v>1332.7592772999999</v>
      </c>
      <c r="J818">
        <v>1331.2863769999999</v>
      </c>
      <c r="K818">
        <v>0</v>
      </c>
      <c r="L818">
        <v>2400</v>
      </c>
      <c r="M818">
        <v>2400</v>
      </c>
      <c r="N818">
        <v>0</v>
      </c>
    </row>
    <row r="819" spans="1:14" x14ac:dyDescent="0.25">
      <c r="A819">
        <v>184.00036399999999</v>
      </c>
      <c r="B819" s="1">
        <f>DATE(2010,11,1) + TIME(0,0,31)</f>
        <v>40483.000358796293</v>
      </c>
      <c r="C819">
        <v>80</v>
      </c>
      <c r="D819">
        <v>79.963127135999997</v>
      </c>
      <c r="E819">
        <v>50</v>
      </c>
      <c r="F819">
        <v>53.33265686</v>
      </c>
      <c r="G819">
        <v>1331.307251</v>
      </c>
      <c r="H819">
        <v>1330.9898682</v>
      </c>
      <c r="I819">
        <v>1333.6857910000001</v>
      </c>
      <c r="J819">
        <v>1332.1740723</v>
      </c>
      <c r="K819">
        <v>0</v>
      </c>
      <c r="L819">
        <v>2400</v>
      </c>
      <c r="M819">
        <v>2400</v>
      </c>
      <c r="N819">
        <v>0</v>
      </c>
    </row>
    <row r="820" spans="1:14" x14ac:dyDescent="0.25">
      <c r="A820">
        <v>184.001093</v>
      </c>
      <c r="B820" s="1">
        <f>DATE(2010,11,1) + TIME(0,1,34)</f>
        <v>40483.001087962963</v>
      </c>
      <c r="C820">
        <v>80</v>
      </c>
      <c r="D820">
        <v>79.962936400999993</v>
      </c>
      <c r="E820">
        <v>50</v>
      </c>
      <c r="F820">
        <v>53.327690124999997</v>
      </c>
      <c r="G820">
        <v>1330.8182373</v>
      </c>
      <c r="H820">
        <v>1330.4769286999999</v>
      </c>
      <c r="I820">
        <v>1334.4307861</v>
      </c>
      <c r="J820">
        <v>1332.8813477000001</v>
      </c>
      <c r="K820">
        <v>0</v>
      </c>
      <c r="L820">
        <v>2400</v>
      </c>
      <c r="M820">
        <v>2400</v>
      </c>
      <c r="N820">
        <v>0</v>
      </c>
    </row>
    <row r="821" spans="1:14" x14ac:dyDescent="0.25">
      <c r="A821">
        <v>184.00327999999999</v>
      </c>
      <c r="B821" s="1">
        <f>DATE(2010,11,1) + TIME(0,4,43)</f>
        <v>40483.003275462965</v>
      </c>
      <c r="C821">
        <v>80</v>
      </c>
      <c r="D821">
        <v>79.962516785000005</v>
      </c>
      <c r="E821">
        <v>50</v>
      </c>
      <c r="F821">
        <v>53.312446594000001</v>
      </c>
      <c r="G821">
        <v>1330.5391846</v>
      </c>
      <c r="H821">
        <v>1330.1864014</v>
      </c>
      <c r="I821">
        <v>1334.8380127</v>
      </c>
      <c r="J821">
        <v>1333.2678223</v>
      </c>
      <c r="K821">
        <v>0</v>
      </c>
      <c r="L821">
        <v>2400</v>
      </c>
      <c r="M821">
        <v>2400</v>
      </c>
      <c r="N821">
        <v>0</v>
      </c>
    </row>
    <row r="822" spans="1:14" x14ac:dyDescent="0.25">
      <c r="A822">
        <v>184.00984099999999</v>
      </c>
      <c r="B822" s="1">
        <f>DATE(2010,11,1) + TIME(0,14,10)</f>
        <v>40483.009837962964</v>
      </c>
      <c r="C822">
        <v>80</v>
      </c>
      <c r="D822">
        <v>79.961380004999995</v>
      </c>
      <c r="E822">
        <v>50</v>
      </c>
      <c r="F822">
        <v>53.267169952000003</v>
      </c>
      <c r="G822">
        <v>1330.4576416</v>
      </c>
      <c r="H822">
        <v>1330.1018065999999</v>
      </c>
      <c r="I822">
        <v>1334.9438477000001</v>
      </c>
      <c r="J822">
        <v>1333.3713379000001</v>
      </c>
      <c r="K822">
        <v>0</v>
      </c>
      <c r="L822">
        <v>2400</v>
      </c>
      <c r="M822">
        <v>2400</v>
      </c>
      <c r="N822">
        <v>0</v>
      </c>
    </row>
    <row r="823" spans="1:14" x14ac:dyDescent="0.25">
      <c r="A823">
        <v>184.02952400000001</v>
      </c>
      <c r="B823" s="1">
        <f>DATE(2010,11,1) + TIME(0,42,30)</f>
        <v>40483.029513888891</v>
      </c>
      <c r="C823">
        <v>80</v>
      </c>
      <c r="D823">
        <v>79.958007812000005</v>
      </c>
      <c r="E823">
        <v>50</v>
      </c>
      <c r="F823">
        <v>53.137672424000002</v>
      </c>
      <c r="G823">
        <v>1330.4461670000001</v>
      </c>
      <c r="H823">
        <v>1330.0888672000001</v>
      </c>
      <c r="I823">
        <v>1334.9315185999999</v>
      </c>
      <c r="J823">
        <v>1333.3686522999999</v>
      </c>
      <c r="K823">
        <v>0</v>
      </c>
      <c r="L823">
        <v>2400</v>
      </c>
      <c r="M823">
        <v>2400</v>
      </c>
      <c r="N823">
        <v>0</v>
      </c>
    </row>
    <row r="824" spans="1:14" x14ac:dyDescent="0.25">
      <c r="A824">
        <v>184.05959799999999</v>
      </c>
      <c r="B824" s="1">
        <f>DATE(2010,11,1) + TIME(1,25,49)</f>
        <v>40483.059594907405</v>
      </c>
      <c r="C824">
        <v>80</v>
      </c>
      <c r="D824">
        <v>79.952903747999997</v>
      </c>
      <c r="E824">
        <v>50</v>
      </c>
      <c r="F824">
        <v>52.952781676999997</v>
      </c>
      <c r="G824">
        <v>1330.4407959</v>
      </c>
      <c r="H824">
        <v>1330.0806885</v>
      </c>
      <c r="I824">
        <v>1334.90625</v>
      </c>
      <c r="J824">
        <v>1333.354126</v>
      </c>
      <c r="K824">
        <v>0</v>
      </c>
      <c r="L824">
        <v>2400</v>
      </c>
      <c r="M824">
        <v>2400</v>
      </c>
      <c r="N824">
        <v>0</v>
      </c>
    </row>
    <row r="825" spans="1:14" x14ac:dyDescent="0.25">
      <c r="A825">
        <v>184.09051199999999</v>
      </c>
      <c r="B825" s="1">
        <f>DATE(2010,11,1) + TIME(2,10,20)</f>
        <v>40483.090509259258</v>
      </c>
      <c r="C825">
        <v>80</v>
      </c>
      <c r="D825">
        <v>79.947662354000002</v>
      </c>
      <c r="E825">
        <v>50</v>
      </c>
      <c r="F825">
        <v>52.774684905999997</v>
      </c>
      <c r="G825">
        <v>1330.4339600000001</v>
      </c>
      <c r="H825">
        <v>1330.0703125</v>
      </c>
      <c r="I825">
        <v>1334.8929443</v>
      </c>
      <c r="J825">
        <v>1333.3465576000001</v>
      </c>
      <c r="K825">
        <v>0</v>
      </c>
      <c r="L825">
        <v>2400</v>
      </c>
      <c r="M825">
        <v>2400</v>
      </c>
      <c r="N825">
        <v>0</v>
      </c>
    </row>
    <row r="826" spans="1:14" x14ac:dyDescent="0.25">
      <c r="A826">
        <v>184.12227100000001</v>
      </c>
      <c r="B826" s="1">
        <f>DATE(2010,11,1) + TIME(2,56,4)</f>
        <v>40483.12226851852</v>
      </c>
      <c r="C826">
        <v>80</v>
      </c>
      <c r="D826">
        <v>79.942283630000006</v>
      </c>
      <c r="E826">
        <v>50</v>
      </c>
      <c r="F826">
        <v>52.603351592999999</v>
      </c>
      <c r="G826">
        <v>1330.427124</v>
      </c>
      <c r="H826">
        <v>1330.0598144999999</v>
      </c>
      <c r="I826">
        <v>1334.8826904</v>
      </c>
      <c r="J826">
        <v>1333.3409423999999</v>
      </c>
      <c r="K826">
        <v>0</v>
      </c>
      <c r="L826">
        <v>2400</v>
      </c>
      <c r="M826">
        <v>2400</v>
      </c>
      <c r="N826">
        <v>0</v>
      </c>
    </row>
    <row r="827" spans="1:14" x14ac:dyDescent="0.25">
      <c r="A827">
        <v>184.15486100000001</v>
      </c>
      <c r="B827" s="1">
        <f>DATE(2010,11,1) + TIME(3,42,59)</f>
        <v>40483.154849537037</v>
      </c>
      <c r="C827">
        <v>80</v>
      </c>
      <c r="D827">
        <v>79.936775208</v>
      </c>
      <c r="E827">
        <v>50</v>
      </c>
      <c r="F827">
        <v>52.438812255999999</v>
      </c>
      <c r="G827">
        <v>1330.4202881000001</v>
      </c>
      <c r="H827">
        <v>1330.0494385</v>
      </c>
      <c r="I827">
        <v>1334.8754882999999</v>
      </c>
      <c r="J827">
        <v>1333.3372803</v>
      </c>
      <c r="K827">
        <v>0</v>
      </c>
      <c r="L827">
        <v>2400</v>
      </c>
      <c r="M827">
        <v>2400</v>
      </c>
      <c r="N827">
        <v>0</v>
      </c>
    </row>
    <row r="828" spans="1:14" x14ac:dyDescent="0.25">
      <c r="A828">
        <v>184.18831</v>
      </c>
      <c r="B828" s="1">
        <f>DATE(2010,11,1) + TIME(4,31,9)</f>
        <v>40483.188298611109</v>
      </c>
      <c r="C828">
        <v>80</v>
      </c>
      <c r="D828">
        <v>79.931137085000003</v>
      </c>
      <c r="E828">
        <v>50</v>
      </c>
      <c r="F828">
        <v>52.280876159999998</v>
      </c>
      <c r="G828">
        <v>1330.4134521000001</v>
      </c>
      <c r="H828">
        <v>1330.0389404</v>
      </c>
      <c r="I828">
        <v>1334.8710937999999</v>
      </c>
      <c r="J828">
        <v>1333.3354492000001</v>
      </c>
      <c r="K828">
        <v>0</v>
      </c>
      <c r="L828">
        <v>2400</v>
      </c>
      <c r="M828">
        <v>2400</v>
      </c>
      <c r="N828">
        <v>0</v>
      </c>
    </row>
    <row r="829" spans="1:14" x14ac:dyDescent="0.25">
      <c r="A829">
        <v>184.22265300000001</v>
      </c>
      <c r="B829" s="1">
        <f>DATE(2010,11,1) + TIME(5,20,37)</f>
        <v>40483.222650462965</v>
      </c>
      <c r="C829">
        <v>80</v>
      </c>
      <c r="D829">
        <v>79.925361632999994</v>
      </c>
      <c r="E829">
        <v>50</v>
      </c>
      <c r="F829">
        <v>52.129367827999999</v>
      </c>
      <c r="G829">
        <v>1330.4066161999999</v>
      </c>
      <c r="H829">
        <v>1330.0285644999999</v>
      </c>
      <c r="I829">
        <v>1334.8693848</v>
      </c>
      <c r="J829">
        <v>1333.3353271000001</v>
      </c>
      <c r="K829">
        <v>0</v>
      </c>
      <c r="L829">
        <v>2400</v>
      </c>
      <c r="M829">
        <v>2400</v>
      </c>
      <c r="N829">
        <v>0</v>
      </c>
    </row>
    <row r="830" spans="1:14" x14ac:dyDescent="0.25">
      <c r="A830">
        <v>184.257927</v>
      </c>
      <c r="B830" s="1">
        <f>DATE(2010,11,1) + TIME(6,11,24)</f>
        <v>40483.257916666669</v>
      </c>
      <c r="C830">
        <v>80</v>
      </c>
      <c r="D830">
        <v>79.919441223000007</v>
      </c>
      <c r="E830">
        <v>50</v>
      </c>
      <c r="F830">
        <v>51.984123230000002</v>
      </c>
      <c r="G830">
        <v>1330.3997803</v>
      </c>
      <c r="H830">
        <v>1330.0180664</v>
      </c>
      <c r="I830">
        <v>1334.8703613</v>
      </c>
      <c r="J830">
        <v>1333.3367920000001</v>
      </c>
      <c r="K830">
        <v>0</v>
      </c>
      <c r="L830">
        <v>2400</v>
      </c>
      <c r="M830">
        <v>2400</v>
      </c>
      <c r="N830">
        <v>0</v>
      </c>
    </row>
    <row r="831" spans="1:14" x14ac:dyDescent="0.25">
      <c r="A831">
        <v>184.294185</v>
      </c>
      <c r="B831" s="1">
        <f>DATE(2010,11,1) + TIME(7,3,37)</f>
        <v>40483.294178240743</v>
      </c>
      <c r="C831">
        <v>80</v>
      </c>
      <c r="D831">
        <v>79.913368224999999</v>
      </c>
      <c r="E831">
        <v>50</v>
      </c>
      <c r="F831">
        <v>51.844943999999998</v>
      </c>
      <c r="G831">
        <v>1330.3929443</v>
      </c>
      <c r="H831">
        <v>1330.0075684000001</v>
      </c>
      <c r="I831">
        <v>1334.8737793</v>
      </c>
      <c r="J831">
        <v>1333.3399658000001</v>
      </c>
      <c r="K831">
        <v>0</v>
      </c>
      <c r="L831">
        <v>2400</v>
      </c>
      <c r="M831">
        <v>2400</v>
      </c>
      <c r="N831">
        <v>0</v>
      </c>
    </row>
    <row r="832" spans="1:14" x14ac:dyDescent="0.25">
      <c r="A832">
        <v>184.33149900000001</v>
      </c>
      <c r="B832" s="1">
        <f>DATE(2010,11,1) + TIME(7,57,21)</f>
        <v>40483.331493055557</v>
      </c>
      <c r="C832">
        <v>80</v>
      </c>
      <c r="D832">
        <v>79.907142639</v>
      </c>
      <c r="E832">
        <v>50</v>
      </c>
      <c r="F832">
        <v>51.711608886999997</v>
      </c>
      <c r="G832">
        <v>1330.3861084</v>
      </c>
      <c r="H832">
        <v>1329.9970702999999</v>
      </c>
      <c r="I832">
        <v>1334.8795166</v>
      </c>
      <c r="J832">
        <v>1333.3447266000001</v>
      </c>
      <c r="K832">
        <v>0</v>
      </c>
      <c r="L832">
        <v>2400</v>
      </c>
      <c r="M832">
        <v>2400</v>
      </c>
      <c r="N832">
        <v>0</v>
      </c>
    </row>
    <row r="833" spans="1:14" x14ac:dyDescent="0.25">
      <c r="A833">
        <v>184.36992900000001</v>
      </c>
      <c r="B833" s="1">
        <f>DATE(2010,11,1) + TIME(8,52,41)</f>
        <v>40483.36991898148</v>
      </c>
      <c r="C833">
        <v>80</v>
      </c>
      <c r="D833">
        <v>79.900749207000004</v>
      </c>
      <c r="E833">
        <v>50</v>
      </c>
      <c r="F833">
        <v>51.583992004000002</v>
      </c>
      <c r="G833">
        <v>1330.3792725000001</v>
      </c>
      <c r="H833">
        <v>1329.9864502</v>
      </c>
      <c r="I833">
        <v>1334.8875731999999</v>
      </c>
      <c r="J833">
        <v>1333.3508300999999</v>
      </c>
      <c r="K833">
        <v>0</v>
      </c>
      <c r="L833">
        <v>2400</v>
      </c>
      <c r="M833">
        <v>2400</v>
      </c>
      <c r="N833">
        <v>0</v>
      </c>
    </row>
    <row r="834" spans="1:14" x14ac:dyDescent="0.25">
      <c r="A834">
        <v>184.40957700000001</v>
      </c>
      <c r="B834" s="1">
        <f>DATE(2010,11,1) + TIME(9,49,47)</f>
        <v>40483.409571759257</v>
      </c>
      <c r="C834">
        <v>80</v>
      </c>
      <c r="D834">
        <v>79.894172667999996</v>
      </c>
      <c r="E834">
        <v>50</v>
      </c>
      <c r="F834">
        <v>51.461872100999997</v>
      </c>
      <c r="G834">
        <v>1330.3723144999999</v>
      </c>
      <c r="H834">
        <v>1329.9758300999999</v>
      </c>
      <c r="I834">
        <v>1334.8977050999999</v>
      </c>
      <c r="J834">
        <v>1333.3582764</v>
      </c>
      <c r="K834">
        <v>0</v>
      </c>
      <c r="L834">
        <v>2400</v>
      </c>
      <c r="M834">
        <v>2400</v>
      </c>
      <c r="N834">
        <v>0</v>
      </c>
    </row>
    <row r="835" spans="1:14" x14ac:dyDescent="0.25">
      <c r="A835">
        <v>184.45054999999999</v>
      </c>
      <c r="B835" s="1">
        <f>DATE(2010,11,1) + TIME(10,48,47)</f>
        <v>40483.450543981482</v>
      </c>
      <c r="C835">
        <v>80</v>
      </c>
      <c r="D835">
        <v>79.887397766000007</v>
      </c>
      <c r="E835">
        <v>50</v>
      </c>
      <c r="F835">
        <v>51.345077515</v>
      </c>
      <c r="G835">
        <v>1330.3652344</v>
      </c>
      <c r="H835">
        <v>1329.9650879000001</v>
      </c>
      <c r="I835">
        <v>1334.9099120999999</v>
      </c>
      <c r="J835">
        <v>1333.3670654</v>
      </c>
      <c r="K835">
        <v>0</v>
      </c>
      <c r="L835">
        <v>2400</v>
      </c>
      <c r="M835">
        <v>2400</v>
      </c>
      <c r="N835">
        <v>0</v>
      </c>
    </row>
    <row r="836" spans="1:14" x14ac:dyDescent="0.25">
      <c r="A836">
        <v>184.492964</v>
      </c>
      <c r="B836" s="1">
        <f>DATE(2010,11,1) + TIME(11,49,52)</f>
        <v>40483.492962962962</v>
      </c>
      <c r="C836">
        <v>80</v>
      </c>
      <c r="D836">
        <v>79.880416870000005</v>
      </c>
      <c r="E836">
        <v>50</v>
      </c>
      <c r="F836">
        <v>51.233470916999998</v>
      </c>
      <c r="G836">
        <v>1330.3582764</v>
      </c>
      <c r="H836">
        <v>1329.9543457</v>
      </c>
      <c r="I836">
        <v>1334.9239502</v>
      </c>
      <c r="J836">
        <v>1333.3770752</v>
      </c>
      <c r="K836">
        <v>0</v>
      </c>
      <c r="L836">
        <v>2400</v>
      </c>
      <c r="M836">
        <v>2400</v>
      </c>
      <c r="N836">
        <v>0</v>
      </c>
    </row>
    <row r="837" spans="1:14" x14ac:dyDescent="0.25">
      <c r="A837">
        <v>184.53694899999999</v>
      </c>
      <c r="B837" s="1">
        <f>DATE(2010,11,1) + TIME(12,53,12)</f>
        <v>40483.536944444444</v>
      </c>
      <c r="C837">
        <v>80</v>
      </c>
      <c r="D837">
        <v>79.873199463000006</v>
      </c>
      <c r="E837">
        <v>50</v>
      </c>
      <c r="F837">
        <v>51.126937865999999</v>
      </c>
      <c r="G837">
        <v>1330.3510742000001</v>
      </c>
      <c r="H837">
        <v>1329.9434814000001</v>
      </c>
      <c r="I837">
        <v>1334.9398193</v>
      </c>
      <c r="J837">
        <v>1333.3883057</v>
      </c>
      <c r="K837">
        <v>0</v>
      </c>
      <c r="L837">
        <v>2400</v>
      </c>
      <c r="M837">
        <v>2400</v>
      </c>
      <c r="N837">
        <v>0</v>
      </c>
    </row>
    <row r="838" spans="1:14" x14ac:dyDescent="0.25">
      <c r="A838">
        <v>184.58265</v>
      </c>
      <c r="B838" s="1">
        <f>DATE(2010,11,1) + TIME(13,59,0)</f>
        <v>40483.582638888889</v>
      </c>
      <c r="C838">
        <v>80</v>
      </c>
      <c r="D838">
        <v>79.865737914999997</v>
      </c>
      <c r="E838">
        <v>50</v>
      </c>
      <c r="F838">
        <v>51.025382995999998</v>
      </c>
      <c r="G838">
        <v>1330.3438721</v>
      </c>
      <c r="H838">
        <v>1329.9323730000001</v>
      </c>
      <c r="I838">
        <v>1334.9573975000001</v>
      </c>
      <c r="J838">
        <v>1333.4006348</v>
      </c>
      <c r="K838">
        <v>0</v>
      </c>
      <c r="L838">
        <v>2400</v>
      </c>
      <c r="M838">
        <v>2400</v>
      </c>
      <c r="N838">
        <v>0</v>
      </c>
    </row>
    <row r="839" spans="1:14" x14ac:dyDescent="0.25">
      <c r="A839">
        <v>184.63023999999999</v>
      </c>
      <c r="B839" s="1">
        <f>DATE(2010,11,1) + TIME(15,7,32)</f>
        <v>40483.630231481482</v>
      </c>
      <c r="C839">
        <v>80</v>
      </c>
      <c r="D839">
        <v>79.858009338000002</v>
      </c>
      <c r="E839">
        <v>50</v>
      </c>
      <c r="F839">
        <v>50.928714751999998</v>
      </c>
      <c r="G839">
        <v>1330.3365478999999</v>
      </c>
      <c r="H839">
        <v>1329.9212646000001</v>
      </c>
      <c r="I839">
        <v>1334.9765625</v>
      </c>
      <c r="J839">
        <v>1333.4139404</v>
      </c>
      <c r="K839">
        <v>0</v>
      </c>
      <c r="L839">
        <v>2400</v>
      </c>
      <c r="M839">
        <v>2400</v>
      </c>
      <c r="N839">
        <v>0</v>
      </c>
    </row>
    <row r="840" spans="1:14" x14ac:dyDescent="0.25">
      <c r="A840">
        <v>184.679923</v>
      </c>
      <c r="B840" s="1">
        <f>DATE(2010,11,1) + TIME(16,19,5)</f>
        <v>40483.679918981485</v>
      </c>
      <c r="C840">
        <v>80</v>
      </c>
      <c r="D840">
        <v>79.849975585999999</v>
      </c>
      <c r="E840">
        <v>50</v>
      </c>
      <c r="F840">
        <v>50.836853026999997</v>
      </c>
      <c r="G840">
        <v>1330.3291016000001</v>
      </c>
      <c r="H840">
        <v>1329.9097899999999</v>
      </c>
      <c r="I840">
        <v>1334.9971923999999</v>
      </c>
      <c r="J840">
        <v>1333.4282227000001</v>
      </c>
      <c r="K840">
        <v>0</v>
      </c>
      <c r="L840">
        <v>2400</v>
      </c>
      <c r="M840">
        <v>2400</v>
      </c>
      <c r="N840">
        <v>0</v>
      </c>
    </row>
    <row r="841" spans="1:14" x14ac:dyDescent="0.25">
      <c r="A841">
        <v>184.731932</v>
      </c>
      <c r="B841" s="1">
        <f>DATE(2010,11,1) + TIME(17,33,58)</f>
        <v>40483.731921296298</v>
      </c>
      <c r="C841">
        <v>80</v>
      </c>
      <c r="D841">
        <v>79.841613769999995</v>
      </c>
      <c r="E841">
        <v>50</v>
      </c>
      <c r="F841">
        <v>50.749732971</v>
      </c>
      <c r="G841">
        <v>1330.3214111</v>
      </c>
      <c r="H841">
        <v>1329.8981934000001</v>
      </c>
      <c r="I841">
        <v>1335.0191649999999</v>
      </c>
      <c r="J841">
        <v>1333.4434814000001</v>
      </c>
      <c r="K841">
        <v>0</v>
      </c>
      <c r="L841">
        <v>2400</v>
      </c>
      <c r="M841">
        <v>2400</v>
      </c>
      <c r="N841">
        <v>0</v>
      </c>
    </row>
    <row r="842" spans="1:14" x14ac:dyDescent="0.25">
      <c r="A842">
        <v>184.78654299999999</v>
      </c>
      <c r="B842" s="1">
        <f>DATE(2010,11,1) + TIME(18,52,37)</f>
        <v>40483.786539351851</v>
      </c>
      <c r="C842">
        <v>80</v>
      </c>
      <c r="D842">
        <v>79.832878113000007</v>
      </c>
      <c r="E842">
        <v>50</v>
      </c>
      <c r="F842">
        <v>50.667301178000002</v>
      </c>
      <c r="G842">
        <v>1330.3135986</v>
      </c>
      <c r="H842">
        <v>1329.8863524999999</v>
      </c>
      <c r="I842">
        <v>1335.0424805</v>
      </c>
      <c r="J842">
        <v>1333.4594727000001</v>
      </c>
      <c r="K842">
        <v>0</v>
      </c>
      <c r="L842">
        <v>2400</v>
      </c>
      <c r="M842">
        <v>2400</v>
      </c>
      <c r="N842">
        <v>0</v>
      </c>
    </row>
    <row r="843" spans="1:14" x14ac:dyDescent="0.25">
      <c r="A843">
        <v>184.84408099999999</v>
      </c>
      <c r="B843" s="1">
        <f>DATE(2010,11,1) + TIME(20,15,28)</f>
        <v>40483.844074074077</v>
      </c>
      <c r="C843">
        <v>80</v>
      </c>
      <c r="D843">
        <v>79.823738098000007</v>
      </c>
      <c r="E843">
        <v>50</v>
      </c>
      <c r="F843">
        <v>50.589515685999999</v>
      </c>
      <c r="G843">
        <v>1330.3056641000001</v>
      </c>
      <c r="H843">
        <v>1329.8742675999999</v>
      </c>
      <c r="I843">
        <v>1335.0670166</v>
      </c>
      <c r="J843">
        <v>1333.4763184000001</v>
      </c>
      <c r="K843">
        <v>0</v>
      </c>
      <c r="L843">
        <v>2400</v>
      </c>
      <c r="M843">
        <v>2400</v>
      </c>
      <c r="N843">
        <v>0</v>
      </c>
    </row>
    <row r="844" spans="1:14" x14ac:dyDescent="0.25">
      <c r="A844">
        <v>184.904933</v>
      </c>
      <c r="B844" s="1">
        <f>DATE(2010,11,1) + TIME(21,43,6)</f>
        <v>40483.904930555553</v>
      </c>
      <c r="C844">
        <v>80</v>
      </c>
      <c r="D844">
        <v>79.814132689999994</v>
      </c>
      <c r="E844">
        <v>50</v>
      </c>
      <c r="F844">
        <v>50.516345977999997</v>
      </c>
      <c r="G844">
        <v>1330.2973632999999</v>
      </c>
      <c r="H844">
        <v>1329.8616943</v>
      </c>
      <c r="I844">
        <v>1335.0925293</v>
      </c>
      <c r="J844">
        <v>1333.4938964999999</v>
      </c>
      <c r="K844">
        <v>0</v>
      </c>
      <c r="L844">
        <v>2400</v>
      </c>
      <c r="M844">
        <v>2400</v>
      </c>
      <c r="N844">
        <v>0</v>
      </c>
    </row>
    <row r="845" spans="1:14" x14ac:dyDescent="0.25">
      <c r="A845">
        <v>184.969571</v>
      </c>
      <c r="B845" s="1">
        <f>DATE(2010,11,1) + TIME(23,16,10)</f>
        <v>40483.969560185185</v>
      </c>
      <c r="C845">
        <v>80</v>
      </c>
      <c r="D845">
        <v>79.804000853999995</v>
      </c>
      <c r="E845">
        <v>50</v>
      </c>
      <c r="F845">
        <v>50.447769164999997</v>
      </c>
      <c r="G845">
        <v>1330.2889404</v>
      </c>
      <c r="H845">
        <v>1329.8488769999999</v>
      </c>
      <c r="I845">
        <v>1335.1191406</v>
      </c>
      <c r="J845">
        <v>1333.512207</v>
      </c>
      <c r="K845">
        <v>0</v>
      </c>
      <c r="L845">
        <v>2400</v>
      </c>
      <c r="M845">
        <v>2400</v>
      </c>
      <c r="N845">
        <v>0</v>
      </c>
    </row>
    <row r="846" spans="1:14" x14ac:dyDescent="0.25">
      <c r="A846">
        <v>185.03857099999999</v>
      </c>
      <c r="B846" s="1">
        <f>DATE(2010,11,2) + TIME(0,55,32)</f>
        <v>40484.038564814815</v>
      </c>
      <c r="C846">
        <v>80</v>
      </c>
      <c r="D846">
        <v>79.793273925999998</v>
      </c>
      <c r="E846">
        <v>50</v>
      </c>
      <c r="F846">
        <v>50.383769989000001</v>
      </c>
      <c r="G846">
        <v>1330.2800293</v>
      </c>
      <c r="H846">
        <v>1329.8354492000001</v>
      </c>
      <c r="I846">
        <v>1335.1466064000001</v>
      </c>
      <c r="J846">
        <v>1333.5310059000001</v>
      </c>
      <c r="K846">
        <v>0</v>
      </c>
      <c r="L846">
        <v>2400</v>
      </c>
      <c r="M846">
        <v>2400</v>
      </c>
      <c r="N846">
        <v>0</v>
      </c>
    </row>
    <row r="847" spans="1:14" x14ac:dyDescent="0.25">
      <c r="A847">
        <v>185.11264700000001</v>
      </c>
      <c r="B847" s="1">
        <f>DATE(2010,11,2) + TIME(2,42,12)</f>
        <v>40484.112638888888</v>
      </c>
      <c r="C847">
        <v>80</v>
      </c>
      <c r="D847">
        <v>79.781860351999995</v>
      </c>
      <c r="E847">
        <v>50</v>
      </c>
      <c r="F847">
        <v>50.324348450000002</v>
      </c>
      <c r="G847">
        <v>1330.270874</v>
      </c>
      <c r="H847">
        <v>1329.8216553</v>
      </c>
      <c r="I847">
        <v>1335.1748047000001</v>
      </c>
      <c r="J847">
        <v>1333.5504149999999</v>
      </c>
      <c r="K847">
        <v>0</v>
      </c>
      <c r="L847">
        <v>2400</v>
      </c>
      <c r="M847">
        <v>2400</v>
      </c>
      <c r="N847">
        <v>0</v>
      </c>
    </row>
    <row r="848" spans="1:14" x14ac:dyDescent="0.25">
      <c r="A848">
        <v>185.1927</v>
      </c>
      <c r="B848" s="1">
        <f>DATE(2010,11,2) + TIME(4,37,29)</f>
        <v>40484.192696759259</v>
      </c>
      <c r="C848">
        <v>80</v>
      </c>
      <c r="D848">
        <v>79.769638061999999</v>
      </c>
      <c r="E848">
        <v>50</v>
      </c>
      <c r="F848">
        <v>50.269500731999997</v>
      </c>
      <c r="G848">
        <v>1330.2612305</v>
      </c>
      <c r="H848">
        <v>1329.8071289</v>
      </c>
      <c r="I848">
        <v>1335.2037353999999</v>
      </c>
      <c r="J848">
        <v>1333.5701904</v>
      </c>
      <c r="K848">
        <v>0</v>
      </c>
      <c r="L848">
        <v>2400</v>
      </c>
      <c r="M848">
        <v>2400</v>
      </c>
      <c r="N848">
        <v>0</v>
      </c>
    </row>
    <row r="849" spans="1:14" x14ac:dyDescent="0.25">
      <c r="A849">
        <v>185.27986200000001</v>
      </c>
      <c r="B849" s="1">
        <f>DATE(2010,11,2) + TIME(6,43,0)</f>
        <v>40484.279861111114</v>
      </c>
      <c r="C849">
        <v>80</v>
      </c>
      <c r="D849">
        <v>79.756477356000005</v>
      </c>
      <c r="E849">
        <v>50</v>
      </c>
      <c r="F849">
        <v>50.219249724999997</v>
      </c>
      <c r="G849">
        <v>1330.2510986</v>
      </c>
      <c r="H849">
        <v>1329.7917480000001</v>
      </c>
      <c r="I849">
        <v>1335.2331543</v>
      </c>
      <c r="J849">
        <v>1333.5904541</v>
      </c>
      <c r="K849">
        <v>0</v>
      </c>
      <c r="L849">
        <v>2400</v>
      </c>
      <c r="M849">
        <v>2400</v>
      </c>
      <c r="N849">
        <v>0</v>
      </c>
    </row>
    <row r="850" spans="1:14" x14ac:dyDescent="0.25">
      <c r="A850">
        <v>185.37566100000001</v>
      </c>
      <c r="B850" s="1">
        <f>DATE(2010,11,2) + TIME(9,0,57)</f>
        <v>40484.375659722224</v>
      </c>
      <c r="C850">
        <v>80</v>
      </c>
      <c r="D850">
        <v>79.742172241000006</v>
      </c>
      <c r="E850">
        <v>50</v>
      </c>
      <c r="F850">
        <v>50.173599242999998</v>
      </c>
      <c r="G850">
        <v>1330.2402344</v>
      </c>
      <c r="H850">
        <v>1329.7756348</v>
      </c>
      <c r="I850">
        <v>1335.2629394999999</v>
      </c>
      <c r="J850">
        <v>1333.6109618999999</v>
      </c>
      <c r="K850">
        <v>0</v>
      </c>
      <c r="L850">
        <v>2400</v>
      </c>
      <c r="M850">
        <v>2400</v>
      </c>
      <c r="N850">
        <v>0</v>
      </c>
    </row>
    <row r="851" spans="1:14" x14ac:dyDescent="0.25">
      <c r="A851">
        <v>185.42635999999999</v>
      </c>
      <c r="B851" s="1">
        <f>DATE(2010,11,2) + TIME(10,13,57)</f>
        <v>40484.426354166666</v>
      </c>
      <c r="C851">
        <v>80</v>
      </c>
      <c r="D851">
        <v>79.734352111999996</v>
      </c>
      <c r="E851">
        <v>50</v>
      </c>
      <c r="F851">
        <v>50.151828766000001</v>
      </c>
      <c r="G851">
        <v>1330.2294922000001</v>
      </c>
      <c r="H851">
        <v>1329.7597656</v>
      </c>
      <c r="I851">
        <v>1335.3012695</v>
      </c>
      <c r="J851">
        <v>1333.6361084</v>
      </c>
      <c r="K851">
        <v>0</v>
      </c>
      <c r="L851">
        <v>2400</v>
      </c>
      <c r="M851">
        <v>2400</v>
      </c>
      <c r="N851">
        <v>0</v>
      </c>
    </row>
    <row r="852" spans="1:14" x14ac:dyDescent="0.25">
      <c r="A852">
        <v>185.52688599999999</v>
      </c>
      <c r="B852" s="1">
        <f>DATE(2010,11,2) + TIME(12,38,42)</f>
        <v>40484.526875000003</v>
      </c>
      <c r="C852">
        <v>80</v>
      </c>
      <c r="D852">
        <v>79.719535828000005</v>
      </c>
      <c r="E852">
        <v>50</v>
      </c>
      <c r="F852">
        <v>50.116661071999999</v>
      </c>
      <c r="G852">
        <v>1330.2225341999999</v>
      </c>
      <c r="H852">
        <v>1329.7491454999999</v>
      </c>
      <c r="I852">
        <v>1335.3100586</v>
      </c>
      <c r="J852">
        <v>1333.6431885</v>
      </c>
      <c r="K852">
        <v>0</v>
      </c>
      <c r="L852">
        <v>2400</v>
      </c>
      <c r="M852">
        <v>2400</v>
      </c>
      <c r="N852">
        <v>0</v>
      </c>
    </row>
    <row r="853" spans="1:14" x14ac:dyDescent="0.25">
      <c r="A853">
        <v>185.62801899999999</v>
      </c>
      <c r="B853" s="1">
        <f>DATE(2010,11,2) + TIME(15,4,20)</f>
        <v>40484.628009259257</v>
      </c>
      <c r="C853">
        <v>80</v>
      </c>
      <c r="D853">
        <v>79.704704285000005</v>
      </c>
      <c r="E853">
        <v>50</v>
      </c>
      <c r="F853">
        <v>50.087879180999998</v>
      </c>
      <c r="G853">
        <v>1330.2109375</v>
      </c>
      <c r="H853">
        <v>1329.7320557</v>
      </c>
      <c r="I853">
        <v>1335.338501</v>
      </c>
      <c r="J853">
        <v>1333.6627197</v>
      </c>
      <c r="K853">
        <v>0</v>
      </c>
      <c r="L853">
        <v>2400</v>
      </c>
      <c r="M853">
        <v>2400</v>
      </c>
      <c r="N853">
        <v>0</v>
      </c>
    </row>
    <row r="854" spans="1:14" x14ac:dyDescent="0.25">
      <c r="A854">
        <v>185.730087</v>
      </c>
      <c r="B854" s="1">
        <f>DATE(2010,11,2) + TIME(17,31,19)</f>
        <v>40484.730081018519</v>
      </c>
      <c r="C854">
        <v>80</v>
      </c>
      <c r="D854">
        <v>79.689811707000004</v>
      </c>
      <c r="E854">
        <v>50</v>
      </c>
      <c r="F854">
        <v>50.064342498999999</v>
      </c>
      <c r="G854">
        <v>1330.1994629000001</v>
      </c>
      <c r="H854">
        <v>1329.7150879000001</v>
      </c>
      <c r="I854">
        <v>1335.3642577999999</v>
      </c>
      <c r="J854">
        <v>1333.6804199000001</v>
      </c>
      <c r="K854">
        <v>0</v>
      </c>
      <c r="L854">
        <v>2400</v>
      </c>
      <c r="M854">
        <v>2400</v>
      </c>
      <c r="N854">
        <v>0</v>
      </c>
    </row>
    <row r="855" spans="1:14" x14ac:dyDescent="0.25">
      <c r="A855">
        <v>185.83367699999999</v>
      </c>
      <c r="B855" s="1">
        <f>DATE(2010,11,2) + TIME(20,0,29)</f>
        <v>40484.833668981482</v>
      </c>
      <c r="C855">
        <v>80</v>
      </c>
      <c r="D855">
        <v>79.674781799000002</v>
      </c>
      <c r="E855">
        <v>50</v>
      </c>
      <c r="F855">
        <v>50.045097351000003</v>
      </c>
      <c r="G855">
        <v>1330.1881103999999</v>
      </c>
      <c r="H855">
        <v>1329.6982422000001</v>
      </c>
      <c r="I855">
        <v>1335.3873291</v>
      </c>
      <c r="J855">
        <v>1333.6962891000001</v>
      </c>
      <c r="K855">
        <v>0</v>
      </c>
      <c r="L855">
        <v>2400</v>
      </c>
      <c r="M855">
        <v>2400</v>
      </c>
      <c r="N855">
        <v>0</v>
      </c>
    </row>
    <row r="856" spans="1:14" x14ac:dyDescent="0.25">
      <c r="A856">
        <v>185.939401</v>
      </c>
      <c r="B856" s="1">
        <f>DATE(2010,11,2) + TIME(22,32,44)</f>
        <v>40484.939398148148</v>
      </c>
      <c r="C856">
        <v>80</v>
      </c>
      <c r="D856">
        <v>79.659538268999995</v>
      </c>
      <c r="E856">
        <v>50</v>
      </c>
      <c r="F856">
        <v>50.029365540000001</v>
      </c>
      <c r="G856">
        <v>1330.1767577999999</v>
      </c>
      <c r="H856">
        <v>1329.6815185999999</v>
      </c>
      <c r="I856">
        <v>1335.4079589999999</v>
      </c>
      <c r="J856">
        <v>1333.7106934000001</v>
      </c>
      <c r="K856">
        <v>0</v>
      </c>
      <c r="L856">
        <v>2400</v>
      </c>
      <c r="M856">
        <v>2400</v>
      </c>
      <c r="N856">
        <v>0</v>
      </c>
    </row>
    <row r="857" spans="1:14" x14ac:dyDescent="0.25">
      <c r="A857">
        <v>186.047864</v>
      </c>
      <c r="B857" s="1">
        <f>DATE(2010,11,3) + TIME(1,8,55)</f>
        <v>40485.047858796293</v>
      </c>
      <c r="C857">
        <v>80</v>
      </c>
      <c r="D857">
        <v>79.643989563000005</v>
      </c>
      <c r="E857">
        <v>50</v>
      </c>
      <c r="F857">
        <v>50.016544342000003</v>
      </c>
      <c r="G857">
        <v>1330.1654053</v>
      </c>
      <c r="H857">
        <v>1329.6647949000001</v>
      </c>
      <c r="I857">
        <v>1335.4265137</v>
      </c>
      <c r="J857">
        <v>1333.7236327999999</v>
      </c>
      <c r="K857">
        <v>0</v>
      </c>
      <c r="L857">
        <v>2400</v>
      </c>
      <c r="M857">
        <v>2400</v>
      </c>
      <c r="N857">
        <v>0</v>
      </c>
    </row>
    <row r="858" spans="1:14" x14ac:dyDescent="0.25">
      <c r="A858">
        <v>186.15974600000001</v>
      </c>
      <c r="B858" s="1">
        <f>DATE(2010,11,3) + TIME(3,50,2)</f>
        <v>40485.159745370373</v>
      </c>
      <c r="C858">
        <v>80</v>
      </c>
      <c r="D858">
        <v>79.628059386999993</v>
      </c>
      <c r="E858">
        <v>50</v>
      </c>
      <c r="F858">
        <v>50.006130218999999</v>
      </c>
      <c r="G858">
        <v>1330.1539307</v>
      </c>
      <c r="H858">
        <v>1329.6479492000001</v>
      </c>
      <c r="I858">
        <v>1335.4431152</v>
      </c>
      <c r="J858">
        <v>1333.7353516000001</v>
      </c>
      <c r="K858">
        <v>0</v>
      </c>
      <c r="L858">
        <v>2400</v>
      </c>
      <c r="M858">
        <v>2400</v>
      </c>
      <c r="N858">
        <v>0</v>
      </c>
    </row>
    <row r="859" spans="1:14" x14ac:dyDescent="0.25">
      <c r="A859">
        <v>186.27483899999999</v>
      </c>
      <c r="B859" s="1">
        <f>DATE(2010,11,3) + TIME(6,35,46)</f>
        <v>40485.274837962963</v>
      </c>
      <c r="C859">
        <v>80</v>
      </c>
      <c r="D859">
        <v>79.611778259000005</v>
      </c>
      <c r="E859">
        <v>50</v>
      </c>
      <c r="F859">
        <v>49.997768401999998</v>
      </c>
      <c r="G859">
        <v>1330.1423339999999</v>
      </c>
      <c r="H859">
        <v>1329.6308594</v>
      </c>
      <c r="I859">
        <v>1335.4577637</v>
      </c>
      <c r="J859">
        <v>1333.7458495999999</v>
      </c>
      <c r="K859">
        <v>0</v>
      </c>
      <c r="L859">
        <v>2400</v>
      </c>
      <c r="M859">
        <v>2400</v>
      </c>
      <c r="N859">
        <v>0</v>
      </c>
    </row>
    <row r="860" spans="1:14" x14ac:dyDescent="0.25">
      <c r="A860">
        <v>186.393123</v>
      </c>
      <c r="B860" s="1">
        <f>DATE(2010,11,3) + TIME(9,26,5)</f>
        <v>40485.393113425926</v>
      </c>
      <c r="C860">
        <v>80</v>
      </c>
      <c r="D860">
        <v>79.595146178999997</v>
      </c>
      <c r="E860">
        <v>50</v>
      </c>
      <c r="F860">
        <v>49.991119384999998</v>
      </c>
      <c r="G860">
        <v>1330.1304932</v>
      </c>
      <c r="H860">
        <v>1329.6136475000001</v>
      </c>
      <c r="I860">
        <v>1335.4708252</v>
      </c>
      <c r="J860">
        <v>1333.7551269999999</v>
      </c>
      <c r="K860">
        <v>0</v>
      </c>
      <c r="L860">
        <v>2400</v>
      </c>
      <c r="M860">
        <v>2400</v>
      </c>
      <c r="N860">
        <v>0</v>
      </c>
    </row>
    <row r="861" spans="1:14" x14ac:dyDescent="0.25">
      <c r="A861">
        <v>186.51523800000001</v>
      </c>
      <c r="B861" s="1">
        <f>DATE(2010,11,3) + TIME(12,21,56)</f>
        <v>40485.515231481484</v>
      </c>
      <c r="C861">
        <v>80</v>
      </c>
      <c r="D861">
        <v>79.578079224000007</v>
      </c>
      <c r="E861">
        <v>50</v>
      </c>
      <c r="F861">
        <v>49.985858917000002</v>
      </c>
      <c r="G861">
        <v>1330.1186522999999</v>
      </c>
      <c r="H861">
        <v>1329.5963135</v>
      </c>
      <c r="I861">
        <v>1335.4820557</v>
      </c>
      <c r="J861">
        <v>1333.7633057</v>
      </c>
      <c r="K861">
        <v>0</v>
      </c>
      <c r="L861">
        <v>2400</v>
      </c>
      <c r="M861">
        <v>2400</v>
      </c>
      <c r="N861">
        <v>0</v>
      </c>
    </row>
    <row r="862" spans="1:14" x14ac:dyDescent="0.25">
      <c r="A862">
        <v>186.64185599999999</v>
      </c>
      <c r="B862" s="1">
        <f>DATE(2010,11,3) + TIME(15,24,16)</f>
        <v>40485.641851851855</v>
      </c>
      <c r="C862">
        <v>80</v>
      </c>
      <c r="D862">
        <v>79.560501099000007</v>
      </c>
      <c r="E862">
        <v>50</v>
      </c>
      <c r="F862">
        <v>49.981735229000002</v>
      </c>
      <c r="G862">
        <v>1330.1065673999999</v>
      </c>
      <c r="H862">
        <v>1329.5787353999999</v>
      </c>
      <c r="I862">
        <v>1335.4915771000001</v>
      </c>
      <c r="J862">
        <v>1333.7705077999999</v>
      </c>
      <c r="K862">
        <v>0</v>
      </c>
      <c r="L862">
        <v>2400</v>
      </c>
      <c r="M862">
        <v>2400</v>
      </c>
      <c r="N862">
        <v>0</v>
      </c>
    </row>
    <row r="863" spans="1:14" x14ac:dyDescent="0.25">
      <c r="A863">
        <v>186.77373499999999</v>
      </c>
      <c r="B863" s="1">
        <f>DATE(2010,11,3) + TIME(18,34,10)</f>
        <v>40485.773726851854</v>
      </c>
      <c r="C863">
        <v>80</v>
      </c>
      <c r="D863">
        <v>79.542327881000006</v>
      </c>
      <c r="E863">
        <v>50</v>
      </c>
      <c r="F863">
        <v>49.978527069000002</v>
      </c>
      <c r="G863">
        <v>1330.0942382999999</v>
      </c>
      <c r="H863">
        <v>1329.5609131000001</v>
      </c>
      <c r="I863">
        <v>1335.4997559000001</v>
      </c>
      <c r="J863">
        <v>1333.7767334</v>
      </c>
      <c r="K863">
        <v>0</v>
      </c>
      <c r="L863">
        <v>2400</v>
      </c>
      <c r="M863">
        <v>2400</v>
      </c>
      <c r="N863">
        <v>0</v>
      </c>
    </row>
    <row r="864" spans="1:14" x14ac:dyDescent="0.25">
      <c r="A864">
        <v>186.911745</v>
      </c>
      <c r="B864" s="1">
        <f>DATE(2010,11,3) + TIME(21,52,54)</f>
        <v>40485.911736111113</v>
      </c>
      <c r="C864">
        <v>80</v>
      </c>
      <c r="D864">
        <v>79.5234375</v>
      </c>
      <c r="E864">
        <v>50</v>
      </c>
      <c r="F864">
        <v>49.976062775000003</v>
      </c>
      <c r="G864">
        <v>1330.0816649999999</v>
      </c>
      <c r="H864">
        <v>1329.5426024999999</v>
      </c>
      <c r="I864">
        <v>1335.5065918</v>
      </c>
      <c r="J864">
        <v>1333.7819824000001</v>
      </c>
      <c r="K864">
        <v>0</v>
      </c>
      <c r="L864">
        <v>2400</v>
      </c>
      <c r="M864">
        <v>2400</v>
      </c>
      <c r="N864">
        <v>0</v>
      </c>
    </row>
    <row r="865" spans="1:14" x14ac:dyDescent="0.25">
      <c r="A865">
        <v>187.05698599999999</v>
      </c>
      <c r="B865" s="1">
        <f>DATE(2010,11,4) + TIME(1,22,3)</f>
        <v>40486.056979166664</v>
      </c>
      <c r="C865">
        <v>80</v>
      </c>
      <c r="D865">
        <v>79.503715514999996</v>
      </c>
      <c r="E865">
        <v>50</v>
      </c>
      <c r="F865">
        <v>49.974193573000001</v>
      </c>
      <c r="G865">
        <v>1330.0686035000001</v>
      </c>
      <c r="H865">
        <v>1329.5239257999999</v>
      </c>
      <c r="I865">
        <v>1335.5120850000001</v>
      </c>
      <c r="J865">
        <v>1333.786499</v>
      </c>
      <c r="K865">
        <v>0</v>
      </c>
      <c r="L865">
        <v>2400</v>
      </c>
      <c r="M865">
        <v>2400</v>
      </c>
      <c r="N865">
        <v>0</v>
      </c>
    </row>
    <row r="866" spans="1:14" x14ac:dyDescent="0.25">
      <c r="A866">
        <v>187.21068500000001</v>
      </c>
      <c r="B866" s="1">
        <f>DATE(2010,11,4) + TIME(5,3,23)</f>
        <v>40486.210682870369</v>
      </c>
      <c r="C866">
        <v>80</v>
      </c>
      <c r="D866">
        <v>79.483024596999996</v>
      </c>
      <c r="E866">
        <v>50</v>
      </c>
      <c r="F866">
        <v>49.972801208</v>
      </c>
      <c r="G866">
        <v>1330.0552978999999</v>
      </c>
      <c r="H866">
        <v>1329.5045166</v>
      </c>
      <c r="I866">
        <v>1335.5163574000001</v>
      </c>
      <c r="J866">
        <v>1333.7901611</v>
      </c>
      <c r="K866">
        <v>0</v>
      </c>
      <c r="L866">
        <v>2400</v>
      </c>
      <c r="M866">
        <v>2400</v>
      </c>
      <c r="N866">
        <v>0</v>
      </c>
    </row>
    <row r="867" spans="1:14" x14ac:dyDescent="0.25">
      <c r="A867">
        <v>187.37414000000001</v>
      </c>
      <c r="B867" s="1">
        <f>DATE(2010,11,4) + TIME(8,58,45)</f>
        <v>40486.374131944445</v>
      </c>
      <c r="C867">
        <v>80</v>
      </c>
      <c r="D867">
        <v>79.461196899000001</v>
      </c>
      <c r="E867">
        <v>50</v>
      </c>
      <c r="F867">
        <v>49.971786498999997</v>
      </c>
      <c r="G867">
        <v>1330.0413818</v>
      </c>
      <c r="H867">
        <v>1329.4846190999999</v>
      </c>
      <c r="I867">
        <v>1335.5194091999999</v>
      </c>
      <c r="J867">
        <v>1333.7930908000001</v>
      </c>
      <c r="K867">
        <v>0</v>
      </c>
      <c r="L867">
        <v>2400</v>
      </c>
      <c r="M867">
        <v>2400</v>
      </c>
      <c r="N867">
        <v>0</v>
      </c>
    </row>
    <row r="868" spans="1:14" x14ac:dyDescent="0.25">
      <c r="A868">
        <v>187.54577699999999</v>
      </c>
      <c r="B868" s="1">
        <f>DATE(2010,11,4) + TIME(13,5,55)</f>
        <v>40486.545775462961</v>
      </c>
      <c r="C868">
        <v>80</v>
      </c>
      <c r="D868">
        <v>79.438423157000003</v>
      </c>
      <c r="E868">
        <v>50</v>
      </c>
      <c r="F868">
        <v>49.971076965000002</v>
      </c>
      <c r="G868">
        <v>1330.0268555</v>
      </c>
      <c r="H868">
        <v>1329.4637451000001</v>
      </c>
      <c r="I868">
        <v>1335.5214844</v>
      </c>
      <c r="J868">
        <v>1333.7954102000001</v>
      </c>
      <c r="K868">
        <v>0</v>
      </c>
      <c r="L868">
        <v>2400</v>
      </c>
      <c r="M868">
        <v>2400</v>
      </c>
      <c r="N868">
        <v>0</v>
      </c>
    </row>
    <row r="869" spans="1:14" x14ac:dyDescent="0.25">
      <c r="A869">
        <v>187.72707500000001</v>
      </c>
      <c r="B869" s="1">
        <f>DATE(2010,11,4) + TIME(17,26,59)</f>
        <v>40486.727071759262</v>
      </c>
      <c r="C869">
        <v>80</v>
      </c>
      <c r="D869">
        <v>79.414527892999999</v>
      </c>
      <c r="E869">
        <v>50</v>
      </c>
      <c r="F869">
        <v>49.970592498999999</v>
      </c>
      <c r="G869">
        <v>1330.0119629000001</v>
      </c>
      <c r="H869">
        <v>1329.4423827999999</v>
      </c>
      <c r="I869">
        <v>1335.5224608999999</v>
      </c>
      <c r="J869">
        <v>1333.7969971</v>
      </c>
      <c r="K869">
        <v>0</v>
      </c>
      <c r="L869">
        <v>2400</v>
      </c>
      <c r="M869">
        <v>2400</v>
      </c>
      <c r="N869">
        <v>0</v>
      </c>
    </row>
    <row r="870" spans="1:14" x14ac:dyDescent="0.25">
      <c r="A870">
        <v>187.91963799999999</v>
      </c>
      <c r="B870" s="1">
        <f>DATE(2010,11,4) + TIME(22,4,16)</f>
        <v>40486.919629629629</v>
      </c>
      <c r="C870">
        <v>80</v>
      </c>
      <c r="D870">
        <v>79.389328003000003</v>
      </c>
      <c r="E870">
        <v>50</v>
      </c>
      <c r="F870">
        <v>49.970275878999999</v>
      </c>
      <c r="G870">
        <v>1329.9964600000001</v>
      </c>
      <c r="H870">
        <v>1329.4202881000001</v>
      </c>
      <c r="I870">
        <v>1335.5224608999999</v>
      </c>
      <c r="J870">
        <v>1333.7978516000001</v>
      </c>
      <c r="K870">
        <v>0</v>
      </c>
      <c r="L870">
        <v>2400</v>
      </c>
      <c r="M870">
        <v>2400</v>
      </c>
      <c r="N870">
        <v>0</v>
      </c>
    </row>
    <row r="871" spans="1:14" x14ac:dyDescent="0.25">
      <c r="A871">
        <v>188.12007700000001</v>
      </c>
      <c r="B871" s="1">
        <f>DATE(2010,11,5) + TIME(2,52,54)</f>
        <v>40487.120069444441</v>
      </c>
      <c r="C871">
        <v>80</v>
      </c>
      <c r="D871">
        <v>79.363174438000001</v>
      </c>
      <c r="E871">
        <v>50</v>
      </c>
      <c r="F871">
        <v>49.970081329000003</v>
      </c>
      <c r="G871">
        <v>1329.9803466999999</v>
      </c>
      <c r="H871">
        <v>1329.3973389</v>
      </c>
      <c r="I871">
        <v>1335.5213623</v>
      </c>
      <c r="J871">
        <v>1333.7983397999999</v>
      </c>
      <c r="K871">
        <v>0</v>
      </c>
      <c r="L871">
        <v>2400</v>
      </c>
      <c r="M871">
        <v>2400</v>
      </c>
      <c r="N871">
        <v>0</v>
      </c>
    </row>
    <row r="872" spans="1:14" x14ac:dyDescent="0.25">
      <c r="A872">
        <v>188.32080500000001</v>
      </c>
      <c r="B872" s="1">
        <f>DATE(2010,11,5) + TIME(7,41,57)</f>
        <v>40487.320798611108</v>
      </c>
      <c r="C872">
        <v>80</v>
      </c>
      <c r="D872">
        <v>79.336868285999998</v>
      </c>
      <c r="E872">
        <v>50</v>
      </c>
      <c r="F872">
        <v>49.969970703000001</v>
      </c>
      <c r="G872">
        <v>1329.9638672000001</v>
      </c>
      <c r="H872">
        <v>1329.3739014</v>
      </c>
      <c r="I872">
        <v>1335.5196533000001</v>
      </c>
      <c r="J872">
        <v>1333.7982178</v>
      </c>
      <c r="K872">
        <v>0</v>
      </c>
      <c r="L872">
        <v>2400</v>
      </c>
      <c r="M872">
        <v>2400</v>
      </c>
      <c r="N872">
        <v>0</v>
      </c>
    </row>
    <row r="873" spans="1:14" x14ac:dyDescent="0.25">
      <c r="A873">
        <v>188.523042</v>
      </c>
      <c r="B873" s="1">
        <f>DATE(2010,11,5) + TIME(12,33,10)</f>
        <v>40487.523032407407</v>
      </c>
      <c r="C873">
        <v>80</v>
      </c>
      <c r="D873">
        <v>79.310287475999999</v>
      </c>
      <c r="E873">
        <v>50</v>
      </c>
      <c r="F873">
        <v>49.969913482999999</v>
      </c>
      <c r="G873">
        <v>1329.9475098</v>
      </c>
      <c r="H873">
        <v>1329.3508300999999</v>
      </c>
      <c r="I873">
        <v>1335.5172118999999</v>
      </c>
      <c r="J873">
        <v>1333.7976074000001</v>
      </c>
      <c r="K873">
        <v>0</v>
      </c>
      <c r="L873">
        <v>2400</v>
      </c>
      <c r="M873">
        <v>2400</v>
      </c>
      <c r="N873">
        <v>0</v>
      </c>
    </row>
    <row r="874" spans="1:14" x14ac:dyDescent="0.25">
      <c r="A874">
        <v>188.72790000000001</v>
      </c>
      <c r="B874" s="1">
        <f>DATE(2010,11,5) + TIME(17,28,10)</f>
        <v>40487.727893518517</v>
      </c>
      <c r="C874">
        <v>80</v>
      </c>
      <c r="D874">
        <v>79.283332825000002</v>
      </c>
      <c r="E874">
        <v>50</v>
      </c>
      <c r="F874">
        <v>49.969886780000003</v>
      </c>
      <c r="G874">
        <v>1329.9312743999999</v>
      </c>
      <c r="H874">
        <v>1329.3277588000001</v>
      </c>
      <c r="I874">
        <v>1335.5141602000001</v>
      </c>
      <c r="J874">
        <v>1333.7966309000001</v>
      </c>
      <c r="K874">
        <v>0</v>
      </c>
      <c r="L874">
        <v>2400</v>
      </c>
      <c r="M874">
        <v>2400</v>
      </c>
      <c r="N874">
        <v>0</v>
      </c>
    </row>
    <row r="875" spans="1:14" x14ac:dyDescent="0.25">
      <c r="A875">
        <v>188.93652900000001</v>
      </c>
      <c r="B875" s="1">
        <f>DATE(2010,11,5) + TIME(22,28,36)</f>
        <v>40487.936527777776</v>
      </c>
      <c r="C875">
        <v>80</v>
      </c>
      <c r="D875">
        <v>79.255889893000003</v>
      </c>
      <c r="E875">
        <v>50</v>
      </c>
      <c r="F875">
        <v>49.969875336000001</v>
      </c>
      <c r="G875">
        <v>1329.9150391000001</v>
      </c>
      <c r="H875">
        <v>1329.3046875</v>
      </c>
      <c r="I875">
        <v>1335.5108643000001</v>
      </c>
      <c r="J875">
        <v>1333.7954102000001</v>
      </c>
      <c r="K875">
        <v>0</v>
      </c>
      <c r="L875">
        <v>2400</v>
      </c>
      <c r="M875">
        <v>2400</v>
      </c>
      <c r="N875">
        <v>0</v>
      </c>
    </row>
    <row r="876" spans="1:14" x14ac:dyDescent="0.25">
      <c r="A876">
        <v>189.15004500000001</v>
      </c>
      <c r="B876" s="1">
        <f>DATE(2010,11,6) + TIME(3,36,3)</f>
        <v>40488.150034722225</v>
      </c>
      <c r="C876">
        <v>80</v>
      </c>
      <c r="D876">
        <v>79.227821349999999</v>
      </c>
      <c r="E876">
        <v>50</v>
      </c>
      <c r="F876">
        <v>49.969875336000001</v>
      </c>
      <c r="G876">
        <v>1329.8988036999999</v>
      </c>
      <c r="H876">
        <v>1329.2816161999999</v>
      </c>
      <c r="I876">
        <v>1335.5070800999999</v>
      </c>
      <c r="J876">
        <v>1333.7939452999999</v>
      </c>
      <c r="K876">
        <v>0</v>
      </c>
      <c r="L876">
        <v>2400</v>
      </c>
      <c r="M876">
        <v>2400</v>
      </c>
      <c r="N876">
        <v>0</v>
      </c>
    </row>
    <row r="877" spans="1:14" x14ac:dyDescent="0.25">
      <c r="A877">
        <v>189.369621</v>
      </c>
      <c r="B877" s="1">
        <f>DATE(2010,11,6) + TIME(8,52,15)</f>
        <v>40488.369618055556</v>
      </c>
      <c r="C877">
        <v>80</v>
      </c>
      <c r="D877">
        <v>79.199012756000002</v>
      </c>
      <c r="E877">
        <v>50</v>
      </c>
      <c r="F877">
        <v>49.969879149999997</v>
      </c>
      <c r="G877">
        <v>1329.8823242000001</v>
      </c>
      <c r="H877">
        <v>1329.2584228999999</v>
      </c>
      <c r="I877">
        <v>1335.5029297000001</v>
      </c>
      <c r="J877">
        <v>1333.7922363</v>
      </c>
      <c r="K877">
        <v>0</v>
      </c>
      <c r="L877">
        <v>2400</v>
      </c>
      <c r="M877">
        <v>2400</v>
      </c>
      <c r="N877">
        <v>0</v>
      </c>
    </row>
    <row r="878" spans="1:14" x14ac:dyDescent="0.25">
      <c r="A878">
        <v>189.59653599999999</v>
      </c>
      <c r="B878" s="1">
        <f>DATE(2010,11,6) + TIME(14,19,0)</f>
        <v>40488.59652777778</v>
      </c>
      <c r="C878">
        <v>80</v>
      </c>
      <c r="D878">
        <v>79.169303893999995</v>
      </c>
      <c r="E878">
        <v>50</v>
      </c>
      <c r="F878">
        <v>49.969879149999997</v>
      </c>
      <c r="G878">
        <v>1329.8657227000001</v>
      </c>
      <c r="H878">
        <v>1329.2349853999999</v>
      </c>
      <c r="I878">
        <v>1335.4985352000001</v>
      </c>
      <c r="J878">
        <v>1333.7904053</v>
      </c>
      <c r="K878">
        <v>0</v>
      </c>
      <c r="L878">
        <v>2400</v>
      </c>
      <c r="M878">
        <v>2400</v>
      </c>
      <c r="N878">
        <v>0</v>
      </c>
    </row>
    <row r="879" spans="1:14" x14ac:dyDescent="0.25">
      <c r="A879">
        <v>189.832582</v>
      </c>
      <c r="B879" s="1">
        <f>DATE(2010,11,6) + TIME(19,58,55)</f>
        <v>40488.83258101852</v>
      </c>
      <c r="C879">
        <v>80</v>
      </c>
      <c r="D879">
        <v>79.138488769999995</v>
      </c>
      <c r="E879">
        <v>50</v>
      </c>
      <c r="F879">
        <v>49.969879149999997</v>
      </c>
      <c r="G879">
        <v>1329.8488769999999</v>
      </c>
      <c r="H879">
        <v>1329.2111815999999</v>
      </c>
      <c r="I879">
        <v>1335.4938964999999</v>
      </c>
      <c r="J879">
        <v>1333.7883300999999</v>
      </c>
      <c r="K879">
        <v>0</v>
      </c>
      <c r="L879">
        <v>2400</v>
      </c>
      <c r="M879">
        <v>2400</v>
      </c>
      <c r="N879">
        <v>0</v>
      </c>
    </row>
    <row r="880" spans="1:14" x14ac:dyDescent="0.25">
      <c r="A880">
        <v>190.07879299999999</v>
      </c>
      <c r="B880" s="1">
        <f>DATE(2010,11,7) + TIME(1,53,27)</f>
        <v>40489.078784722224</v>
      </c>
      <c r="C880">
        <v>80</v>
      </c>
      <c r="D880">
        <v>79.106437682999996</v>
      </c>
      <c r="E880">
        <v>50</v>
      </c>
      <c r="F880">
        <v>49.969879149999997</v>
      </c>
      <c r="G880">
        <v>1329.831543</v>
      </c>
      <c r="H880">
        <v>1329.1870117000001</v>
      </c>
      <c r="I880">
        <v>1335.4890137</v>
      </c>
      <c r="J880">
        <v>1333.7862548999999</v>
      </c>
      <c r="K880">
        <v>0</v>
      </c>
      <c r="L880">
        <v>2400</v>
      </c>
      <c r="M880">
        <v>2400</v>
      </c>
      <c r="N880">
        <v>0</v>
      </c>
    </row>
    <row r="881" spans="1:14" x14ac:dyDescent="0.25">
      <c r="A881">
        <v>190.335869</v>
      </c>
      <c r="B881" s="1">
        <f>DATE(2010,11,7) + TIME(8,3,39)</f>
        <v>40489.335868055554</v>
      </c>
      <c r="C881">
        <v>80</v>
      </c>
      <c r="D881">
        <v>79.073028563999998</v>
      </c>
      <c r="E881">
        <v>50</v>
      </c>
      <c r="F881">
        <v>49.969871521000002</v>
      </c>
      <c r="G881">
        <v>1329.8138428</v>
      </c>
      <c r="H881">
        <v>1329.1622314000001</v>
      </c>
      <c r="I881">
        <v>1335.4838867000001</v>
      </c>
      <c r="J881">
        <v>1333.7839355000001</v>
      </c>
      <c r="K881">
        <v>0</v>
      </c>
      <c r="L881">
        <v>2400</v>
      </c>
      <c r="M881">
        <v>2400</v>
      </c>
      <c r="N881">
        <v>0</v>
      </c>
    </row>
    <row r="882" spans="1:14" x14ac:dyDescent="0.25">
      <c r="A882">
        <v>190.60161400000001</v>
      </c>
      <c r="B882" s="1">
        <f>DATE(2010,11,7) + TIME(14,26,19)</f>
        <v>40489.6016087963</v>
      </c>
      <c r="C882">
        <v>80</v>
      </c>
      <c r="D882">
        <v>79.03843689</v>
      </c>
      <c r="E882">
        <v>50</v>
      </c>
      <c r="F882">
        <v>49.969860077</v>
      </c>
      <c r="G882">
        <v>1329.7957764</v>
      </c>
      <c r="H882">
        <v>1329.1368408000001</v>
      </c>
      <c r="I882">
        <v>1335.4785156</v>
      </c>
      <c r="J882">
        <v>1333.7814940999999</v>
      </c>
      <c r="K882">
        <v>0</v>
      </c>
      <c r="L882">
        <v>2400</v>
      </c>
      <c r="M882">
        <v>2400</v>
      </c>
      <c r="N882">
        <v>0</v>
      </c>
    </row>
    <row r="883" spans="1:14" x14ac:dyDescent="0.25">
      <c r="A883">
        <v>190.87772699999999</v>
      </c>
      <c r="B883" s="1">
        <f>DATE(2010,11,7) + TIME(21,3,55)</f>
        <v>40489.87771990741</v>
      </c>
      <c r="C883">
        <v>80</v>
      </c>
      <c r="D883">
        <v>79.002464294000006</v>
      </c>
      <c r="E883">
        <v>50</v>
      </c>
      <c r="F883">
        <v>49.969844817999999</v>
      </c>
      <c r="G883">
        <v>1329.7773437999999</v>
      </c>
      <c r="H883">
        <v>1329.1110839999999</v>
      </c>
      <c r="I883">
        <v>1335.4729004000001</v>
      </c>
      <c r="J883">
        <v>1333.7790527</v>
      </c>
      <c r="K883">
        <v>0</v>
      </c>
      <c r="L883">
        <v>2400</v>
      </c>
      <c r="M883">
        <v>2400</v>
      </c>
      <c r="N883">
        <v>0</v>
      </c>
    </row>
    <row r="884" spans="1:14" x14ac:dyDescent="0.25">
      <c r="A884">
        <v>191.16633899999999</v>
      </c>
      <c r="B884" s="1">
        <f>DATE(2010,11,8) + TIME(3,59,31)</f>
        <v>40490.166331018518</v>
      </c>
      <c r="C884">
        <v>80</v>
      </c>
      <c r="D884">
        <v>78.964859008999994</v>
      </c>
      <c r="E884">
        <v>50</v>
      </c>
      <c r="F884">
        <v>49.969821930000002</v>
      </c>
      <c r="G884">
        <v>1329.7585449000001</v>
      </c>
      <c r="H884">
        <v>1329.0848389</v>
      </c>
      <c r="I884">
        <v>1335.4671631000001</v>
      </c>
      <c r="J884">
        <v>1333.7764893000001</v>
      </c>
      <c r="K884">
        <v>0</v>
      </c>
      <c r="L884">
        <v>2400</v>
      </c>
      <c r="M884">
        <v>2400</v>
      </c>
      <c r="N884">
        <v>0</v>
      </c>
    </row>
    <row r="885" spans="1:14" x14ac:dyDescent="0.25">
      <c r="A885">
        <v>191.46485100000001</v>
      </c>
      <c r="B885" s="1">
        <f>DATE(2010,11,8) + TIME(11,9,23)</f>
        <v>40490.464849537035</v>
      </c>
      <c r="C885">
        <v>80</v>
      </c>
      <c r="D885">
        <v>78.925811768000003</v>
      </c>
      <c r="E885">
        <v>50</v>
      </c>
      <c r="F885">
        <v>49.969799041999998</v>
      </c>
      <c r="G885">
        <v>1329.7392577999999</v>
      </c>
      <c r="H885">
        <v>1329.0579834</v>
      </c>
      <c r="I885">
        <v>1335.4613036999999</v>
      </c>
      <c r="J885">
        <v>1333.7738036999999</v>
      </c>
      <c r="K885">
        <v>0</v>
      </c>
      <c r="L885">
        <v>2400</v>
      </c>
      <c r="M885">
        <v>2400</v>
      </c>
      <c r="N885">
        <v>0</v>
      </c>
    </row>
    <row r="886" spans="1:14" x14ac:dyDescent="0.25">
      <c r="A886">
        <v>191.767809</v>
      </c>
      <c r="B886" s="1">
        <f>DATE(2010,11,8) + TIME(18,25,38)</f>
        <v>40490.767800925925</v>
      </c>
      <c r="C886">
        <v>80</v>
      </c>
      <c r="D886">
        <v>78.885795592999997</v>
      </c>
      <c r="E886">
        <v>50</v>
      </c>
      <c r="F886">
        <v>49.969768524000003</v>
      </c>
      <c r="G886">
        <v>1329.7196045000001</v>
      </c>
      <c r="H886">
        <v>1329.0307617000001</v>
      </c>
      <c r="I886">
        <v>1335.4554443</v>
      </c>
      <c r="J886">
        <v>1333.7711182</v>
      </c>
      <c r="K886">
        <v>0</v>
      </c>
      <c r="L886">
        <v>2400</v>
      </c>
      <c r="M886">
        <v>2400</v>
      </c>
      <c r="N886">
        <v>0</v>
      </c>
    </row>
    <row r="887" spans="1:14" x14ac:dyDescent="0.25">
      <c r="A887">
        <v>192.07668100000001</v>
      </c>
      <c r="B887" s="1">
        <f>DATE(2010,11,9) + TIME(1,50,25)</f>
        <v>40491.076678240737</v>
      </c>
      <c r="C887">
        <v>80</v>
      </c>
      <c r="D887">
        <v>78.844696045000006</v>
      </c>
      <c r="E887">
        <v>50</v>
      </c>
      <c r="F887">
        <v>49.969738006999997</v>
      </c>
      <c r="G887">
        <v>1329.6999512</v>
      </c>
      <c r="H887">
        <v>1329.003418</v>
      </c>
      <c r="I887">
        <v>1335.4494629000001</v>
      </c>
      <c r="J887">
        <v>1333.7684326000001</v>
      </c>
      <c r="K887">
        <v>0</v>
      </c>
      <c r="L887">
        <v>2400</v>
      </c>
      <c r="M887">
        <v>2400</v>
      </c>
      <c r="N887">
        <v>0</v>
      </c>
    </row>
    <row r="888" spans="1:14" x14ac:dyDescent="0.25">
      <c r="A888">
        <v>192.39319399999999</v>
      </c>
      <c r="B888" s="1">
        <f>DATE(2010,11,9) + TIME(9,26,11)</f>
        <v>40491.393182870372</v>
      </c>
      <c r="C888">
        <v>80</v>
      </c>
      <c r="D888">
        <v>78.802345275999997</v>
      </c>
      <c r="E888">
        <v>50</v>
      </c>
      <c r="F888">
        <v>49.969703674000002</v>
      </c>
      <c r="G888">
        <v>1329.6801757999999</v>
      </c>
      <c r="H888">
        <v>1328.9760742000001</v>
      </c>
      <c r="I888">
        <v>1335.4434814000001</v>
      </c>
      <c r="J888">
        <v>1333.7658690999999</v>
      </c>
      <c r="K888">
        <v>0</v>
      </c>
      <c r="L888">
        <v>2400</v>
      </c>
      <c r="M888">
        <v>2400</v>
      </c>
      <c r="N888">
        <v>0</v>
      </c>
    </row>
    <row r="889" spans="1:14" x14ac:dyDescent="0.25">
      <c r="A889">
        <v>192.71645799999999</v>
      </c>
      <c r="B889" s="1">
        <f>DATE(2010,11,9) + TIME(17,11,41)</f>
        <v>40491.716446759259</v>
      </c>
      <c r="C889">
        <v>80</v>
      </c>
      <c r="D889">
        <v>78.758796692000004</v>
      </c>
      <c r="E889">
        <v>50</v>
      </c>
      <c r="F889">
        <v>49.969669342000003</v>
      </c>
      <c r="G889">
        <v>1329.6602783000001</v>
      </c>
      <c r="H889">
        <v>1328.9484863</v>
      </c>
      <c r="I889">
        <v>1335.4376221</v>
      </c>
      <c r="J889">
        <v>1333.7631836</v>
      </c>
      <c r="K889">
        <v>0</v>
      </c>
      <c r="L889">
        <v>2400</v>
      </c>
      <c r="M889">
        <v>2400</v>
      </c>
      <c r="N889">
        <v>0</v>
      </c>
    </row>
    <row r="890" spans="1:14" x14ac:dyDescent="0.25">
      <c r="A890">
        <v>193.04829899999999</v>
      </c>
      <c r="B890" s="1">
        <f>DATE(2010,11,10) + TIME(1,9,33)</f>
        <v>40492.048298611109</v>
      </c>
      <c r="C890">
        <v>80</v>
      </c>
      <c r="D890">
        <v>78.713851929</v>
      </c>
      <c r="E890">
        <v>50</v>
      </c>
      <c r="F890">
        <v>49.969631194999998</v>
      </c>
      <c r="G890">
        <v>1329.6402588000001</v>
      </c>
      <c r="H890">
        <v>1328.9208983999999</v>
      </c>
      <c r="I890">
        <v>1335.4317627</v>
      </c>
      <c r="J890">
        <v>1333.7606201000001</v>
      </c>
      <c r="K890">
        <v>0</v>
      </c>
      <c r="L890">
        <v>2400</v>
      </c>
      <c r="M890">
        <v>2400</v>
      </c>
      <c r="N890">
        <v>0</v>
      </c>
    </row>
    <row r="891" spans="1:14" x14ac:dyDescent="0.25">
      <c r="A891">
        <v>193.38926599999999</v>
      </c>
      <c r="B891" s="1">
        <f>DATE(2010,11,10) + TIME(9,20,32)</f>
        <v>40492.38925925926</v>
      </c>
      <c r="C891">
        <v>80</v>
      </c>
      <c r="D891">
        <v>78.667411803999997</v>
      </c>
      <c r="E891">
        <v>50</v>
      </c>
      <c r="F891">
        <v>49.969593048</v>
      </c>
      <c r="G891">
        <v>1329.6201172000001</v>
      </c>
      <c r="H891">
        <v>1328.8930664</v>
      </c>
      <c r="I891">
        <v>1335.4257812000001</v>
      </c>
      <c r="J891">
        <v>1333.7580565999999</v>
      </c>
      <c r="K891">
        <v>0</v>
      </c>
      <c r="L891">
        <v>2400</v>
      </c>
      <c r="M891">
        <v>2400</v>
      </c>
      <c r="N891">
        <v>0</v>
      </c>
    </row>
    <row r="892" spans="1:14" x14ac:dyDescent="0.25">
      <c r="A892">
        <v>193.739136</v>
      </c>
      <c r="B892" s="1">
        <f>DATE(2010,11,10) + TIME(17,44,21)</f>
        <v>40492.739131944443</v>
      </c>
      <c r="C892">
        <v>80</v>
      </c>
      <c r="D892">
        <v>78.619430542000003</v>
      </c>
      <c r="E892">
        <v>50</v>
      </c>
      <c r="F892">
        <v>49.969551086000003</v>
      </c>
      <c r="G892">
        <v>1329.5997314000001</v>
      </c>
      <c r="H892">
        <v>1328.8649902</v>
      </c>
      <c r="I892">
        <v>1335.4199219</v>
      </c>
      <c r="J892">
        <v>1333.7554932</v>
      </c>
      <c r="K892">
        <v>0</v>
      </c>
      <c r="L892">
        <v>2400</v>
      </c>
      <c r="M892">
        <v>2400</v>
      </c>
      <c r="N892">
        <v>0</v>
      </c>
    </row>
    <row r="893" spans="1:14" x14ac:dyDescent="0.25">
      <c r="A893">
        <v>194.097059</v>
      </c>
      <c r="B893" s="1">
        <f>DATE(2010,11,11) + TIME(2,19,45)</f>
        <v>40493.097048611111</v>
      </c>
      <c r="C893">
        <v>80</v>
      </c>
      <c r="D893">
        <v>78.569946289000001</v>
      </c>
      <c r="E893">
        <v>50</v>
      </c>
      <c r="F893">
        <v>49.969509125000002</v>
      </c>
      <c r="G893">
        <v>1329.5792236</v>
      </c>
      <c r="H893">
        <v>1328.8367920000001</v>
      </c>
      <c r="I893">
        <v>1335.4140625</v>
      </c>
      <c r="J893">
        <v>1333.7529297000001</v>
      </c>
      <c r="K893">
        <v>0</v>
      </c>
      <c r="L893">
        <v>2400</v>
      </c>
      <c r="M893">
        <v>2400</v>
      </c>
      <c r="N893">
        <v>0</v>
      </c>
    </row>
    <row r="894" spans="1:14" x14ac:dyDescent="0.25">
      <c r="A894">
        <v>194.46500399999999</v>
      </c>
      <c r="B894" s="1">
        <f>DATE(2010,11,11) + TIME(11,9,36)</f>
        <v>40493.464999999997</v>
      </c>
      <c r="C894">
        <v>80</v>
      </c>
      <c r="D894">
        <v>78.518745421999995</v>
      </c>
      <c r="E894">
        <v>50</v>
      </c>
      <c r="F894">
        <v>49.969467162999997</v>
      </c>
      <c r="G894">
        <v>1329.5585937999999</v>
      </c>
      <c r="H894">
        <v>1328.8084716999999</v>
      </c>
      <c r="I894">
        <v>1335.4080810999999</v>
      </c>
      <c r="J894">
        <v>1333.7503661999999</v>
      </c>
      <c r="K894">
        <v>0</v>
      </c>
      <c r="L894">
        <v>2400</v>
      </c>
      <c r="M894">
        <v>2400</v>
      </c>
      <c r="N894">
        <v>0</v>
      </c>
    </row>
    <row r="895" spans="1:14" x14ac:dyDescent="0.25">
      <c r="A895">
        <v>194.84507500000001</v>
      </c>
      <c r="B895" s="1">
        <f>DATE(2010,11,11) + TIME(20,16,54)</f>
        <v>40493.845069444447</v>
      </c>
      <c r="C895">
        <v>80</v>
      </c>
      <c r="D895">
        <v>78.465553283999995</v>
      </c>
      <c r="E895">
        <v>50</v>
      </c>
      <c r="F895">
        <v>49.969425201</v>
      </c>
      <c r="G895">
        <v>1329.5377197</v>
      </c>
      <c r="H895">
        <v>1328.7799072</v>
      </c>
      <c r="I895">
        <v>1335.4022216999999</v>
      </c>
      <c r="J895">
        <v>1333.7479248</v>
      </c>
      <c r="K895">
        <v>0</v>
      </c>
      <c r="L895">
        <v>2400</v>
      </c>
      <c r="M895">
        <v>2400</v>
      </c>
      <c r="N895">
        <v>0</v>
      </c>
    </row>
    <row r="896" spans="1:14" x14ac:dyDescent="0.25">
      <c r="A896">
        <v>195.240397</v>
      </c>
      <c r="B896" s="1">
        <f>DATE(2010,11,12) + TIME(5,46,10)</f>
        <v>40494.240393518521</v>
      </c>
      <c r="C896">
        <v>80</v>
      </c>
      <c r="D896">
        <v>78.409980774000005</v>
      </c>
      <c r="E896">
        <v>50</v>
      </c>
      <c r="F896">
        <v>49.969379425</v>
      </c>
      <c r="G896">
        <v>1329.5166016000001</v>
      </c>
      <c r="H896">
        <v>1328.7509766000001</v>
      </c>
      <c r="I896">
        <v>1335.3963623</v>
      </c>
      <c r="J896">
        <v>1333.7454834</v>
      </c>
      <c r="K896">
        <v>0</v>
      </c>
      <c r="L896">
        <v>2400</v>
      </c>
      <c r="M896">
        <v>2400</v>
      </c>
      <c r="N896">
        <v>0</v>
      </c>
    </row>
    <row r="897" spans="1:14" x14ac:dyDescent="0.25">
      <c r="A897">
        <v>195.652366</v>
      </c>
      <c r="B897" s="1">
        <f>DATE(2010,11,12) + TIME(15,39,24)</f>
        <v>40494.652361111112</v>
      </c>
      <c r="C897">
        <v>80</v>
      </c>
      <c r="D897">
        <v>78.351768493999998</v>
      </c>
      <c r="E897">
        <v>50</v>
      </c>
      <c r="F897">
        <v>49.969333648999999</v>
      </c>
      <c r="G897">
        <v>1329.4951172000001</v>
      </c>
      <c r="H897">
        <v>1328.7216797000001</v>
      </c>
      <c r="I897">
        <v>1335.3903809000001</v>
      </c>
      <c r="J897">
        <v>1333.7430420000001</v>
      </c>
      <c r="K897">
        <v>0</v>
      </c>
      <c r="L897">
        <v>2400</v>
      </c>
      <c r="M897">
        <v>2400</v>
      </c>
      <c r="N897">
        <v>0</v>
      </c>
    </row>
    <row r="898" spans="1:14" x14ac:dyDescent="0.25">
      <c r="A898">
        <v>196.06980899999999</v>
      </c>
      <c r="B898" s="1">
        <f>DATE(2010,11,13) + TIME(1,40,31)</f>
        <v>40495.069803240738</v>
      </c>
      <c r="C898">
        <v>80</v>
      </c>
      <c r="D898">
        <v>78.291732788000004</v>
      </c>
      <c r="E898">
        <v>50</v>
      </c>
      <c r="F898">
        <v>49.969287872000002</v>
      </c>
      <c r="G898">
        <v>1329.4731445</v>
      </c>
      <c r="H898">
        <v>1328.6917725000001</v>
      </c>
      <c r="I898">
        <v>1335.3843993999999</v>
      </c>
      <c r="J898">
        <v>1333.7404785000001</v>
      </c>
      <c r="K898">
        <v>0</v>
      </c>
      <c r="L898">
        <v>2400</v>
      </c>
      <c r="M898">
        <v>2400</v>
      </c>
      <c r="N898">
        <v>0</v>
      </c>
    </row>
    <row r="899" spans="1:14" x14ac:dyDescent="0.25">
      <c r="A899">
        <v>196.494606</v>
      </c>
      <c r="B899" s="1">
        <f>DATE(2010,11,13) + TIME(11,52,13)</f>
        <v>40495.49459490741</v>
      </c>
      <c r="C899">
        <v>80</v>
      </c>
      <c r="D899">
        <v>78.229835510000001</v>
      </c>
      <c r="E899">
        <v>50</v>
      </c>
      <c r="F899">
        <v>49.969242096000002</v>
      </c>
      <c r="G899">
        <v>1329.4511719</v>
      </c>
      <c r="H899">
        <v>1328.6619873</v>
      </c>
      <c r="I899">
        <v>1335.378418</v>
      </c>
      <c r="J899">
        <v>1333.7380370999999</v>
      </c>
      <c r="K899">
        <v>0</v>
      </c>
      <c r="L899">
        <v>2400</v>
      </c>
      <c r="M899">
        <v>2400</v>
      </c>
      <c r="N899">
        <v>0</v>
      </c>
    </row>
    <row r="900" spans="1:14" x14ac:dyDescent="0.25">
      <c r="A900">
        <v>196.92834400000001</v>
      </c>
      <c r="B900" s="1">
        <f>DATE(2010,11,13) + TIME(22,16,48)</f>
        <v>40495.928333333337</v>
      </c>
      <c r="C900">
        <v>80</v>
      </c>
      <c r="D900">
        <v>78.165977478000002</v>
      </c>
      <c r="E900">
        <v>50</v>
      </c>
      <c r="F900">
        <v>49.969196320000002</v>
      </c>
      <c r="G900">
        <v>1329.4291992000001</v>
      </c>
      <c r="H900">
        <v>1328.6320800999999</v>
      </c>
      <c r="I900">
        <v>1335.3725586</v>
      </c>
      <c r="J900">
        <v>1333.7357178</v>
      </c>
      <c r="K900">
        <v>0</v>
      </c>
      <c r="L900">
        <v>2400</v>
      </c>
      <c r="M900">
        <v>2400</v>
      </c>
      <c r="N900">
        <v>0</v>
      </c>
    </row>
    <row r="901" spans="1:14" x14ac:dyDescent="0.25">
      <c r="A901">
        <v>197.370431</v>
      </c>
      <c r="B901" s="1">
        <f>DATE(2010,11,14) + TIME(8,53,25)</f>
        <v>40496.370428240742</v>
      </c>
      <c r="C901">
        <v>80</v>
      </c>
      <c r="D901">
        <v>78.100181579999997</v>
      </c>
      <c r="E901">
        <v>50</v>
      </c>
      <c r="F901">
        <v>49.969150542999998</v>
      </c>
      <c r="G901">
        <v>1329.4072266000001</v>
      </c>
      <c r="H901">
        <v>1328.6021728999999</v>
      </c>
      <c r="I901">
        <v>1335.3668213000001</v>
      </c>
      <c r="J901">
        <v>1333.7333983999999</v>
      </c>
      <c r="K901">
        <v>0</v>
      </c>
      <c r="L901">
        <v>2400</v>
      </c>
      <c r="M901">
        <v>2400</v>
      </c>
      <c r="N901">
        <v>0</v>
      </c>
    </row>
    <row r="902" spans="1:14" x14ac:dyDescent="0.25">
      <c r="A902">
        <v>197.82345599999999</v>
      </c>
      <c r="B902" s="1">
        <f>DATE(2010,11,14) + TIME(19,45,46)</f>
        <v>40496.823449074072</v>
      </c>
      <c r="C902">
        <v>80</v>
      </c>
      <c r="D902">
        <v>78.032203674000002</v>
      </c>
      <c r="E902">
        <v>50</v>
      </c>
      <c r="F902">
        <v>49.969104766999997</v>
      </c>
      <c r="G902">
        <v>1329.3851318</v>
      </c>
      <c r="H902">
        <v>1328.5723877</v>
      </c>
      <c r="I902">
        <v>1335.3610839999999</v>
      </c>
      <c r="J902">
        <v>1333.7312012</v>
      </c>
      <c r="K902">
        <v>0</v>
      </c>
      <c r="L902">
        <v>2400</v>
      </c>
      <c r="M902">
        <v>2400</v>
      </c>
      <c r="N902">
        <v>0</v>
      </c>
    </row>
    <row r="903" spans="1:14" x14ac:dyDescent="0.25">
      <c r="A903">
        <v>198.28813600000001</v>
      </c>
      <c r="B903" s="1">
        <f>DATE(2010,11,15) + TIME(6,54,54)</f>
        <v>40497.288124999999</v>
      </c>
      <c r="C903">
        <v>80</v>
      </c>
      <c r="D903">
        <v>77.961891174000002</v>
      </c>
      <c r="E903">
        <v>50</v>
      </c>
      <c r="F903">
        <v>49.969058990000001</v>
      </c>
      <c r="G903">
        <v>1329.3630370999999</v>
      </c>
      <c r="H903">
        <v>1328.5423584</v>
      </c>
      <c r="I903">
        <v>1335.3553466999999</v>
      </c>
      <c r="J903">
        <v>1333.7288818</v>
      </c>
      <c r="K903">
        <v>0</v>
      </c>
      <c r="L903">
        <v>2400</v>
      </c>
      <c r="M903">
        <v>2400</v>
      </c>
      <c r="N903">
        <v>0</v>
      </c>
    </row>
    <row r="904" spans="1:14" x14ac:dyDescent="0.25">
      <c r="A904">
        <v>198.762586</v>
      </c>
      <c r="B904" s="1">
        <f>DATE(2010,11,15) + TIME(18,18,7)</f>
        <v>40497.76258101852</v>
      </c>
      <c r="C904">
        <v>80</v>
      </c>
      <c r="D904">
        <v>77.889320373999993</v>
      </c>
      <c r="E904">
        <v>50</v>
      </c>
      <c r="F904">
        <v>49.969013214</v>
      </c>
      <c r="G904">
        <v>1329.3406981999999</v>
      </c>
      <c r="H904">
        <v>1328.5123291</v>
      </c>
      <c r="I904">
        <v>1335.3496094</v>
      </c>
      <c r="J904">
        <v>1333.7266846</v>
      </c>
      <c r="K904">
        <v>0</v>
      </c>
      <c r="L904">
        <v>2400</v>
      </c>
      <c r="M904">
        <v>2400</v>
      </c>
      <c r="N904">
        <v>0</v>
      </c>
    </row>
    <row r="905" spans="1:14" x14ac:dyDescent="0.25">
      <c r="A905">
        <v>199.24781999999999</v>
      </c>
      <c r="B905" s="1">
        <f>DATE(2010,11,16) + TIME(5,56,51)</f>
        <v>40498.247812499998</v>
      </c>
      <c r="C905">
        <v>80</v>
      </c>
      <c r="D905">
        <v>77.814384459999999</v>
      </c>
      <c r="E905">
        <v>50</v>
      </c>
      <c r="F905">
        <v>49.968967438</v>
      </c>
      <c r="G905">
        <v>1329.3183594</v>
      </c>
      <c r="H905">
        <v>1328.4821777</v>
      </c>
      <c r="I905">
        <v>1335.3439940999999</v>
      </c>
      <c r="J905">
        <v>1333.7244873</v>
      </c>
      <c r="K905">
        <v>0</v>
      </c>
      <c r="L905">
        <v>2400</v>
      </c>
      <c r="M905">
        <v>2400</v>
      </c>
      <c r="N905">
        <v>0</v>
      </c>
    </row>
    <row r="906" spans="1:14" x14ac:dyDescent="0.25">
      <c r="A906">
        <v>199.74354400000001</v>
      </c>
      <c r="B906" s="1">
        <f>DATE(2010,11,16) + TIME(17,50,42)</f>
        <v>40498.743541666663</v>
      </c>
      <c r="C906">
        <v>80</v>
      </c>
      <c r="D906">
        <v>77.737075806000007</v>
      </c>
      <c r="E906">
        <v>50</v>
      </c>
      <c r="F906">
        <v>49.968921661000003</v>
      </c>
      <c r="G906">
        <v>1329.2960204999999</v>
      </c>
      <c r="H906">
        <v>1328.4520264</v>
      </c>
      <c r="I906">
        <v>1335.3383789</v>
      </c>
      <c r="J906">
        <v>1333.7224120999999</v>
      </c>
      <c r="K906">
        <v>0</v>
      </c>
      <c r="L906">
        <v>2400</v>
      </c>
      <c r="M906">
        <v>2400</v>
      </c>
      <c r="N906">
        <v>0</v>
      </c>
    </row>
    <row r="907" spans="1:14" x14ac:dyDescent="0.25">
      <c r="A907">
        <v>200.25267400000001</v>
      </c>
      <c r="B907" s="1">
        <f>DATE(2010,11,17) + TIME(6,3,51)</f>
        <v>40499.25267361111</v>
      </c>
      <c r="C907">
        <v>80</v>
      </c>
      <c r="D907">
        <v>77.657112122000001</v>
      </c>
      <c r="E907">
        <v>50</v>
      </c>
      <c r="F907">
        <v>49.968879700000002</v>
      </c>
      <c r="G907">
        <v>1329.2735596</v>
      </c>
      <c r="H907">
        <v>1328.421875</v>
      </c>
      <c r="I907">
        <v>1335.3327637</v>
      </c>
      <c r="J907">
        <v>1333.7203368999999</v>
      </c>
      <c r="K907">
        <v>0</v>
      </c>
      <c r="L907">
        <v>2400</v>
      </c>
      <c r="M907">
        <v>2400</v>
      </c>
      <c r="N907">
        <v>0</v>
      </c>
    </row>
    <row r="908" spans="1:14" x14ac:dyDescent="0.25">
      <c r="A908">
        <v>200.77874399999999</v>
      </c>
      <c r="B908" s="1">
        <f>DATE(2010,11,17) + TIME(18,41,23)</f>
        <v>40499.778738425928</v>
      </c>
      <c r="C908">
        <v>80</v>
      </c>
      <c r="D908">
        <v>77.574058532999999</v>
      </c>
      <c r="E908">
        <v>50</v>
      </c>
      <c r="F908">
        <v>49.968833922999998</v>
      </c>
      <c r="G908">
        <v>1329.2508545000001</v>
      </c>
      <c r="H908">
        <v>1328.3914795000001</v>
      </c>
      <c r="I908">
        <v>1335.3271483999999</v>
      </c>
      <c r="J908">
        <v>1333.7182617000001</v>
      </c>
      <c r="K908">
        <v>0</v>
      </c>
      <c r="L908">
        <v>2400</v>
      </c>
      <c r="M908">
        <v>2400</v>
      </c>
      <c r="N908">
        <v>0</v>
      </c>
    </row>
    <row r="909" spans="1:14" x14ac:dyDescent="0.25">
      <c r="A909">
        <v>201.30905300000001</v>
      </c>
      <c r="B909" s="1">
        <f>DATE(2010,11,18) + TIME(7,25,2)</f>
        <v>40500.309050925927</v>
      </c>
      <c r="C909">
        <v>80</v>
      </c>
      <c r="D909">
        <v>77.488800049000005</v>
      </c>
      <c r="E909">
        <v>50</v>
      </c>
      <c r="F909">
        <v>49.968788146999998</v>
      </c>
      <c r="G909">
        <v>1329.2280272999999</v>
      </c>
      <c r="H909">
        <v>1328.3609618999999</v>
      </c>
      <c r="I909">
        <v>1335.3215332</v>
      </c>
      <c r="J909">
        <v>1333.7161865</v>
      </c>
      <c r="K909">
        <v>0</v>
      </c>
      <c r="L909">
        <v>2400</v>
      </c>
      <c r="M909">
        <v>2400</v>
      </c>
      <c r="N909">
        <v>0</v>
      </c>
    </row>
    <row r="910" spans="1:14" x14ac:dyDescent="0.25">
      <c r="A910">
        <v>201.84578999999999</v>
      </c>
      <c r="B910" s="1">
        <f>DATE(2010,11,18) + TIME(20,17,56)</f>
        <v>40500.84578703704</v>
      </c>
      <c r="C910">
        <v>80</v>
      </c>
      <c r="D910">
        <v>77.401489257999998</v>
      </c>
      <c r="E910">
        <v>50</v>
      </c>
      <c r="F910">
        <v>49.968746185000001</v>
      </c>
      <c r="G910">
        <v>1329.2053223</v>
      </c>
      <c r="H910">
        <v>1328.3305664</v>
      </c>
      <c r="I910">
        <v>1335.3160399999999</v>
      </c>
      <c r="J910">
        <v>1333.7142334</v>
      </c>
      <c r="K910">
        <v>0</v>
      </c>
      <c r="L910">
        <v>2400</v>
      </c>
      <c r="M910">
        <v>2400</v>
      </c>
      <c r="N910">
        <v>0</v>
      </c>
    </row>
    <row r="911" spans="1:14" x14ac:dyDescent="0.25">
      <c r="A911">
        <v>202.39236199999999</v>
      </c>
      <c r="B911" s="1">
        <f>DATE(2010,11,19) + TIME(9,25,0)</f>
        <v>40501.392361111109</v>
      </c>
      <c r="C911">
        <v>80</v>
      </c>
      <c r="D911">
        <v>77.311943053999997</v>
      </c>
      <c r="E911">
        <v>50</v>
      </c>
      <c r="F911">
        <v>49.968700409</v>
      </c>
      <c r="G911">
        <v>1329.1827393000001</v>
      </c>
      <c r="H911">
        <v>1328.300293</v>
      </c>
      <c r="I911">
        <v>1335.3106689000001</v>
      </c>
      <c r="J911">
        <v>1333.7122803</v>
      </c>
      <c r="K911">
        <v>0</v>
      </c>
      <c r="L911">
        <v>2400</v>
      </c>
      <c r="M911">
        <v>2400</v>
      </c>
      <c r="N911">
        <v>0</v>
      </c>
    </row>
    <row r="912" spans="1:14" x14ac:dyDescent="0.25">
      <c r="A912">
        <v>202.95227</v>
      </c>
      <c r="B912" s="1">
        <f>DATE(2010,11,19) + TIME(22,51,16)</f>
        <v>40501.952268518522</v>
      </c>
      <c r="C912">
        <v>80</v>
      </c>
      <c r="D912">
        <v>77.219802856000001</v>
      </c>
      <c r="E912">
        <v>50</v>
      </c>
      <c r="F912">
        <v>49.968658447000003</v>
      </c>
      <c r="G912">
        <v>1329.1601562000001</v>
      </c>
      <c r="H912">
        <v>1328.2702637</v>
      </c>
      <c r="I912">
        <v>1335.3052978999999</v>
      </c>
      <c r="J912">
        <v>1333.7104492000001</v>
      </c>
      <c r="K912">
        <v>0</v>
      </c>
      <c r="L912">
        <v>2400</v>
      </c>
      <c r="M912">
        <v>2400</v>
      </c>
      <c r="N912">
        <v>0</v>
      </c>
    </row>
    <row r="913" spans="1:14" x14ac:dyDescent="0.25">
      <c r="A913">
        <v>203.52573599999999</v>
      </c>
      <c r="B913" s="1">
        <f>DATE(2010,11,20) + TIME(12,37,3)</f>
        <v>40502.525729166664</v>
      </c>
      <c r="C913">
        <v>80</v>
      </c>
      <c r="D913">
        <v>77.124877929999997</v>
      </c>
      <c r="E913">
        <v>50</v>
      </c>
      <c r="F913">
        <v>49.968616486000002</v>
      </c>
      <c r="G913">
        <v>1329.1375731999999</v>
      </c>
      <c r="H913">
        <v>1328.2401123</v>
      </c>
      <c r="I913">
        <v>1335.2999268000001</v>
      </c>
      <c r="J913">
        <v>1333.7086182</v>
      </c>
      <c r="K913">
        <v>0</v>
      </c>
      <c r="L913">
        <v>2400</v>
      </c>
      <c r="M913">
        <v>2400</v>
      </c>
      <c r="N913">
        <v>0</v>
      </c>
    </row>
    <row r="914" spans="1:14" x14ac:dyDescent="0.25">
      <c r="A914">
        <v>204.106312</v>
      </c>
      <c r="B914" s="1">
        <f>DATE(2010,11,21) + TIME(2,33,5)</f>
        <v>40503.106307870374</v>
      </c>
      <c r="C914">
        <v>80</v>
      </c>
      <c r="D914">
        <v>77.027603149000001</v>
      </c>
      <c r="E914">
        <v>50</v>
      </c>
      <c r="F914">
        <v>49.968574523999997</v>
      </c>
      <c r="G914">
        <v>1329.1148682</v>
      </c>
      <c r="H914">
        <v>1328.2099608999999</v>
      </c>
      <c r="I914">
        <v>1335.2946777</v>
      </c>
      <c r="J914">
        <v>1333.7067870999999</v>
      </c>
      <c r="K914">
        <v>0</v>
      </c>
      <c r="L914">
        <v>2400</v>
      </c>
      <c r="M914">
        <v>2400</v>
      </c>
      <c r="N914">
        <v>0</v>
      </c>
    </row>
    <row r="915" spans="1:14" x14ac:dyDescent="0.25">
      <c r="A915">
        <v>204.69792699999999</v>
      </c>
      <c r="B915" s="1">
        <f>DATE(2010,11,21) + TIME(16,45,0)</f>
        <v>40503.697916666664</v>
      </c>
      <c r="C915">
        <v>80</v>
      </c>
      <c r="D915">
        <v>76.927864075000002</v>
      </c>
      <c r="E915">
        <v>50</v>
      </c>
      <c r="F915">
        <v>49.968532562</v>
      </c>
      <c r="G915">
        <v>1329.0924072</v>
      </c>
      <c r="H915">
        <v>1328.1799315999999</v>
      </c>
      <c r="I915">
        <v>1335.2894286999999</v>
      </c>
      <c r="J915">
        <v>1333.7049560999999</v>
      </c>
      <c r="K915">
        <v>0</v>
      </c>
      <c r="L915">
        <v>2400</v>
      </c>
      <c r="M915">
        <v>2400</v>
      </c>
      <c r="N915">
        <v>0</v>
      </c>
    </row>
    <row r="916" spans="1:14" x14ac:dyDescent="0.25">
      <c r="A916">
        <v>205.30444</v>
      </c>
      <c r="B916" s="1">
        <f>DATE(2010,11,22) + TIME(7,18,23)</f>
        <v>40504.304432870369</v>
      </c>
      <c r="C916">
        <v>80</v>
      </c>
      <c r="D916">
        <v>76.825309752999999</v>
      </c>
      <c r="E916">
        <v>50</v>
      </c>
      <c r="F916">
        <v>49.968490600999999</v>
      </c>
      <c r="G916">
        <v>1329.0698242000001</v>
      </c>
      <c r="H916">
        <v>1328.1500243999999</v>
      </c>
      <c r="I916">
        <v>1335.2841797000001</v>
      </c>
      <c r="J916">
        <v>1333.703125</v>
      </c>
      <c r="K916">
        <v>0</v>
      </c>
      <c r="L916">
        <v>2400</v>
      </c>
      <c r="M916">
        <v>2400</v>
      </c>
      <c r="N916">
        <v>0</v>
      </c>
    </row>
    <row r="917" spans="1:14" x14ac:dyDescent="0.25">
      <c r="A917">
        <v>205.929575</v>
      </c>
      <c r="B917" s="1">
        <f>DATE(2010,11,22) + TIME(22,18,35)</f>
        <v>40504.929571759261</v>
      </c>
      <c r="C917">
        <v>80</v>
      </c>
      <c r="D917">
        <v>76.719421386999997</v>
      </c>
      <c r="E917">
        <v>50</v>
      </c>
      <c r="F917">
        <v>49.968452454000001</v>
      </c>
      <c r="G917">
        <v>1329.0471190999999</v>
      </c>
      <c r="H917">
        <v>1328.1199951000001</v>
      </c>
      <c r="I917">
        <v>1335.2790527</v>
      </c>
      <c r="J917">
        <v>1333.7014160000001</v>
      </c>
      <c r="K917">
        <v>0</v>
      </c>
      <c r="L917">
        <v>2400</v>
      </c>
      <c r="M917">
        <v>2400</v>
      </c>
      <c r="N917">
        <v>0</v>
      </c>
    </row>
    <row r="918" spans="1:14" x14ac:dyDescent="0.25">
      <c r="A918">
        <v>206.55485200000001</v>
      </c>
      <c r="B918" s="1">
        <f>DATE(2010,11,23) + TIME(13,18,59)</f>
        <v>40505.554849537039</v>
      </c>
      <c r="C918">
        <v>80</v>
      </c>
      <c r="D918">
        <v>76.611450195000003</v>
      </c>
      <c r="E918">
        <v>50</v>
      </c>
      <c r="F918">
        <v>49.968410491999997</v>
      </c>
      <c r="G918">
        <v>1329.0244141000001</v>
      </c>
      <c r="H918">
        <v>1328.0898437999999</v>
      </c>
      <c r="I918">
        <v>1335.2738036999999</v>
      </c>
      <c r="J918">
        <v>1333.699707</v>
      </c>
      <c r="K918">
        <v>0</v>
      </c>
      <c r="L918">
        <v>2400</v>
      </c>
      <c r="M918">
        <v>2400</v>
      </c>
      <c r="N918">
        <v>0</v>
      </c>
    </row>
    <row r="919" spans="1:14" x14ac:dyDescent="0.25">
      <c r="A919">
        <v>207.18429599999999</v>
      </c>
      <c r="B919" s="1">
        <f>DATE(2010,11,24) + TIME(4,25,23)</f>
        <v>40506.184293981481</v>
      </c>
      <c r="C919">
        <v>80</v>
      </c>
      <c r="D919">
        <v>76.501831054999997</v>
      </c>
      <c r="E919">
        <v>50</v>
      </c>
      <c r="F919">
        <v>49.968372344999999</v>
      </c>
      <c r="G919">
        <v>1329.0018310999999</v>
      </c>
      <c r="H919">
        <v>1328.0600586</v>
      </c>
      <c r="I919">
        <v>1335.2686768000001</v>
      </c>
      <c r="J919">
        <v>1333.6979980000001</v>
      </c>
      <c r="K919">
        <v>0</v>
      </c>
      <c r="L919">
        <v>2400</v>
      </c>
      <c r="M919">
        <v>2400</v>
      </c>
      <c r="N919">
        <v>0</v>
      </c>
    </row>
    <row r="920" spans="1:14" x14ac:dyDescent="0.25">
      <c r="A920">
        <v>207.822022</v>
      </c>
      <c r="B920" s="1">
        <f>DATE(2010,11,24) + TIME(19,43,42)</f>
        <v>40506.822013888886</v>
      </c>
      <c r="C920">
        <v>80</v>
      </c>
      <c r="D920">
        <v>76.390426636000001</v>
      </c>
      <c r="E920">
        <v>50</v>
      </c>
      <c r="F920">
        <v>49.968334198000001</v>
      </c>
      <c r="G920">
        <v>1328.9796143000001</v>
      </c>
      <c r="H920">
        <v>1328.0306396000001</v>
      </c>
      <c r="I920">
        <v>1335.2636719</v>
      </c>
      <c r="J920">
        <v>1333.6964111</v>
      </c>
      <c r="K920">
        <v>0</v>
      </c>
      <c r="L920">
        <v>2400</v>
      </c>
      <c r="M920">
        <v>2400</v>
      </c>
      <c r="N920">
        <v>0</v>
      </c>
    </row>
    <row r="921" spans="1:14" x14ac:dyDescent="0.25">
      <c r="A921">
        <v>208.47242800000001</v>
      </c>
      <c r="B921" s="1">
        <f>DATE(2010,11,25) + TIME(11,20,17)</f>
        <v>40507.472418981481</v>
      </c>
      <c r="C921">
        <v>80</v>
      </c>
      <c r="D921">
        <v>76.276794433999996</v>
      </c>
      <c r="E921">
        <v>50</v>
      </c>
      <c r="F921">
        <v>49.968296051000003</v>
      </c>
      <c r="G921">
        <v>1328.9575195</v>
      </c>
      <c r="H921">
        <v>1328.0014647999999</v>
      </c>
      <c r="I921">
        <v>1335.2587891000001</v>
      </c>
      <c r="J921">
        <v>1333.6948242000001</v>
      </c>
      <c r="K921">
        <v>0</v>
      </c>
      <c r="L921">
        <v>2400</v>
      </c>
      <c r="M921">
        <v>2400</v>
      </c>
      <c r="N921">
        <v>0</v>
      </c>
    </row>
    <row r="922" spans="1:14" x14ac:dyDescent="0.25">
      <c r="A922">
        <v>209.14017000000001</v>
      </c>
      <c r="B922" s="1">
        <f>DATE(2010,11,26) + TIME(3,21,50)</f>
        <v>40508.140162037038</v>
      </c>
      <c r="C922">
        <v>80</v>
      </c>
      <c r="D922">
        <v>76.160308838000006</v>
      </c>
      <c r="E922">
        <v>50</v>
      </c>
      <c r="F922">
        <v>49.968257903999998</v>
      </c>
      <c r="G922">
        <v>1328.9355469</v>
      </c>
      <c r="H922">
        <v>1327.9724120999999</v>
      </c>
      <c r="I922">
        <v>1335.2539062000001</v>
      </c>
      <c r="J922">
        <v>1333.6933594</v>
      </c>
      <c r="K922">
        <v>0</v>
      </c>
      <c r="L922">
        <v>2400</v>
      </c>
      <c r="M922">
        <v>2400</v>
      </c>
      <c r="N922">
        <v>0</v>
      </c>
    </row>
    <row r="923" spans="1:14" x14ac:dyDescent="0.25">
      <c r="A923">
        <v>209.83021600000001</v>
      </c>
      <c r="B923" s="1">
        <f>DATE(2010,11,26) + TIME(19,55,30)</f>
        <v>40508.830208333333</v>
      </c>
      <c r="C923">
        <v>80</v>
      </c>
      <c r="D923">
        <v>76.040229796999995</v>
      </c>
      <c r="E923">
        <v>50</v>
      </c>
      <c r="F923">
        <v>49.968223571999999</v>
      </c>
      <c r="G923">
        <v>1328.9133300999999</v>
      </c>
      <c r="H923">
        <v>1327.9432373</v>
      </c>
      <c r="I923">
        <v>1335.2489014</v>
      </c>
      <c r="J923">
        <v>1333.6917725000001</v>
      </c>
      <c r="K923">
        <v>0</v>
      </c>
      <c r="L923">
        <v>2400</v>
      </c>
      <c r="M923">
        <v>2400</v>
      </c>
      <c r="N923">
        <v>0</v>
      </c>
    </row>
    <row r="924" spans="1:14" x14ac:dyDescent="0.25">
      <c r="A924">
        <v>210.52554699999999</v>
      </c>
      <c r="B924" s="1">
        <f>DATE(2010,11,27) + TIME(12,36,47)</f>
        <v>40509.525543981479</v>
      </c>
      <c r="C924">
        <v>80</v>
      </c>
      <c r="D924">
        <v>75.917449950999995</v>
      </c>
      <c r="E924">
        <v>50</v>
      </c>
      <c r="F924">
        <v>49.968185425000001</v>
      </c>
      <c r="G924">
        <v>1328.8909911999999</v>
      </c>
      <c r="H924">
        <v>1327.9139404</v>
      </c>
      <c r="I924">
        <v>1335.2440185999999</v>
      </c>
      <c r="J924">
        <v>1333.6901855000001</v>
      </c>
      <c r="K924">
        <v>0</v>
      </c>
      <c r="L924">
        <v>2400</v>
      </c>
      <c r="M924">
        <v>2400</v>
      </c>
      <c r="N924">
        <v>0</v>
      </c>
    </row>
    <row r="925" spans="1:14" x14ac:dyDescent="0.25">
      <c r="A925">
        <v>211.224029</v>
      </c>
      <c r="B925" s="1">
        <f>DATE(2010,11,28) + TIME(5,22,36)</f>
        <v>40510.224027777775</v>
      </c>
      <c r="C925">
        <v>80</v>
      </c>
      <c r="D925">
        <v>75.792892456000004</v>
      </c>
      <c r="E925">
        <v>50</v>
      </c>
      <c r="F925">
        <v>49.968151093000003</v>
      </c>
      <c r="G925">
        <v>1328.8688964999999</v>
      </c>
      <c r="H925">
        <v>1327.8848877</v>
      </c>
      <c r="I925">
        <v>1335.2391356999999</v>
      </c>
      <c r="J925">
        <v>1333.6887207</v>
      </c>
      <c r="K925">
        <v>0</v>
      </c>
      <c r="L925">
        <v>2400</v>
      </c>
      <c r="M925">
        <v>2400</v>
      </c>
      <c r="N925">
        <v>0</v>
      </c>
    </row>
    <row r="926" spans="1:14" x14ac:dyDescent="0.25">
      <c r="A926">
        <v>211.93049300000001</v>
      </c>
      <c r="B926" s="1">
        <f>DATE(2010,11,28) + TIME(22,19,54)</f>
        <v>40510.930486111109</v>
      </c>
      <c r="C926">
        <v>80</v>
      </c>
      <c r="D926">
        <v>75.666679381999998</v>
      </c>
      <c r="E926">
        <v>50</v>
      </c>
      <c r="F926">
        <v>49.968116760000001</v>
      </c>
      <c r="G926">
        <v>1328.8469238</v>
      </c>
      <c r="H926">
        <v>1327.8560791</v>
      </c>
      <c r="I926">
        <v>1335.234375</v>
      </c>
      <c r="J926">
        <v>1333.6872559000001</v>
      </c>
      <c r="K926">
        <v>0</v>
      </c>
      <c r="L926">
        <v>2400</v>
      </c>
      <c r="M926">
        <v>2400</v>
      </c>
      <c r="N926">
        <v>0</v>
      </c>
    </row>
    <row r="927" spans="1:14" x14ac:dyDescent="0.25">
      <c r="A927">
        <v>212.64987500000001</v>
      </c>
      <c r="B927" s="1">
        <f>DATE(2010,11,29) + TIME(15,35,49)</f>
        <v>40511.649872685186</v>
      </c>
      <c r="C927">
        <v>80</v>
      </c>
      <c r="D927">
        <v>75.538391113000003</v>
      </c>
      <c r="E927">
        <v>50</v>
      </c>
      <c r="F927">
        <v>49.968082428000002</v>
      </c>
      <c r="G927">
        <v>1328.8251952999999</v>
      </c>
      <c r="H927">
        <v>1327.8276367000001</v>
      </c>
      <c r="I927">
        <v>1335.2296143000001</v>
      </c>
      <c r="J927">
        <v>1333.6857910000001</v>
      </c>
      <c r="K927">
        <v>0</v>
      </c>
      <c r="L927">
        <v>2400</v>
      </c>
      <c r="M927">
        <v>2400</v>
      </c>
      <c r="N927">
        <v>0</v>
      </c>
    </row>
    <row r="928" spans="1:14" x14ac:dyDescent="0.25">
      <c r="A928">
        <v>213.38576599999999</v>
      </c>
      <c r="B928" s="1">
        <f>DATE(2010,11,30) + TIME(9,15,30)</f>
        <v>40512.385763888888</v>
      </c>
      <c r="C928">
        <v>80</v>
      </c>
      <c r="D928">
        <v>75.407470703000001</v>
      </c>
      <c r="E928">
        <v>50</v>
      </c>
      <c r="F928">
        <v>49.968048095999997</v>
      </c>
      <c r="G928">
        <v>1328.8035889</v>
      </c>
      <c r="H928">
        <v>1327.7991943</v>
      </c>
      <c r="I928">
        <v>1335.2248535000001</v>
      </c>
      <c r="J928">
        <v>1333.6844481999999</v>
      </c>
      <c r="K928">
        <v>0</v>
      </c>
      <c r="L928">
        <v>2400</v>
      </c>
      <c r="M928">
        <v>2400</v>
      </c>
      <c r="N928">
        <v>0</v>
      </c>
    </row>
    <row r="929" spans="1:14" x14ac:dyDescent="0.25">
      <c r="A929">
        <v>214</v>
      </c>
      <c r="B929" s="1">
        <f>DATE(2010,12,1) + TIME(0,0,0)</f>
        <v>40513</v>
      </c>
      <c r="C929">
        <v>80</v>
      </c>
      <c r="D929">
        <v>75.285072326999995</v>
      </c>
      <c r="E929">
        <v>50</v>
      </c>
      <c r="F929">
        <v>49.968013763000002</v>
      </c>
      <c r="G929">
        <v>1328.7819824000001</v>
      </c>
      <c r="H929">
        <v>1327.7712402</v>
      </c>
      <c r="I929">
        <v>1335.2202147999999</v>
      </c>
      <c r="J929">
        <v>1333.6829834</v>
      </c>
      <c r="K929">
        <v>0</v>
      </c>
      <c r="L929">
        <v>2400</v>
      </c>
      <c r="M929">
        <v>2400</v>
      </c>
      <c r="N929">
        <v>0</v>
      </c>
    </row>
    <row r="930" spans="1:14" x14ac:dyDescent="0.25">
      <c r="A930">
        <v>214.741097</v>
      </c>
      <c r="B930" s="1">
        <f>DATE(2010,12,1) + TIME(17,47,10)</f>
        <v>40513.741087962961</v>
      </c>
      <c r="C930">
        <v>80</v>
      </c>
      <c r="D930">
        <v>75.158111571999996</v>
      </c>
      <c r="E930">
        <v>50</v>
      </c>
      <c r="F930">
        <v>49.967987061000002</v>
      </c>
      <c r="G930">
        <v>1328.7631836</v>
      </c>
      <c r="H930">
        <v>1327.7459716999999</v>
      </c>
      <c r="I930">
        <v>1335.2163086</v>
      </c>
      <c r="J930">
        <v>1333.6818848</v>
      </c>
      <c r="K930">
        <v>0</v>
      </c>
      <c r="L930">
        <v>2400</v>
      </c>
      <c r="M930">
        <v>2400</v>
      </c>
      <c r="N930">
        <v>0</v>
      </c>
    </row>
    <row r="931" spans="1:14" x14ac:dyDescent="0.25">
      <c r="A931">
        <v>215.50484</v>
      </c>
      <c r="B931" s="1">
        <f>DATE(2010,12,2) + TIME(12,6,58)</f>
        <v>40514.504837962966</v>
      </c>
      <c r="C931">
        <v>80</v>
      </c>
      <c r="D931">
        <v>75.024772643999995</v>
      </c>
      <c r="E931">
        <v>50</v>
      </c>
      <c r="F931">
        <v>49.967956543</v>
      </c>
      <c r="G931">
        <v>1328.7424315999999</v>
      </c>
      <c r="H931">
        <v>1327.7192382999999</v>
      </c>
      <c r="I931">
        <v>1335.2117920000001</v>
      </c>
      <c r="J931">
        <v>1333.6805420000001</v>
      </c>
      <c r="K931">
        <v>0</v>
      </c>
      <c r="L931">
        <v>2400</v>
      </c>
      <c r="M931">
        <v>2400</v>
      </c>
      <c r="N931">
        <v>0</v>
      </c>
    </row>
    <row r="932" spans="1:14" x14ac:dyDescent="0.25">
      <c r="A932">
        <v>216.28814</v>
      </c>
      <c r="B932" s="1">
        <f>DATE(2010,12,3) + TIME(6,54,55)</f>
        <v>40515.288136574076</v>
      </c>
      <c r="C932">
        <v>80</v>
      </c>
      <c r="D932">
        <v>74.886428832999997</v>
      </c>
      <c r="E932">
        <v>50</v>
      </c>
      <c r="F932">
        <v>49.967926024999997</v>
      </c>
      <c r="G932">
        <v>1328.7214355000001</v>
      </c>
      <c r="H932">
        <v>1327.6918945</v>
      </c>
      <c r="I932">
        <v>1335.2072754000001</v>
      </c>
      <c r="J932">
        <v>1333.6791992000001</v>
      </c>
      <c r="K932">
        <v>0</v>
      </c>
      <c r="L932">
        <v>2400</v>
      </c>
      <c r="M932">
        <v>2400</v>
      </c>
      <c r="N932">
        <v>0</v>
      </c>
    </row>
    <row r="933" spans="1:14" x14ac:dyDescent="0.25">
      <c r="A933">
        <v>217.07917599999999</v>
      </c>
      <c r="B933" s="1">
        <f>DATE(2010,12,4) + TIME(1,54,0)</f>
        <v>40516.07916666667</v>
      </c>
      <c r="C933">
        <v>80</v>
      </c>
      <c r="D933">
        <v>74.744728088000002</v>
      </c>
      <c r="E933">
        <v>50</v>
      </c>
      <c r="F933">
        <v>49.967895507999998</v>
      </c>
      <c r="G933">
        <v>1328.7001952999999</v>
      </c>
      <c r="H933">
        <v>1327.6643065999999</v>
      </c>
      <c r="I933">
        <v>1335.2026367000001</v>
      </c>
      <c r="J933">
        <v>1333.6778564000001</v>
      </c>
      <c r="K933">
        <v>0</v>
      </c>
      <c r="L933">
        <v>2400</v>
      </c>
      <c r="M933">
        <v>2400</v>
      </c>
      <c r="N933">
        <v>0</v>
      </c>
    </row>
    <row r="934" spans="1:14" x14ac:dyDescent="0.25">
      <c r="A934">
        <v>217.87106199999999</v>
      </c>
      <c r="B934" s="1">
        <f>DATE(2010,12,4) + TIME(20,54,19)</f>
        <v>40516.871053240742</v>
      </c>
      <c r="C934">
        <v>80</v>
      </c>
      <c r="D934">
        <v>74.601325989000003</v>
      </c>
      <c r="E934">
        <v>50</v>
      </c>
      <c r="F934">
        <v>49.967868805000002</v>
      </c>
      <c r="G934">
        <v>1328.6790771000001</v>
      </c>
      <c r="H934">
        <v>1327.6368408000001</v>
      </c>
      <c r="I934">
        <v>1335.1981201000001</v>
      </c>
      <c r="J934">
        <v>1333.6765137</v>
      </c>
      <c r="K934">
        <v>0</v>
      </c>
      <c r="L934">
        <v>2400</v>
      </c>
      <c r="M934">
        <v>2400</v>
      </c>
      <c r="N934">
        <v>0</v>
      </c>
    </row>
    <row r="935" spans="1:14" x14ac:dyDescent="0.25">
      <c r="A935">
        <v>218.669397</v>
      </c>
      <c r="B935" s="1">
        <f>DATE(2010,12,5) + TIME(16,3,55)</f>
        <v>40517.669386574074</v>
      </c>
      <c r="C935">
        <v>80</v>
      </c>
      <c r="D935">
        <v>74.456741332999997</v>
      </c>
      <c r="E935">
        <v>50</v>
      </c>
      <c r="F935">
        <v>49.967838286999999</v>
      </c>
      <c r="G935">
        <v>1328.6582031</v>
      </c>
      <c r="H935">
        <v>1327.6097411999999</v>
      </c>
      <c r="I935">
        <v>1335.1937256000001</v>
      </c>
      <c r="J935">
        <v>1333.675293</v>
      </c>
      <c r="K935">
        <v>0</v>
      </c>
      <c r="L935">
        <v>2400</v>
      </c>
      <c r="M935">
        <v>2400</v>
      </c>
      <c r="N935">
        <v>0</v>
      </c>
    </row>
    <row r="936" spans="1:14" x14ac:dyDescent="0.25">
      <c r="A936">
        <v>219.47987000000001</v>
      </c>
      <c r="B936" s="1">
        <f>DATE(2010,12,6) + TIME(11,31,0)</f>
        <v>40518.479861111111</v>
      </c>
      <c r="C936">
        <v>80</v>
      </c>
      <c r="D936">
        <v>74.310577393000003</v>
      </c>
      <c r="E936">
        <v>50</v>
      </c>
      <c r="F936">
        <v>49.967811584000003</v>
      </c>
      <c r="G936">
        <v>1328.6375731999999</v>
      </c>
      <c r="H936">
        <v>1327.5828856999999</v>
      </c>
      <c r="I936">
        <v>1335.1893310999999</v>
      </c>
      <c r="J936">
        <v>1333.6740723</v>
      </c>
      <c r="K936">
        <v>0</v>
      </c>
      <c r="L936">
        <v>2400</v>
      </c>
      <c r="M936">
        <v>2400</v>
      </c>
      <c r="N936">
        <v>0</v>
      </c>
    </row>
    <row r="937" spans="1:14" x14ac:dyDescent="0.25">
      <c r="A937">
        <v>220.308314</v>
      </c>
      <c r="B937" s="1">
        <f>DATE(2010,12,7) + TIME(7,23,58)</f>
        <v>40519.308310185188</v>
      </c>
      <c r="C937">
        <v>80</v>
      </c>
      <c r="D937">
        <v>74.162094116000006</v>
      </c>
      <c r="E937">
        <v>50</v>
      </c>
      <c r="F937">
        <v>49.967784881999997</v>
      </c>
      <c r="G937">
        <v>1328.6169434000001</v>
      </c>
      <c r="H937">
        <v>1327.5561522999999</v>
      </c>
      <c r="I937">
        <v>1335.1849365</v>
      </c>
      <c r="J937">
        <v>1333.6728516000001</v>
      </c>
      <c r="K937">
        <v>0</v>
      </c>
      <c r="L937">
        <v>2400</v>
      </c>
      <c r="M937">
        <v>2400</v>
      </c>
      <c r="N937">
        <v>0</v>
      </c>
    </row>
    <row r="938" spans="1:14" x14ac:dyDescent="0.25">
      <c r="A938">
        <v>221.16085000000001</v>
      </c>
      <c r="B938" s="1">
        <f>DATE(2010,12,8) + TIME(3,51,37)</f>
        <v>40520.160844907405</v>
      </c>
      <c r="C938">
        <v>80</v>
      </c>
      <c r="D938">
        <v>74.010360718000001</v>
      </c>
      <c r="E938">
        <v>50</v>
      </c>
      <c r="F938">
        <v>49.967758179</v>
      </c>
      <c r="G938">
        <v>1328.5964355000001</v>
      </c>
      <c r="H938">
        <v>1327.5295410000001</v>
      </c>
      <c r="I938">
        <v>1335.1806641000001</v>
      </c>
      <c r="J938">
        <v>1333.6716309000001</v>
      </c>
      <c r="K938">
        <v>0</v>
      </c>
      <c r="L938">
        <v>2400</v>
      </c>
      <c r="M938">
        <v>2400</v>
      </c>
      <c r="N938">
        <v>0</v>
      </c>
    </row>
    <row r="939" spans="1:14" x14ac:dyDescent="0.25">
      <c r="A939">
        <v>222.019958</v>
      </c>
      <c r="B939" s="1">
        <f>DATE(2010,12,9) + TIME(0,28,44)</f>
        <v>40521.019953703704</v>
      </c>
      <c r="C939">
        <v>80</v>
      </c>
      <c r="D939">
        <v>73.855934142999999</v>
      </c>
      <c r="E939">
        <v>50</v>
      </c>
      <c r="F939">
        <v>49.967735290999997</v>
      </c>
      <c r="G939">
        <v>1328.5758057</v>
      </c>
      <c r="H939">
        <v>1327.5029297000001</v>
      </c>
      <c r="I939">
        <v>1335.1762695</v>
      </c>
      <c r="J939">
        <v>1333.6702881000001</v>
      </c>
      <c r="K939">
        <v>0</v>
      </c>
      <c r="L939">
        <v>2400</v>
      </c>
      <c r="M939">
        <v>2400</v>
      </c>
      <c r="N939">
        <v>0</v>
      </c>
    </row>
    <row r="940" spans="1:14" x14ac:dyDescent="0.25">
      <c r="A940">
        <v>222.87961899999999</v>
      </c>
      <c r="B940" s="1">
        <f>DATE(2010,12,9) + TIME(21,6,39)</f>
        <v>40521.879618055558</v>
      </c>
      <c r="C940">
        <v>80</v>
      </c>
      <c r="D940">
        <v>73.700256347999996</v>
      </c>
      <c r="E940">
        <v>50</v>
      </c>
      <c r="F940">
        <v>49.967708588000001</v>
      </c>
      <c r="G940">
        <v>1328.5552978999999</v>
      </c>
      <c r="H940">
        <v>1327.4764404</v>
      </c>
      <c r="I940">
        <v>1335.171875</v>
      </c>
      <c r="J940">
        <v>1333.6691894999999</v>
      </c>
      <c r="K940">
        <v>0</v>
      </c>
      <c r="L940">
        <v>2400</v>
      </c>
      <c r="M940">
        <v>2400</v>
      </c>
      <c r="N940">
        <v>0</v>
      </c>
    </row>
    <row r="941" spans="1:14" x14ac:dyDescent="0.25">
      <c r="A941">
        <v>223.74612500000001</v>
      </c>
      <c r="B941" s="1">
        <f>DATE(2010,12,10) + TIME(17,54,25)</f>
        <v>40522.746122685188</v>
      </c>
      <c r="C941">
        <v>80</v>
      </c>
      <c r="D941">
        <v>73.543731688999998</v>
      </c>
      <c r="E941">
        <v>50</v>
      </c>
      <c r="F941">
        <v>49.967685699</v>
      </c>
      <c r="G941">
        <v>1328.5351562000001</v>
      </c>
      <c r="H941">
        <v>1327.4501952999999</v>
      </c>
      <c r="I941">
        <v>1335.1677245999999</v>
      </c>
      <c r="J941">
        <v>1333.6679687999999</v>
      </c>
      <c r="K941">
        <v>0</v>
      </c>
      <c r="L941">
        <v>2400</v>
      </c>
      <c r="M941">
        <v>2400</v>
      </c>
      <c r="N941">
        <v>0</v>
      </c>
    </row>
    <row r="942" spans="1:14" x14ac:dyDescent="0.25">
      <c r="A942">
        <v>224.62598299999999</v>
      </c>
      <c r="B942" s="1">
        <f>DATE(2010,12,11) + TIME(15,1,24)</f>
        <v>40523.625972222224</v>
      </c>
      <c r="C942">
        <v>80</v>
      </c>
      <c r="D942">
        <v>73.385818481000001</v>
      </c>
      <c r="E942">
        <v>50</v>
      </c>
      <c r="F942">
        <v>49.967662810999997</v>
      </c>
      <c r="G942">
        <v>1328.5151367000001</v>
      </c>
      <c r="H942">
        <v>1327.4244385</v>
      </c>
      <c r="I942">
        <v>1335.1634521000001</v>
      </c>
      <c r="J942">
        <v>1333.6667480000001</v>
      </c>
      <c r="K942">
        <v>0</v>
      </c>
      <c r="L942">
        <v>2400</v>
      </c>
      <c r="M942">
        <v>2400</v>
      </c>
      <c r="N942">
        <v>0</v>
      </c>
    </row>
    <row r="943" spans="1:14" x14ac:dyDescent="0.25">
      <c r="A943">
        <v>225.52353600000001</v>
      </c>
      <c r="B943" s="1">
        <f>DATE(2010,12,12) + TIME(12,33,53)</f>
        <v>40524.523530092592</v>
      </c>
      <c r="C943">
        <v>80</v>
      </c>
      <c r="D943">
        <v>73.225738524999997</v>
      </c>
      <c r="E943">
        <v>50</v>
      </c>
      <c r="F943">
        <v>49.967639923</v>
      </c>
      <c r="G943">
        <v>1328.4953613</v>
      </c>
      <c r="H943">
        <v>1327.3988036999999</v>
      </c>
      <c r="I943">
        <v>1335.1593018000001</v>
      </c>
      <c r="J943">
        <v>1333.6656493999999</v>
      </c>
      <c r="K943">
        <v>0</v>
      </c>
      <c r="L943">
        <v>2400</v>
      </c>
      <c r="M943">
        <v>2400</v>
      </c>
      <c r="N943">
        <v>0</v>
      </c>
    </row>
    <row r="944" spans="1:14" x14ac:dyDescent="0.25">
      <c r="A944">
        <v>226.428167</v>
      </c>
      <c r="B944" s="1">
        <f>DATE(2010,12,13) + TIME(10,16,33)</f>
        <v>40525.428159722222</v>
      </c>
      <c r="C944">
        <v>80</v>
      </c>
      <c r="D944">
        <v>73.063705443999993</v>
      </c>
      <c r="E944">
        <v>50</v>
      </c>
      <c r="F944">
        <v>49.967620850000003</v>
      </c>
      <c r="G944">
        <v>1328.4754639</v>
      </c>
      <c r="H944">
        <v>1327.3731689000001</v>
      </c>
      <c r="I944">
        <v>1335.1551514</v>
      </c>
      <c r="J944">
        <v>1333.6644286999999</v>
      </c>
      <c r="K944">
        <v>0</v>
      </c>
      <c r="L944">
        <v>2400</v>
      </c>
      <c r="M944">
        <v>2400</v>
      </c>
      <c r="N944">
        <v>0</v>
      </c>
    </row>
    <row r="945" spans="1:14" x14ac:dyDescent="0.25">
      <c r="A945">
        <v>227.346374</v>
      </c>
      <c r="B945" s="1">
        <f>DATE(2010,12,14) + TIME(8,18,46)</f>
        <v>40526.346365740741</v>
      </c>
      <c r="C945">
        <v>80</v>
      </c>
      <c r="D945">
        <v>72.899932860999996</v>
      </c>
      <c r="E945">
        <v>50</v>
      </c>
      <c r="F945">
        <v>49.967597961000003</v>
      </c>
      <c r="G945">
        <v>1328.4558105000001</v>
      </c>
      <c r="H945">
        <v>1327.3477783000001</v>
      </c>
      <c r="I945">
        <v>1335.151001</v>
      </c>
      <c r="J945">
        <v>1333.6633300999999</v>
      </c>
      <c r="K945">
        <v>0</v>
      </c>
      <c r="L945">
        <v>2400</v>
      </c>
      <c r="M945">
        <v>2400</v>
      </c>
      <c r="N945">
        <v>0</v>
      </c>
    </row>
    <row r="946" spans="1:14" x14ac:dyDescent="0.25">
      <c r="A946">
        <v>228.283985</v>
      </c>
      <c r="B946" s="1">
        <f>DATE(2010,12,15) + TIME(6,48,56)</f>
        <v>40527.28398148148</v>
      </c>
      <c r="C946">
        <v>80</v>
      </c>
      <c r="D946">
        <v>72.733833313000005</v>
      </c>
      <c r="E946">
        <v>50</v>
      </c>
      <c r="F946">
        <v>49.967578887999998</v>
      </c>
      <c r="G946">
        <v>1328.4362793</v>
      </c>
      <c r="H946">
        <v>1327.3226318</v>
      </c>
      <c r="I946">
        <v>1335.1469727000001</v>
      </c>
      <c r="J946">
        <v>1333.6622314000001</v>
      </c>
      <c r="K946">
        <v>0</v>
      </c>
      <c r="L946">
        <v>2400</v>
      </c>
      <c r="M946">
        <v>2400</v>
      </c>
      <c r="N946">
        <v>0</v>
      </c>
    </row>
    <row r="947" spans="1:14" x14ac:dyDescent="0.25">
      <c r="A947">
        <v>229.22714500000001</v>
      </c>
      <c r="B947" s="1">
        <f>DATE(2010,12,16) + TIME(5,27,5)</f>
        <v>40528.227141203701</v>
      </c>
      <c r="C947">
        <v>80</v>
      </c>
      <c r="D947">
        <v>72.565750121999997</v>
      </c>
      <c r="E947">
        <v>50</v>
      </c>
      <c r="F947">
        <v>49.967559813999998</v>
      </c>
      <c r="G947">
        <v>1328.4167480000001</v>
      </c>
      <c r="H947">
        <v>1327.2974853999999</v>
      </c>
      <c r="I947">
        <v>1335.1428223</v>
      </c>
      <c r="J947">
        <v>1333.6610106999999</v>
      </c>
      <c r="K947">
        <v>0</v>
      </c>
      <c r="L947">
        <v>2400</v>
      </c>
      <c r="M947">
        <v>2400</v>
      </c>
      <c r="N947">
        <v>0</v>
      </c>
    </row>
    <row r="948" spans="1:14" x14ac:dyDescent="0.25">
      <c r="A948">
        <v>230.17888600000001</v>
      </c>
      <c r="B948" s="1">
        <f>DATE(2010,12,17) + TIME(4,17,35)</f>
        <v>40529.178877314815</v>
      </c>
      <c r="C948">
        <v>80</v>
      </c>
      <c r="D948">
        <v>72.396400451999995</v>
      </c>
      <c r="E948">
        <v>50</v>
      </c>
      <c r="F948">
        <v>49.967540741000001</v>
      </c>
      <c r="G948">
        <v>1328.3973389</v>
      </c>
      <c r="H948">
        <v>1327.2725829999999</v>
      </c>
      <c r="I948">
        <v>1335.1387939000001</v>
      </c>
      <c r="J948">
        <v>1333.6599120999999</v>
      </c>
      <c r="K948">
        <v>0</v>
      </c>
      <c r="L948">
        <v>2400</v>
      </c>
      <c r="M948">
        <v>2400</v>
      </c>
      <c r="N948">
        <v>0</v>
      </c>
    </row>
    <row r="949" spans="1:14" x14ac:dyDescent="0.25">
      <c r="A949">
        <v>231.13436899999999</v>
      </c>
      <c r="B949" s="1">
        <f>DATE(2010,12,18) + TIME(3,13,29)</f>
        <v>40530.134363425925</v>
      </c>
      <c r="C949">
        <v>80</v>
      </c>
      <c r="D949">
        <v>72.226173400999997</v>
      </c>
      <c r="E949">
        <v>50</v>
      </c>
      <c r="F949">
        <v>49.967525481999999</v>
      </c>
      <c r="G949">
        <v>1328.3781738</v>
      </c>
      <c r="H949">
        <v>1327.2479248</v>
      </c>
      <c r="I949">
        <v>1335.1347656</v>
      </c>
      <c r="J949">
        <v>1333.6588135</v>
      </c>
      <c r="K949">
        <v>0</v>
      </c>
      <c r="L949">
        <v>2400</v>
      </c>
      <c r="M949">
        <v>2400</v>
      </c>
      <c r="N949">
        <v>0</v>
      </c>
    </row>
    <row r="950" spans="1:14" x14ac:dyDescent="0.25">
      <c r="A950">
        <v>232.100675</v>
      </c>
      <c r="B950" s="1">
        <f>DATE(2010,12,19) + TIME(2,24,58)</f>
        <v>40531.100671296299</v>
      </c>
      <c r="C950">
        <v>80</v>
      </c>
      <c r="D950">
        <v>72.055076599000003</v>
      </c>
      <c r="E950">
        <v>50</v>
      </c>
      <c r="F950">
        <v>49.967506409000002</v>
      </c>
      <c r="G950">
        <v>1328.3592529</v>
      </c>
      <c r="H950">
        <v>1327.2235106999999</v>
      </c>
      <c r="I950">
        <v>1335.1308594</v>
      </c>
      <c r="J950">
        <v>1333.6577147999999</v>
      </c>
      <c r="K950">
        <v>0</v>
      </c>
      <c r="L950">
        <v>2400</v>
      </c>
      <c r="M950">
        <v>2400</v>
      </c>
      <c r="N950">
        <v>0</v>
      </c>
    </row>
    <row r="951" spans="1:14" x14ac:dyDescent="0.25">
      <c r="A951">
        <v>233.08519699999999</v>
      </c>
      <c r="B951" s="1">
        <f>DATE(2010,12,20) + TIME(2,2,41)</f>
        <v>40532.085196759261</v>
      </c>
      <c r="C951">
        <v>80</v>
      </c>
      <c r="D951">
        <v>71.882293700999995</v>
      </c>
      <c r="E951">
        <v>50</v>
      </c>
      <c r="F951">
        <v>49.967494965</v>
      </c>
      <c r="G951">
        <v>1328.3404541</v>
      </c>
      <c r="H951">
        <v>1327.1993408000001</v>
      </c>
      <c r="I951">
        <v>1335.1269531</v>
      </c>
      <c r="J951">
        <v>1333.6566161999999</v>
      </c>
      <c r="K951">
        <v>0</v>
      </c>
      <c r="L951">
        <v>2400</v>
      </c>
      <c r="M951">
        <v>2400</v>
      </c>
      <c r="N951">
        <v>0</v>
      </c>
    </row>
    <row r="952" spans="1:14" x14ac:dyDescent="0.25">
      <c r="A952">
        <v>234.09563600000001</v>
      </c>
      <c r="B952" s="1">
        <f>DATE(2010,12,21) + TIME(2,17,42)</f>
        <v>40533.095625000002</v>
      </c>
      <c r="C952">
        <v>80</v>
      </c>
      <c r="D952">
        <v>71.706710814999994</v>
      </c>
      <c r="E952">
        <v>50</v>
      </c>
      <c r="F952">
        <v>49.967479705999999</v>
      </c>
      <c r="G952">
        <v>1328.3217772999999</v>
      </c>
      <c r="H952">
        <v>1327.175293</v>
      </c>
      <c r="I952">
        <v>1335.1230469</v>
      </c>
      <c r="J952">
        <v>1333.6556396000001</v>
      </c>
      <c r="K952">
        <v>0</v>
      </c>
      <c r="L952">
        <v>2400</v>
      </c>
      <c r="M952">
        <v>2400</v>
      </c>
      <c r="N952">
        <v>0</v>
      </c>
    </row>
    <row r="953" spans="1:14" x14ac:dyDescent="0.25">
      <c r="A953">
        <v>234.606436</v>
      </c>
      <c r="B953" s="1">
        <f>DATE(2010,12,21) + TIME(14,33,16)</f>
        <v>40533.606435185182</v>
      </c>
      <c r="C953">
        <v>80</v>
      </c>
      <c r="D953">
        <v>71.572120666999993</v>
      </c>
      <c r="E953">
        <v>50</v>
      </c>
      <c r="F953">
        <v>49.967456818000002</v>
      </c>
      <c r="G953">
        <v>1328.3031006000001</v>
      </c>
      <c r="H953">
        <v>1327.1520995999999</v>
      </c>
      <c r="I953">
        <v>1335.1190185999999</v>
      </c>
      <c r="J953">
        <v>1333.6544189000001</v>
      </c>
      <c r="K953">
        <v>0</v>
      </c>
      <c r="L953">
        <v>2400</v>
      </c>
      <c r="M953">
        <v>2400</v>
      </c>
      <c r="N953">
        <v>0</v>
      </c>
    </row>
    <row r="954" spans="1:14" x14ac:dyDescent="0.25">
      <c r="A954">
        <v>235.11723499999999</v>
      </c>
      <c r="B954" s="1">
        <f>DATE(2010,12,22) + TIME(2,48,49)</f>
        <v>40534.1172337963</v>
      </c>
      <c r="C954">
        <v>80</v>
      </c>
      <c r="D954">
        <v>71.459945679</v>
      </c>
      <c r="E954">
        <v>50</v>
      </c>
      <c r="F954">
        <v>49.967441559000001</v>
      </c>
      <c r="G954">
        <v>1328.2917480000001</v>
      </c>
      <c r="H954">
        <v>1327.1361084</v>
      </c>
      <c r="I954">
        <v>1335.1170654</v>
      </c>
      <c r="J954">
        <v>1333.6539307</v>
      </c>
      <c r="K954">
        <v>0</v>
      </c>
      <c r="L954">
        <v>2400</v>
      </c>
      <c r="M954">
        <v>2400</v>
      </c>
      <c r="N954">
        <v>0</v>
      </c>
    </row>
    <row r="955" spans="1:14" x14ac:dyDescent="0.25">
      <c r="A955">
        <v>235.62803500000001</v>
      </c>
      <c r="B955" s="1">
        <f>DATE(2010,12,22) + TIME(15,4,22)</f>
        <v>40534.628032407411</v>
      </c>
      <c r="C955">
        <v>80</v>
      </c>
      <c r="D955">
        <v>71.358833313000005</v>
      </c>
      <c r="E955">
        <v>50</v>
      </c>
      <c r="F955">
        <v>49.967430114999999</v>
      </c>
      <c r="G955">
        <v>1328.2813721</v>
      </c>
      <c r="H955">
        <v>1327.1220702999999</v>
      </c>
      <c r="I955">
        <v>1335.1151123</v>
      </c>
      <c r="J955">
        <v>1333.6533202999999</v>
      </c>
      <c r="K955">
        <v>0</v>
      </c>
      <c r="L955">
        <v>2400</v>
      </c>
      <c r="M955">
        <v>2400</v>
      </c>
      <c r="N955">
        <v>0</v>
      </c>
    </row>
    <row r="956" spans="1:14" x14ac:dyDescent="0.25">
      <c r="A956">
        <v>236.138834</v>
      </c>
      <c r="B956" s="1">
        <f>DATE(2010,12,23) + TIME(3,19,55)</f>
        <v>40535.138831018521</v>
      </c>
      <c r="C956">
        <v>80</v>
      </c>
      <c r="D956">
        <v>71.263214110999996</v>
      </c>
      <c r="E956">
        <v>50</v>
      </c>
      <c r="F956">
        <v>49.967422485</v>
      </c>
      <c r="G956">
        <v>1328.2714844</v>
      </c>
      <c r="H956">
        <v>1327.1090088000001</v>
      </c>
      <c r="I956">
        <v>1335.1131591999999</v>
      </c>
      <c r="J956">
        <v>1333.652832</v>
      </c>
      <c r="K956">
        <v>0</v>
      </c>
      <c r="L956">
        <v>2400</v>
      </c>
      <c r="M956">
        <v>2400</v>
      </c>
      <c r="N956">
        <v>0</v>
      </c>
    </row>
    <row r="957" spans="1:14" x14ac:dyDescent="0.25">
      <c r="A957">
        <v>236.64963299999999</v>
      </c>
      <c r="B957" s="1">
        <f>DATE(2010,12,23) + TIME(15,35,28)</f>
        <v>40535.649629629632</v>
      </c>
      <c r="C957">
        <v>80</v>
      </c>
      <c r="D957">
        <v>71.170379639000004</v>
      </c>
      <c r="E957">
        <v>50</v>
      </c>
      <c r="F957">
        <v>49.967414855999998</v>
      </c>
      <c r="G957">
        <v>1328.2619629000001</v>
      </c>
      <c r="H957">
        <v>1327.0966797000001</v>
      </c>
      <c r="I957">
        <v>1335.1113281</v>
      </c>
      <c r="J957">
        <v>1333.6523437999999</v>
      </c>
      <c r="K957">
        <v>0</v>
      </c>
      <c r="L957">
        <v>2400</v>
      </c>
      <c r="M957">
        <v>2400</v>
      </c>
      <c r="N957">
        <v>0</v>
      </c>
    </row>
    <row r="958" spans="1:14" x14ac:dyDescent="0.25">
      <c r="A958">
        <v>237.671232</v>
      </c>
      <c r="B958" s="1">
        <f>DATE(2010,12,24) + TIME(16,6,34)</f>
        <v>40536.671226851853</v>
      </c>
      <c r="C958">
        <v>80</v>
      </c>
      <c r="D958">
        <v>71.049446106000005</v>
      </c>
      <c r="E958">
        <v>50</v>
      </c>
      <c r="F958">
        <v>49.9674263</v>
      </c>
      <c r="G958">
        <v>1328.2526855000001</v>
      </c>
      <c r="H958">
        <v>1327.0839844</v>
      </c>
      <c r="I958">
        <v>1335.1094971</v>
      </c>
      <c r="J958">
        <v>1333.6518555</v>
      </c>
      <c r="K958">
        <v>0</v>
      </c>
      <c r="L958">
        <v>2400</v>
      </c>
      <c r="M958">
        <v>2400</v>
      </c>
      <c r="N958">
        <v>0</v>
      </c>
    </row>
    <row r="959" spans="1:14" x14ac:dyDescent="0.25">
      <c r="A959">
        <v>238.69739999999999</v>
      </c>
      <c r="B959" s="1">
        <f>DATE(2010,12,25) + TIME(16,44,15)</f>
        <v>40537.697395833333</v>
      </c>
      <c r="C959">
        <v>80</v>
      </c>
      <c r="D959">
        <v>70.889091492000006</v>
      </c>
      <c r="E959">
        <v>50</v>
      </c>
      <c r="F959">
        <v>49.967422485</v>
      </c>
      <c r="G959">
        <v>1328.2371826000001</v>
      </c>
      <c r="H959">
        <v>1327.0656738</v>
      </c>
      <c r="I959">
        <v>1335.1057129000001</v>
      </c>
      <c r="J959">
        <v>1333.6507568</v>
      </c>
      <c r="K959">
        <v>0</v>
      </c>
      <c r="L959">
        <v>2400</v>
      </c>
      <c r="M959">
        <v>2400</v>
      </c>
      <c r="N959">
        <v>0</v>
      </c>
    </row>
    <row r="960" spans="1:14" x14ac:dyDescent="0.25">
      <c r="A960">
        <v>239.750676</v>
      </c>
      <c r="B960" s="1">
        <f>DATE(2010,12,26) + TIME(18,0,58)</f>
        <v>40538.750671296293</v>
      </c>
      <c r="C960">
        <v>80</v>
      </c>
      <c r="D960">
        <v>70.715011597</v>
      </c>
      <c r="E960">
        <v>50</v>
      </c>
      <c r="F960">
        <v>49.967414855999998</v>
      </c>
      <c r="G960">
        <v>1328.2203368999999</v>
      </c>
      <c r="H960">
        <v>1327.0446777</v>
      </c>
      <c r="I960">
        <v>1335.1020507999999</v>
      </c>
      <c r="J960">
        <v>1333.6497803</v>
      </c>
      <c r="K960">
        <v>0</v>
      </c>
      <c r="L960">
        <v>2400</v>
      </c>
      <c r="M960">
        <v>2400</v>
      </c>
      <c r="N960">
        <v>0</v>
      </c>
    </row>
    <row r="961" spans="1:14" x14ac:dyDescent="0.25">
      <c r="A961">
        <v>240.828126</v>
      </c>
      <c r="B961" s="1">
        <f>DATE(2010,12,27) + TIME(19,52,30)</f>
        <v>40539.828125</v>
      </c>
      <c r="C961">
        <v>80</v>
      </c>
      <c r="D961">
        <v>70.533935546999999</v>
      </c>
      <c r="E961">
        <v>50</v>
      </c>
      <c r="F961">
        <v>49.967407227000002</v>
      </c>
      <c r="G961">
        <v>1328.2028809000001</v>
      </c>
      <c r="H961">
        <v>1327.0225829999999</v>
      </c>
      <c r="I961">
        <v>1335.0982666</v>
      </c>
      <c r="J961">
        <v>1333.6486815999999</v>
      </c>
      <c r="K961">
        <v>0</v>
      </c>
      <c r="L961">
        <v>2400</v>
      </c>
      <c r="M961">
        <v>2400</v>
      </c>
      <c r="N961">
        <v>0</v>
      </c>
    </row>
    <row r="962" spans="1:14" x14ac:dyDescent="0.25">
      <c r="A962">
        <v>241.926074</v>
      </c>
      <c r="B962" s="1">
        <f>DATE(2010,12,28) + TIME(22,13,32)</f>
        <v>40540.926064814812</v>
      </c>
      <c r="C962">
        <v>80</v>
      </c>
      <c r="D962">
        <v>70.348449707</v>
      </c>
      <c r="E962">
        <v>50</v>
      </c>
      <c r="F962">
        <v>49.967399596999996</v>
      </c>
      <c r="G962">
        <v>1328.1853027</v>
      </c>
      <c r="H962">
        <v>1327.0001221</v>
      </c>
      <c r="I962">
        <v>1335.0946045000001</v>
      </c>
      <c r="J962">
        <v>1333.6475829999999</v>
      </c>
      <c r="K962">
        <v>0</v>
      </c>
      <c r="L962">
        <v>2400</v>
      </c>
      <c r="M962">
        <v>2400</v>
      </c>
      <c r="N962">
        <v>0</v>
      </c>
    </row>
    <row r="963" spans="1:14" x14ac:dyDescent="0.25">
      <c r="A963">
        <v>243.03363999999999</v>
      </c>
      <c r="B963" s="1">
        <f>DATE(2010,12,30) + TIME(0,48,26)</f>
        <v>40542.033634259256</v>
      </c>
      <c r="C963">
        <v>80</v>
      </c>
      <c r="D963">
        <v>70.160293578999998</v>
      </c>
      <c r="E963">
        <v>50</v>
      </c>
      <c r="F963">
        <v>49.967391968000001</v>
      </c>
      <c r="G963">
        <v>1328.1674805</v>
      </c>
      <c r="H963">
        <v>1326.9774170000001</v>
      </c>
      <c r="I963">
        <v>1335.0908202999999</v>
      </c>
      <c r="J963">
        <v>1333.6466064000001</v>
      </c>
      <c r="K963">
        <v>0</v>
      </c>
      <c r="L963">
        <v>2400</v>
      </c>
      <c r="M963">
        <v>2400</v>
      </c>
      <c r="N963">
        <v>0</v>
      </c>
    </row>
    <row r="964" spans="1:14" x14ac:dyDescent="0.25">
      <c r="A964">
        <v>244.147435</v>
      </c>
      <c r="B964" s="1">
        <f>DATE(2010,12,31) + TIME(3,32,18)</f>
        <v>40543.147430555553</v>
      </c>
      <c r="C964">
        <v>80</v>
      </c>
      <c r="D964">
        <v>69.970886230000005</v>
      </c>
      <c r="E964">
        <v>50</v>
      </c>
      <c r="F964">
        <v>49.967384338000002</v>
      </c>
      <c r="G964">
        <v>1328.1499022999999</v>
      </c>
      <c r="H964">
        <v>1326.9548339999999</v>
      </c>
      <c r="I964">
        <v>1335.0870361</v>
      </c>
      <c r="J964">
        <v>1333.6455077999999</v>
      </c>
      <c r="K964">
        <v>0</v>
      </c>
      <c r="L964">
        <v>2400</v>
      </c>
      <c r="M964">
        <v>2400</v>
      </c>
      <c r="N964">
        <v>0</v>
      </c>
    </row>
    <row r="965" spans="1:14" x14ac:dyDescent="0.25">
      <c r="A965">
        <v>245</v>
      </c>
      <c r="B965" s="1">
        <f>DATE(2011,1,1) + TIME(0,0,0)</f>
        <v>40544</v>
      </c>
      <c r="C965">
        <v>80</v>
      </c>
      <c r="D965">
        <v>69.797210692999997</v>
      </c>
      <c r="E965">
        <v>50</v>
      </c>
      <c r="F965">
        <v>49.967372894</v>
      </c>
      <c r="G965">
        <v>1328.1324463000001</v>
      </c>
      <c r="H965">
        <v>1326.9327393000001</v>
      </c>
      <c r="I965">
        <v>1335.083374</v>
      </c>
      <c r="J965">
        <v>1333.6444091999999</v>
      </c>
      <c r="K965">
        <v>0</v>
      </c>
      <c r="L965">
        <v>2400</v>
      </c>
      <c r="M965">
        <v>2400</v>
      </c>
      <c r="N965">
        <v>0</v>
      </c>
    </row>
    <row r="966" spans="1:14" x14ac:dyDescent="0.25">
      <c r="A966">
        <v>246.123504</v>
      </c>
      <c r="B966" s="1">
        <f>DATE(2011,1,2) + TIME(2,57,50)</f>
        <v>40545.123495370368</v>
      </c>
      <c r="C966">
        <v>80</v>
      </c>
      <c r="D966">
        <v>69.626930236999996</v>
      </c>
      <c r="E966">
        <v>50</v>
      </c>
      <c r="F966">
        <v>49.967372894</v>
      </c>
      <c r="G966">
        <v>1328.1181641000001</v>
      </c>
      <c r="H966">
        <v>1326.9134521000001</v>
      </c>
      <c r="I966">
        <v>1335.0806885</v>
      </c>
      <c r="J966">
        <v>1333.6436768000001</v>
      </c>
      <c r="K966">
        <v>0</v>
      </c>
      <c r="L966">
        <v>2400</v>
      </c>
      <c r="M966">
        <v>2400</v>
      </c>
      <c r="N966">
        <v>0</v>
      </c>
    </row>
    <row r="967" spans="1:14" x14ac:dyDescent="0.25">
      <c r="A967">
        <v>247.267582</v>
      </c>
      <c r="B967" s="1">
        <f>DATE(2011,1,3) + TIME(6,25,19)</f>
        <v>40546.267581018517</v>
      </c>
      <c r="C967">
        <v>80</v>
      </c>
      <c r="D967">
        <v>69.441688537999994</v>
      </c>
      <c r="E967">
        <v>50</v>
      </c>
      <c r="F967">
        <v>49.967372894</v>
      </c>
      <c r="G967">
        <v>1328.1016846</v>
      </c>
      <c r="H967">
        <v>1326.8928223</v>
      </c>
      <c r="I967">
        <v>1335.0770264</v>
      </c>
      <c r="J967">
        <v>1333.6425781</v>
      </c>
      <c r="K967">
        <v>0</v>
      </c>
      <c r="L967">
        <v>2400</v>
      </c>
      <c r="M967">
        <v>2400</v>
      </c>
      <c r="N967">
        <v>0</v>
      </c>
    </row>
    <row r="968" spans="1:14" x14ac:dyDescent="0.25">
      <c r="A968">
        <v>248.43583799999999</v>
      </c>
      <c r="B968" s="1">
        <f>DATE(2011,1,4) + TIME(10,27,36)</f>
        <v>40547.435833333337</v>
      </c>
      <c r="C968">
        <v>80</v>
      </c>
      <c r="D968">
        <v>69.250144958000007</v>
      </c>
      <c r="E968">
        <v>50</v>
      </c>
      <c r="F968">
        <v>49.967369079999997</v>
      </c>
      <c r="G968">
        <v>1328.0848389</v>
      </c>
      <c r="H968">
        <v>1326.8714600000001</v>
      </c>
      <c r="I968">
        <v>1335.0734863</v>
      </c>
      <c r="J968">
        <v>1333.6416016000001</v>
      </c>
      <c r="K968">
        <v>0</v>
      </c>
      <c r="L968">
        <v>2400</v>
      </c>
      <c r="M968">
        <v>2400</v>
      </c>
      <c r="N968">
        <v>0</v>
      </c>
    </row>
    <row r="969" spans="1:14" x14ac:dyDescent="0.25">
      <c r="A969">
        <v>249.622243</v>
      </c>
      <c r="B969" s="1">
        <f>DATE(2011,1,5) + TIME(14,56,1)</f>
        <v>40548.622233796297</v>
      </c>
      <c r="C969">
        <v>80</v>
      </c>
      <c r="D969">
        <v>69.054855347</v>
      </c>
      <c r="E969">
        <v>50</v>
      </c>
      <c r="F969">
        <v>49.967369079999997</v>
      </c>
      <c r="G969">
        <v>1328.0678711</v>
      </c>
      <c r="H969">
        <v>1326.8497314000001</v>
      </c>
      <c r="I969">
        <v>1335.0698242000001</v>
      </c>
      <c r="J969">
        <v>1333.6405029</v>
      </c>
      <c r="K969">
        <v>0</v>
      </c>
      <c r="L969">
        <v>2400</v>
      </c>
      <c r="M969">
        <v>2400</v>
      </c>
      <c r="N969">
        <v>0</v>
      </c>
    </row>
    <row r="970" spans="1:14" x14ac:dyDescent="0.25">
      <c r="A970">
        <v>250.811554</v>
      </c>
      <c r="B970" s="1">
        <f>DATE(2011,1,6) + TIME(19,28,38)</f>
        <v>40549.811550925922</v>
      </c>
      <c r="C970">
        <v>80</v>
      </c>
      <c r="D970">
        <v>68.857765197999996</v>
      </c>
      <c r="E970">
        <v>50</v>
      </c>
      <c r="F970">
        <v>49.967365264999998</v>
      </c>
      <c r="G970">
        <v>1328.0507812000001</v>
      </c>
      <c r="H970">
        <v>1326.8280029</v>
      </c>
      <c r="I970">
        <v>1335.0662841999999</v>
      </c>
      <c r="J970">
        <v>1333.6395264</v>
      </c>
      <c r="K970">
        <v>0</v>
      </c>
      <c r="L970">
        <v>2400</v>
      </c>
      <c r="M970">
        <v>2400</v>
      </c>
      <c r="N970">
        <v>0</v>
      </c>
    </row>
    <row r="971" spans="1:14" x14ac:dyDescent="0.25">
      <c r="A971">
        <v>252.000922</v>
      </c>
      <c r="B971" s="1">
        <f>DATE(2011,1,8) + TIME(0,1,19)</f>
        <v>40551.000914351855</v>
      </c>
      <c r="C971">
        <v>80</v>
      </c>
      <c r="D971">
        <v>68.660659789999997</v>
      </c>
      <c r="E971">
        <v>50</v>
      </c>
      <c r="F971">
        <v>49.967365264999998</v>
      </c>
      <c r="G971">
        <v>1328.0340576000001</v>
      </c>
      <c r="H971">
        <v>1326.8065185999999</v>
      </c>
      <c r="I971">
        <v>1335.0626221</v>
      </c>
      <c r="J971">
        <v>1333.6384277</v>
      </c>
      <c r="K971">
        <v>0</v>
      </c>
      <c r="L971">
        <v>2400</v>
      </c>
      <c r="M971">
        <v>2400</v>
      </c>
      <c r="N971">
        <v>0</v>
      </c>
    </row>
    <row r="972" spans="1:14" x14ac:dyDescent="0.25">
      <c r="A972">
        <v>253.20034000000001</v>
      </c>
      <c r="B972" s="1">
        <f>DATE(2011,1,9) + TIME(4,48,29)</f>
        <v>40552.200335648151</v>
      </c>
      <c r="C972">
        <v>80</v>
      </c>
      <c r="D972">
        <v>68.463798522999994</v>
      </c>
      <c r="E972">
        <v>50</v>
      </c>
      <c r="F972">
        <v>49.967365264999998</v>
      </c>
      <c r="G972">
        <v>1328.0174560999999</v>
      </c>
      <c r="H972">
        <v>1326.7852783000001</v>
      </c>
      <c r="I972">
        <v>1335.0592041</v>
      </c>
      <c r="J972">
        <v>1333.6373291</v>
      </c>
      <c r="K972">
        <v>0</v>
      </c>
      <c r="L972">
        <v>2400</v>
      </c>
      <c r="M972">
        <v>2400</v>
      </c>
      <c r="N972">
        <v>0</v>
      </c>
    </row>
    <row r="973" spans="1:14" x14ac:dyDescent="0.25">
      <c r="A973">
        <v>254.41951800000001</v>
      </c>
      <c r="B973" s="1">
        <f>DATE(2011,1,10) + TIME(10,4,6)</f>
        <v>40553.41951388889</v>
      </c>
      <c r="C973">
        <v>80</v>
      </c>
      <c r="D973">
        <v>68.266113281000003</v>
      </c>
      <c r="E973">
        <v>50</v>
      </c>
      <c r="F973">
        <v>49.967369079999997</v>
      </c>
      <c r="G973">
        <v>1328.0010986</v>
      </c>
      <c r="H973">
        <v>1326.7642822</v>
      </c>
      <c r="I973">
        <v>1335.0556641000001</v>
      </c>
      <c r="J973">
        <v>1333.6363524999999</v>
      </c>
      <c r="K973">
        <v>0</v>
      </c>
      <c r="L973">
        <v>2400</v>
      </c>
      <c r="M973">
        <v>2400</v>
      </c>
      <c r="N973">
        <v>0</v>
      </c>
    </row>
    <row r="974" spans="1:14" x14ac:dyDescent="0.25">
      <c r="A974">
        <v>255.65483900000001</v>
      </c>
      <c r="B974" s="1">
        <f>DATE(2011,1,11) + TIME(15,42,58)</f>
        <v>40554.65483796296</v>
      </c>
      <c r="C974">
        <v>80</v>
      </c>
      <c r="D974">
        <v>68.066833496000001</v>
      </c>
      <c r="E974">
        <v>50</v>
      </c>
      <c r="F974">
        <v>49.967372894</v>
      </c>
      <c r="G974">
        <v>1327.9847411999999</v>
      </c>
      <c r="H974">
        <v>1326.7434082</v>
      </c>
      <c r="I974">
        <v>1335.0522461</v>
      </c>
      <c r="J974">
        <v>1333.6352539</v>
      </c>
      <c r="K974">
        <v>0</v>
      </c>
      <c r="L974">
        <v>2400</v>
      </c>
      <c r="M974">
        <v>2400</v>
      </c>
      <c r="N974">
        <v>0</v>
      </c>
    </row>
    <row r="975" spans="1:14" x14ac:dyDescent="0.25">
      <c r="A975">
        <v>256.90866</v>
      </c>
      <c r="B975" s="1">
        <f>DATE(2011,1,12) + TIME(21,48,28)</f>
        <v>40555.90865740741</v>
      </c>
      <c r="C975">
        <v>80</v>
      </c>
      <c r="D975">
        <v>67.865943908999995</v>
      </c>
      <c r="E975">
        <v>50</v>
      </c>
      <c r="F975">
        <v>49.967376709</v>
      </c>
      <c r="G975">
        <v>1327.9685059000001</v>
      </c>
      <c r="H975">
        <v>1326.7226562000001</v>
      </c>
      <c r="I975">
        <v>1335.0487060999999</v>
      </c>
      <c r="J975">
        <v>1333.6342772999999</v>
      </c>
      <c r="K975">
        <v>0</v>
      </c>
      <c r="L975">
        <v>2400</v>
      </c>
      <c r="M975">
        <v>2400</v>
      </c>
      <c r="N975">
        <v>0</v>
      </c>
    </row>
    <row r="976" spans="1:14" x14ac:dyDescent="0.25">
      <c r="A976">
        <v>258.17458800000003</v>
      </c>
      <c r="B976" s="1">
        <f>DATE(2011,1,14) + TIME(4,11,24)</f>
        <v>40557.174583333333</v>
      </c>
      <c r="C976">
        <v>80</v>
      </c>
      <c r="D976">
        <v>67.663558960000003</v>
      </c>
      <c r="E976">
        <v>50</v>
      </c>
      <c r="F976">
        <v>49.967380523999999</v>
      </c>
      <c r="G976">
        <v>1327.9523925999999</v>
      </c>
      <c r="H976">
        <v>1326.7019043</v>
      </c>
      <c r="I976">
        <v>1335.0452881000001</v>
      </c>
      <c r="J976">
        <v>1333.6331786999999</v>
      </c>
      <c r="K976">
        <v>0</v>
      </c>
      <c r="L976">
        <v>2400</v>
      </c>
      <c r="M976">
        <v>2400</v>
      </c>
      <c r="N976">
        <v>0</v>
      </c>
    </row>
    <row r="977" spans="1:14" x14ac:dyDescent="0.25">
      <c r="A977">
        <v>259.44120199999998</v>
      </c>
      <c r="B977" s="1">
        <f>DATE(2011,1,15) + TIME(10,35,19)</f>
        <v>40558.441192129627</v>
      </c>
      <c r="C977">
        <v>80</v>
      </c>
      <c r="D977">
        <v>67.460716247999997</v>
      </c>
      <c r="E977">
        <v>50</v>
      </c>
      <c r="F977">
        <v>49.967384338000002</v>
      </c>
      <c r="G977">
        <v>1327.9362793</v>
      </c>
      <c r="H977">
        <v>1326.6813964999999</v>
      </c>
      <c r="I977">
        <v>1335.0418701000001</v>
      </c>
      <c r="J977">
        <v>1333.6320800999999</v>
      </c>
      <c r="K977">
        <v>0</v>
      </c>
      <c r="L977">
        <v>2400</v>
      </c>
      <c r="M977">
        <v>2400</v>
      </c>
      <c r="N977">
        <v>0</v>
      </c>
    </row>
    <row r="978" spans="1:14" x14ac:dyDescent="0.25">
      <c r="A978">
        <v>260.71925099999999</v>
      </c>
      <c r="B978" s="1">
        <f>DATE(2011,1,16) + TIME(17,15,43)</f>
        <v>40559.719247685185</v>
      </c>
      <c r="C978">
        <v>80</v>
      </c>
      <c r="D978">
        <v>67.258049010999997</v>
      </c>
      <c r="E978">
        <v>50</v>
      </c>
      <c r="F978">
        <v>49.967391968000001</v>
      </c>
      <c r="G978">
        <v>1327.9205322</v>
      </c>
      <c r="H978">
        <v>1326.6611327999999</v>
      </c>
      <c r="I978">
        <v>1335.0384521000001</v>
      </c>
      <c r="J978">
        <v>1333.6311035000001</v>
      </c>
      <c r="K978">
        <v>0</v>
      </c>
      <c r="L978">
        <v>2400</v>
      </c>
      <c r="M978">
        <v>2400</v>
      </c>
      <c r="N978">
        <v>0</v>
      </c>
    </row>
    <row r="979" spans="1:14" x14ac:dyDescent="0.25">
      <c r="A979">
        <v>262.01041900000001</v>
      </c>
      <c r="B979" s="1">
        <f>DATE(2011,1,18) + TIME(0,15,0)</f>
        <v>40561.010416666664</v>
      </c>
      <c r="C979">
        <v>80</v>
      </c>
      <c r="D979">
        <v>67.054893493999998</v>
      </c>
      <c r="E979">
        <v>50</v>
      </c>
      <c r="F979">
        <v>49.967395781999997</v>
      </c>
      <c r="G979">
        <v>1327.9047852000001</v>
      </c>
      <c r="H979">
        <v>1326.6409911999999</v>
      </c>
      <c r="I979">
        <v>1335.0350341999999</v>
      </c>
      <c r="J979">
        <v>1333.6300048999999</v>
      </c>
      <c r="K979">
        <v>0</v>
      </c>
      <c r="L979">
        <v>2400</v>
      </c>
      <c r="M979">
        <v>2400</v>
      </c>
      <c r="N979">
        <v>0</v>
      </c>
    </row>
    <row r="980" spans="1:14" x14ac:dyDescent="0.25">
      <c r="A980">
        <v>263.31752799999998</v>
      </c>
      <c r="B980" s="1">
        <f>DATE(2011,1,19) + TIME(7,37,14)</f>
        <v>40562.317523148151</v>
      </c>
      <c r="C980">
        <v>80</v>
      </c>
      <c r="D980">
        <v>66.850868224999999</v>
      </c>
      <c r="E980">
        <v>50</v>
      </c>
      <c r="F980">
        <v>49.967403412000003</v>
      </c>
      <c r="G980">
        <v>1327.8892822</v>
      </c>
      <c r="H980">
        <v>1326.6210937999999</v>
      </c>
      <c r="I980">
        <v>1335.0317382999999</v>
      </c>
      <c r="J980">
        <v>1333.6289062000001</v>
      </c>
      <c r="K980">
        <v>0</v>
      </c>
      <c r="L980">
        <v>2400</v>
      </c>
      <c r="M980">
        <v>2400</v>
      </c>
      <c r="N980">
        <v>0</v>
      </c>
    </row>
    <row r="981" spans="1:14" x14ac:dyDescent="0.25">
      <c r="A981">
        <v>264.65142700000001</v>
      </c>
      <c r="B981" s="1">
        <f>DATE(2011,1,20) + TIME(15,38,3)</f>
        <v>40563.651423611111</v>
      </c>
      <c r="C981">
        <v>80</v>
      </c>
      <c r="D981">
        <v>66.645240783999995</v>
      </c>
      <c r="E981">
        <v>50</v>
      </c>
      <c r="F981">
        <v>49.967414855999998</v>
      </c>
      <c r="G981">
        <v>1327.8739014</v>
      </c>
      <c r="H981">
        <v>1326.6013184000001</v>
      </c>
      <c r="I981">
        <v>1335.0284423999999</v>
      </c>
      <c r="J981">
        <v>1333.6279297000001</v>
      </c>
      <c r="K981">
        <v>0</v>
      </c>
      <c r="L981">
        <v>2400</v>
      </c>
      <c r="M981">
        <v>2400</v>
      </c>
      <c r="N981">
        <v>0</v>
      </c>
    </row>
    <row r="982" spans="1:14" x14ac:dyDescent="0.25">
      <c r="A982">
        <v>265.32958500000001</v>
      </c>
      <c r="B982" s="1">
        <f>DATE(2011,1,21) + TIME(7,54,36)</f>
        <v>40564.329583333332</v>
      </c>
      <c r="C982">
        <v>80</v>
      </c>
      <c r="D982">
        <v>66.480155945000007</v>
      </c>
      <c r="E982">
        <v>50</v>
      </c>
      <c r="F982">
        <v>49.967403412000003</v>
      </c>
      <c r="G982">
        <v>1327.8583983999999</v>
      </c>
      <c r="H982">
        <v>1326.5822754000001</v>
      </c>
      <c r="I982">
        <v>1335.0250243999999</v>
      </c>
      <c r="J982">
        <v>1333.6268310999999</v>
      </c>
      <c r="K982">
        <v>0</v>
      </c>
      <c r="L982">
        <v>2400</v>
      </c>
      <c r="M982">
        <v>2400</v>
      </c>
      <c r="N982">
        <v>0</v>
      </c>
    </row>
    <row r="983" spans="1:14" x14ac:dyDescent="0.25">
      <c r="A983">
        <v>266.007744</v>
      </c>
      <c r="B983" s="1">
        <f>DATE(2011,1,22) + TIME(0,11,9)</f>
        <v>40565.007743055554</v>
      </c>
      <c r="C983">
        <v>80</v>
      </c>
      <c r="D983">
        <v>66.350051879999995</v>
      </c>
      <c r="E983">
        <v>50</v>
      </c>
      <c r="F983">
        <v>49.967403412000003</v>
      </c>
      <c r="G983">
        <v>1327.848999</v>
      </c>
      <c r="H983">
        <v>1326.5688477000001</v>
      </c>
      <c r="I983">
        <v>1335.0233154</v>
      </c>
      <c r="J983">
        <v>1333.6262207</v>
      </c>
      <c r="K983">
        <v>0</v>
      </c>
      <c r="L983">
        <v>2400</v>
      </c>
      <c r="M983">
        <v>2400</v>
      </c>
      <c r="N983">
        <v>0</v>
      </c>
    </row>
    <row r="984" spans="1:14" x14ac:dyDescent="0.25">
      <c r="A984">
        <v>266.685902</v>
      </c>
      <c r="B984" s="1">
        <f>DATE(2011,1,22) + TIME(16,27,41)</f>
        <v>40565.685891203706</v>
      </c>
      <c r="C984">
        <v>80</v>
      </c>
      <c r="D984">
        <v>66.234474182</v>
      </c>
      <c r="E984">
        <v>50</v>
      </c>
      <c r="F984">
        <v>49.967407227000002</v>
      </c>
      <c r="G984">
        <v>1327.8405762</v>
      </c>
      <c r="H984">
        <v>1326.5573730000001</v>
      </c>
      <c r="I984">
        <v>1335.0217285000001</v>
      </c>
      <c r="J984">
        <v>1333.6257324000001</v>
      </c>
      <c r="K984">
        <v>0</v>
      </c>
      <c r="L984">
        <v>2400</v>
      </c>
      <c r="M984">
        <v>2400</v>
      </c>
      <c r="N984">
        <v>0</v>
      </c>
    </row>
    <row r="985" spans="1:14" x14ac:dyDescent="0.25">
      <c r="A985">
        <v>267.36406099999999</v>
      </c>
      <c r="B985" s="1">
        <f>DATE(2011,1,23) + TIME(8,44,14)</f>
        <v>40566.364050925928</v>
      </c>
      <c r="C985">
        <v>80</v>
      </c>
      <c r="D985">
        <v>66.125091553000004</v>
      </c>
      <c r="E985">
        <v>50</v>
      </c>
      <c r="F985">
        <v>49.967411040999998</v>
      </c>
      <c r="G985">
        <v>1327.8325195</v>
      </c>
      <c r="H985">
        <v>1326.546875</v>
      </c>
      <c r="I985">
        <v>1335.0200195</v>
      </c>
      <c r="J985">
        <v>1333.6251221</v>
      </c>
      <c r="K985">
        <v>0</v>
      </c>
      <c r="L985">
        <v>2400</v>
      </c>
      <c r="M985">
        <v>2400</v>
      </c>
      <c r="N985">
        <v>0</v>
      </c>
    </row>
    <row r="986" spans="1:14" x14ac:dyDescent="0.25">
      <c r="A986">
        <v>268.72037799999998</v>
      </c>
      <c r="B986" s="1">
        <f>DATE(2011,1,24) + TIME(17,17,20)</f>
        <v>40567.720370370371</v>
      </c>
      <c r="C986">
        <v>80</v>
      </c>
      <c r="D986">
        <v>65.990798949999999</v>
      </c>
      <c r="E986">
        <v>50</v>
      </c>
      <c r="F986">
        <v>49.967437744000001</v>
      </c>
      <c r="G986">
        <v>1327.8248291</v>
      </c>
      <c r="H986">
        <v>1326.5363769999999</v>
      </c>
      <c r="I986">
        <v>1335.0184326000001</v>
      </c>
      <c r="J986">
        <v>1333.6246338000001</v>
      </c>
      <c r="K986">
        <v>0</v>
      </c>
      <c r="L986">
        <v>2400</v>
      </c>
      <c r="M986">
        <v>2400</v>
      </c>
      <c r="N986">
        <v>0</v>
      </c>
    </row>
    <row r="987" spans="1:14" x14ac:dyDescent="0.25">
      <c r="A987">
        <v>270.08087799999998</v>
      </c>
      <c r="B987" s="1">
        <f>DATE(2011,1,26) + TIME(1,56,27)</f>
        <v>40569.080868055556</v>
      </c>
      <c r="C987">
        <v>80</v>
      </c>
      <c r="D987">
        <v>65.802085876000007</v>
      </c>
      <c r="E987">
        <v>50</v>
      </c>
      <c r="F987">
        <v>49.967456818000002</v>
      </c>
      <c r="G987">
        <v>1327.8120117000001</v>
      </c>
      <c r="H987">
        <v>1326.5213623</v>
      </c>
      <c r="I987">
        <v>1335.0151367000001</v>
      </c>
      <c r="J987">
        <v>1333.6235352000001</v>
      </c>
      <c r="K987">
        <v>0</v>
      </c>
      <c r="L987">
        <v>2400</v>
      </c>
      <c r="M987">
        <v>2400</v>
      </c>
      <c r="N987">
        <v>0</v>
      </c>
    </row>
    <row r="988" spans="1:14" x14ac:dyDescent="0.25">
      <c r="A988">
        <v>271.47476799999998</v>
      </c>
      <c r="B988" s="1">
        <f>DATE(2011,1,27) + TIME(11,23,39)</f>
        <v>40570.474756944444</v>
      </c>
      <c r="C988">
        <v>80</v>
      </c>
      <c r="D988">
        <v>65.599258422999995</v>
      </c>
      <c r="E988">
        <v>50</v>
      </c>
      <c r="F988">
        <v>49.967472076</v>
      </c>
      <c r="G988">
        <v>1327.7978516000001</v>
      </c>
      <c r="H988">
        <v>1326.5036620999999</v>
      </c>
      <c r="I988">
        <v>1335.0119629000001</v>
      </c>
      <c r="J988">
        <v>1333.6224365</v>
      </c>
      <c r="K988">
        <v>0</v>
      </c>
      <c r="L988">
        <v>2400</v>
      </c>
      <c r="M988">
        <v>2400</v>
      </c>
      <c r="N988">
        <v>0</v>
      </c>
    </row>
    <row r="989" spans="1:14" x14ac:dyDescent="0.25">
      <c r="A989">
        <v>272.89057600000001</v>
      </c>
      <c r="B989" s="1">
        <f>DATE(2011,1,28) + TIME(21,22,25)</f>
        <v>40571.890567129631</v>
      </c>
      <c r="C989">
        <v>80</v>
      </c>
      <c r="D989">
        <v>65.390296935999999</v>
      </c>
      <c r="E989">
        <v>50</v>
      </c>
      <c r="F989">
        <v>49.967487335000001</v>
      </c>
      <c r="G989">
        <v>1327.7833252</v>
      </c>
      <c r="H989">
        <v>1326.4852295000001</v>
      </c>
      <c r="I989">
        <v>1335.0086670000001</v>
      </c>
      <c r="J989">
        <v>1333.6214600000001</v>
      </c>
      <c r="K989">
        <v>0</v>
      </c>
      <c r="L989">
        <v>2400</v>
      </c>
      <c r="M989">
        <v>2400</v>
      </c>
      <c r="N989">
        <v>0</v>
      </c>
    </row>
    <row r="990" spans="1:14" x14ac:dyDescent="0.25">
      <c r="A990">
        <v>274.32910199999998</v>
      </c>
      <c r="B990" s="1">
        <f>DATE(2011,1,30) + TIME(7,53,54)</f>
        <v>40573.329097222224</v>
      </c>
      <c r="C990">
        <v>80</v>
      </c>
      <c r="D990">
        <v>65.178199767999999</v>
      </c>
      <c r="E990">
        <v>50</v>
      </c>
      <c r="F990">
        <v>49.967502594000003</v>
      </c>
      <c r="G990">
        <v>1327.7687988</v>
      </c>
      <c r="H990">
        <v>1326.4665527</v>
      </c>
      <c r="I990">
        <v>1335.0054932</v>
      </c>
      <c r="J990">
        <v>1333.6203613</v>
      </c>
      <c r="K990">
        <v>0</v>
      </c>
      <c r="L990">
        <v>2400</v>
      </c>
      <c r="M990">
        <v>2400</v>
      </c>
      <c r="N990">
        <v>0</v>
      </c>
    </row>
    <row r="991" spans="1:14" x14ac:dyDescent="0.25">
      <c r="A991">
        <v>275.05808400000001</v>
      </c>
      <c r="B991" s="1">
        <f>DATE(2011,1,31) + TIME(1,23,38)</f>
        <v>40574.058078703703</v>
      </c>
      <c r="C991">
        <v>80</v>
      </c>
      <c r="D991">
        <v>65.006172179999993</v>
      </c>
      <c r="E991">
        <v>50</v>
      </c>
      <c r="F991">
        <v>49.967498779000003</v>
      </c>
      <c r="G991">
        <v>1327.7541504000001</v>
      </c>
      <c r="H991">
        <v>1326.4484863</v>
      </c>
      <c r="I991">
        <v>1335.0021973</v>
      </c>
      <c r="J991">
        <v>1333.6191406</v>
      </c>
      <c r="K991">
        <v>0</v>
      </c>
      <c r="L991">
        <v>2400</v>
      </c>
      <c r="M991">
        <v>2400</v>
      </c>
      <c r="N991">
        <v>0</v>
      </c>
    </row>
    <row r="992" spans="1:14" x14ac:dyDescent="0.25">
      <c r="A992">
        <v>276</v>
      </c>
      <c r="B992" s="1">
        <f>DATE(2011,2,1) + TIME(0,0,0)</f>
        <v>40575</v>
      </c>
      <c r="C992">
        <v>80</v>
      </c>
      <c r="D992">
        <v>64.859527588000006</v>
      </c>
      <c r="E992">
        <v>50</v>
      </c>
      <c r="F992">
        <v>49.967506409000002</v>
      </c>
      <c r="G992">
        <v>1327.7452393000001</v>
      </c>
      <c r="H992">
        <v>1326.4355469</v>
      </c>
      <c r="I992">
        <v>1335.0006103999999</v>
      </c>
      <c r="J992">
        <v>1333.6186522999999</v>
      </c>
      <c r="K992">
        <v>0</v>
      </c>
      <c r="L992">
        <v>2400</v>
      </c>
      <c r="M992">
        <v>2400</v>
      </c>
      <c r="N992">
        <v>0</v>
      </c>
    </row>
    <row r="993" spans="1:14" x14ac:dyDescent="0.25">
      <c r="A993">
        <v>277.457964</v>
      </c>
      <c r="B993" s="1">
        <f>DATE(2011,2,2) + TIME(10,59,28)</f>
        <v>40576.457962962966</v>
      </c>
      <c r="C993">
        <v>80</v>
      </c>
      <c r="D993">
        <v>64.698326111</v>
      </c>
      <c r="E993">
        <v>50</v>
      </c>
      <c r="F993">
        <v>49.967533111999998</v>
      </c>
      <c r="G993">
        <v>1327.7355957</v>
      </c>
      <c r="H993">
        <v>1326.4226074000001</v>
      </c>
      <c r="I993">
        <v>1334.9985352000001</v>
      </c>
      <c r="J993">
        <v>1333.6179199000001</v>
      </c>
      <c r="K993">
        <v>0</v>
      </c>
      <c r="L993">
        <v>2400</v>
      </c>
      <c r="M993">
        <v>2400</v>
      </c>
      <c r="N993">
        <v>0</v>
      </c>
    </row>
    <row r="994" spans="1:14" x14ac:dyDescent="0.25">
      <c r="A994">
        <v>278.91815300000002</v>
      </c>
      <c r="B994" s="1">
        <f>DATE(2011,2,3) + TIME(22,2,8)</f>
        <v>40577.91814814815</v>
      </c>
      <c r="C994">
        <v>80</v>
      </c>
      <c r="D994">
        <v>64.496841431000007</v>
      </c>
      <c r="E994">
        <v>50</v>
      </c>
      <c r="F994">
        <v>49.967556000000002</v>
      </c>
      <c r="G994">
        <v>1327.7225341999999</v>
      </c>
      <c r="H994">
        <v>1326.4069824000001</v>
      </c>
      <c r="I994">
        <v>1334.9952393000001</v>
      </c>
      <c r="J994">
        <v>1333.6168213000001</v>
      </c>
      <c r="K994">
        <v>0</v>
      </c>
      <c r="L994">
        <v>2400</v>
      </c>
      <c r="M994">
        <v>2400</v>
      </c>
      <c r="N994">
        <v>0</v>
      </c>
    </row>
    <row r="995" spans="1:14" x14ac:dyDescent="0.25">
      <c r="A995">
        <v>280.40044399999999</v>
      </c>
      <c r="B995" s="1">
        <f>DATE(2011,2,5) + TIME(9,36,38)</f>
        <v>40579.400439814817</v>
      </c>
      <c r="C995">
        <v>80</v>
      </c>
      <c r="D995">
        <v>64.286033630000006</v>
      </c>
      <c r="E995">
        <v>50</v>
      </c>
      <c r="F995">
        <v>49.967575072999999</v>
      </c>
      <c r="G995">
        <v>1327.7088623</v>
      </c>
      <c r="H995">
        <v>1326.3895264</v>
      </c>
      <c r="I995">
        <v>1334.9921875</v>
      </c>
      <c r="J995">
        <v>1333.6157227000001</v>
      </c>
      <c r="K995">
        <v>0</v>
      </c>
      <c r="L995">
        <v>2400</v>
      </c>
      <c r="M995">
        <v>2400</v>
      </c>
      <c r="N995">
        <v>0</v>
      </c>
    </row>
    <row r="996" spans="1:14" x14ac:dyDescent="0.25">
      <c r="A996">
        <v>281.90511299999997</v>
      </c>
      <c r="B996" s="1">
        <f>DATE(2011,2,6) + TIME(21,43,21)</f>
        <v>40580.905104166668</v>
      </c>
      <c r="C996">
        <v>80</v>
      </c>
      <c r="D996">
        <v>64.071380614999995</v>
      </c>
      <c r="E996">
        <v>50</v>
      </c>
      <c r="F996">
        <v>49.967594147</v>
      </c>
      <c r="G996">
        <v>1327.6949463000001</v>
      </c>
      <c r="H996">
        <v>1326.3718262</v>
      </c>
      <c r="I996">
        <v>1334.9890137</v>
      </c>
      <c r="J996">
        <v>1333.614624</v>
      </c>
      <c r="K996">
        <v>0</v>
      </c>
      <c r="L996">
        <v>2400</v>
      </c>
      <c r="M996">
        <v>2400</v>
      </c>
      <c r="N996">
        <v>0</v>
      </c>
    </row>
    <row r="997" spans="1:14" x14ac:dyDescent="0.25">
      <c r="A997">
        <v>283.44282700000002</v>
      </c>
      <c r="B997" s="1">
        <f>DATE(2011,2,8) + TIME(10,37,40)</f>
        <v>40582.442824074074</v>
      </c>
      <c r="C997">
        <v>80</v>
      </c>
      <c r="D997">
        <v>63.853961945000002</v>
      </c>
      <c r="E997">
        <v>50</v>
      </c>
      <c r="F997">
        <v>49.967617035000004</v>
      </c>
      <c r="G997">
        <v>1327.6810303</v>
      </c>
      <c r="H997">
        <v>1326.3540039</v>
      </c>
      <c r="I997">
        <v>1334.9858397999999</v>
      </c>
      <c r="J997">
        <v>1333.6135254000001</v>
      </c>
      <c r="K997">
        <v>0</v>
      </c>
      <c r="L997">
        <v>2400</v>
      </c>
      <c r="M997">
        <v>2400</v>
      </c>
      <c r="N997">
        <v>0</v>
      </c>
    </row>
    <row r="998" spans="1:14" x14ac:dyDescent="0.25">
      <c r="A998">
        <v>284.21931000000001</v>
      </c>
      <c r="B998" s="1">
        <f>DATE(2011,2,9) + TIME(5,15,48)</f>
        <v>40583.219305555554</v>
      </c>
      <c r="C998">
        <v>80</v>
      </c>
      <c r="D998">
        <v>63.675693512000002</v>
      </c>
      <c r="E998">
        <v>50</v>
      </c>
      <c r="F998">
        <v>49.967613219999997</v>
      </c>
      <c r="G998">
        <v>1327.6669922000001</v>
      </c>
      <c r="H998">
        <v>1326.3366699000001</v>
      </c>
      <c r="I998">
        <v>1334.9826660000001</v>
      </c>
      <c r="J998">
        <v>1333.6124268000001</v>
      </c>
      <c r="K998">
        <v>0</v>
      </c>
      <c r="L998">
        <v>2400</v>
      </c>
      <c r="M998">
        <v>2400</v>
      </c>
      <c r="N998">
        <v>0</v>
      </c>
    </row>
    <row r="999" spans="1:14" x14ac:dyDescent="0.25">
      <c r="A999">
        <v>284.99571800000001</v>
      </c>
      <c r="B999" s="1">
        <f>DATE(2011,2,9) + TIME(23,53,50)</f>
        <v>40583.995717592596</v>
      </c>
      <c r="C999">
        <v>80</v>
      </c>
      <c r="D999">
        <v>63.538978577000002</v>
      </c>
      <c r="E999">
        <v>50</v>
      </c>
      <c r="F999">
        <v>49.967620850000003</v>
      </c>
      <c r="G999">
        <v>1327.6584473</v>
      </c>
      <c r="H999">
        <v>1326.3243408000001</v>
      </c>
      <c r="I999">
        <v>1334.9810791</v>
      </c>
      <c r="J999">
        <v>1333.6118164</v>
      </c>
      <c r="K999">
        <v>0</v>
      </c>
      <c r="L999">
        <v>2400</v>
      </c>
      <c r="M999">
        <v>2400</v>
      </c>
      <c r="N999">
        <v>0</v>
      </c>
    </row>
    <row r="1000" spans="1:14" x14ac:dyDescent="0.25">
      <c r="A1000">
        <v>285.77212600000001</v>
      </c>
      <c r="B1000" s="1">
        <f>DATE(2011,2,10) + TIME(18,31,51)</f>
        <v>40584.772118055553</v>
      </c>
      <c r="C1000">
        <v>80</v>
      </c>
      <c r="D1000">
        <v>63.418136597</v>
      </c>
      <c r="E1000">
        <v>50</v>
      </c>
      <c r="F1000">
        <v>49.967628478999998</v>
      </c>
      <c r="G1000">
        <v>1327.6508789</v>
      </c>
      <c r="H1000">
        <v>1326.3140868999999</v>
      </c>
      <c r="I1000">
        <v>1334.9794922000001</v>
      </c>
      <c r="J1000">
        <v>1333.6112060999999</v>
      </c>
      <c r="K1000">
        <v>0</v>
      </c>
      <c r="L1000">
        <v>2400</v>
      </c>
      <c r="M1000">
        <v>2400</v>
      </c>
      <c r="N1000">
        <v>0</v>
      </c>
    </row>
    <row r="1001" spans="1:14" x14ac:dyDescent="0.25">
      <c r="A1001">
        <v>286.54853300000002</v>
      </c>
      <c r="B1001" s="1">
        <f>DATE(2011,2,11) + TIME(13,9,53)</f>
        <v>40585.548530092594</v>
      </c>
      <c r="C1001">
        <v>80</v>
      </c>
      <c r="D1001">
        <v>63.303546906000001</v>
      </c>
      <c r="E1001">
        <v>50</v>
      </c>
      <c r="F1001">
        <v>49.967639923</v>
      </c>
      <c r="G1001">
        <v>1327.6437988</v>
      </c>
      <c r="H1001">
        <v>1326.3045654</v>
      </c>
      <c r="I1001">
        <v>1334.9780272999999</v>
      </c>
      <c r="J1001">
        <v>1333.6107178</v>
      </c>
      <c r="K1001">
        <v>0</v>
      </c>
      <c r="L1001">
        <v>2400</v>
      </c>
      <c r="M1001">
        <v>2400</v>
      </c>
      <c r="N1001">
        <v>0</v>
      </c>
    </row>
    <row r="1002" spans="1:14" x14ac:dyDescent="0.25">
      <c r="A1002">
        <v>288.10134900000003</v>
      </c>
      <c r="B1002" s="1">
        <f>DATE(2011,2,13) + TIME(2,25,56)</f>
        <v>40587.101342592592</v>
      </c>
      <c r="C1002">
        <v>80</v>
      </c>
      <c r="D1002">
        <v>63.165302277000002</v>
      </c>
      <c r="E1002">
        <v>50</v>
      </c>
      <c r="F1002">
        <v>49.967678069999998</v>
      </c>
      <c r="G1002">
        <v>1327.6368408000001</v>
      </c>
      <c r="H1002">
        <v>1326.2951660000001</v>
      </c>
      <c r="I1002">
        <v>1334.9764404</v>
      </c>
      <c r="J1002">
        <v>1333.6101074000001</v>
      </c>
      <c r="K1002">
        <v>0</v>
      </c>
      <c r="L1002">
        <v>2400</v>
      </c>
      <c r="M1002">
        <v>2400</v>
      </c>
      <c r="N1002">
        <v>0</v>
      </c>
    </row>
    <row r="1003" spans="1:14" x14ac:dyDescent="0.25">
      <c r="A1003">
        <v>289.659336</v>
      </c>
      <c r="B1003" s="1">
        <f>DATE(2011,2,14) + TIME(15,49,26)</f>
        <v>40588.659328703703</v>
      </c>
      <c r="C1003">
        <v>80</v>
      </c>
      <c r="D1003">
        <v>62.965229033999996</v>
      </c>
      <c r="E1003">
        <v>50</v>
      </c>
      <c r="F1003">
        <v>49.967708588000001</v>
      </c>
      <c r="G1003">
        <v>1327.6253661999999</v>
      </c>
      <c r="H1003">
        <v>1326.2817382999999</v>
      </c>
      <c r="I1003">
        <v>1334.9733887</v>
      </c>
      <c r="J1003">
        <v>1333.6090088000001</v>
      </c>
      <c r="K1003">
        <v>0</v>
      </c>
      <c r="L1003">
        <v>2400</v>
      </c>
      <c r="M1003">
        <v>2400</v>
      </c>
      <c r="N1003">
        <v>0</v>
      </c>
    </row>
    <row r="1004" spans="1:14" x14ac:dyDescent="0.25">
      <c r="A1004">
        <v>291.26342799999998</v>
      </c>
      <c r="B1004" s="1">
        <f>DATE(2011,2,16) + TIME(6,19,20)</f>
        <v>40590.263425925928</v>
      </c>
      <c r="C1004">
        <v>80</v>
      </c>
      <c r="D1004">
        <v>62.750526428000001</v>
      </c>
      <c r="E1004">
        <v>50</v>
      </c>
      <c r="F1004">
        <v>49.967735290999997</v>
      </c>
      <c r="G1004">
        <v>1327.6126709</v>
      </c>
      <c r="H1004">
        <v>1326.2657471</v>
      </c>
      <c r="I1004">
        <v>1334.9704589999999</v>
      </c>
      <c r="J1004">
        <v>1333.6079102000001</v>
      </c>
      <c r="K1004">
        <v>0</v>
      </c>
      <c r="L1004">
        <v>2400</v>
      </c>
      <c r="M1004">
        <v>2400</v>
      </c>
      <c r="N1004">
        <v>0</v>
      </c>
    </row>
    <row r="1005" spans="1:14" x14ac:dyDescent="0.25">
      <c r="A1005">
        <v>292.89067699999998</v>
      </c>
      <c r="B1005" s="1">
        <f>DATE(2011,2,17) + TIME(21,22,34)</f>
        <v>40591.8906712963</v>
      </c>
      <c r="C1005">
        <v>80</v>
      </c>
      <c r="D1005">
        <v>62.528976440000001</v>
      </c>
      <c r="E1005">
        <v>50</v>
      </c>
      <c r="F1005">
        <v>49.967761993000003</v>
      </c>
      <c r="G1005">
        <v>1327.5994873</v>
      </c>
      <c r="H1005">
        <v>1326.2490233999999</v>
      </c>
      <c r="I1005">
        <v>1334.9672852000001</v>
      </c>
      <c r="J1005">
        <v>1333.6068115</v>
      </c>
      <c r="K1005">
        <v>0</v>
      </c>
      <c r="L1005">
        <v>2400</v>
      </c>
      <c r="M1005">
        <v>2400</v>
      </c>
      <c r="N1005">
        <v>0</v>
      </c>
    </row>
    <row r="1006" spans="1:14" x14ac:dyDescent="0.25">
      <c r="A1006">
        <v>293.72243400000002</v>
      </c>
      <c r="B1006" s="1">
        <f>DATE(2011,2,18) + TIME(17,20,18)</f>
        <v>40592.722430555557</v>
      </c>
      <c r="C1006">
        <v>80</v>
      </c>
      <c r="D1006">
        <v>62.344959258999999</v>
      </c>
      <c r="E1006">
        <v>50</v>
      </c>
      <c r="F1006">
        <v>49.967761993000003</v>
      </c>
      <c r="G1006">
        <v>1327.5861815999999</v>
      </c>
      <c r="H1006">
        <v>1326.2325439000001</v>
      </c>
      <c r="I1006">
        <v>1334.9642334</v>
      </c>
      <c r="J1006">
        <v>1333.6055908000001</v>
      </c>
      <c r="K1006">
        <v>0</v>
      </c>
      <c r="L1006">
        <v>2400</v>
      </c>
      <c r="M1006">
        <v>2400</v>
      </c>
      <c r="N1006">
        <v>0</v>
      </c>
    </row>
    <row r="1007" spans="1:14" x14ac:dyDescent="0.25">
      <c r="A1007">
        <v>294.554191</v>
      </c>
      <c r="B1007" s="1">
        <f>DATE(2011,2,19) + TIME(13,18,2)</f>
        <v>40593.554189814815</v>
      </c>
      <c r="C1007">
        <v>80</v>
      </c>
      <c r="D1007">
        <v>62.204833983999997</v>
      </c>
      <c r="E1007">
        <v>50</v>
      </c>
      <c r="F1007">
        <v>49.967769623000002</v>
      </c>
      <c r="G1007">
        <v>1327.578125</v>
      </c>
      <c r="H1007">
        <v>1326.2208252</v>
      </c>
      <c r="I1007">
        <v>1334.9627685999999</v>
      </c>
      <c r="J1007">
        <v>1333.6051024999999</v>
      </c>
      <c r="K1007">
        <v>0</v>
      </c>
      <c r="L1007">
        <v>2400</v>
      </c>
      <c r="M1007">
        <v>2400</v>
      </c>
      <c r="N1007">
        <v>0</v>
      </c>
    </row>
    <row r="1008" spans="1:14" x14ac:dyDescent="0.25">
      <c r="A1008">
        <v>295.38594699999999</v>
      </c>
      <c r="B1008" s="1">
        <f>DATE(2011,2,20) + TIME(9,15,45)</f>
        <v>40594.385937500003</v>
      </c>
      <c r="C1008">
        <v>80</v>
      </c>
      <c r="D1008">
        <v>62.080772400000001</v>
      </c>
      <c r="E1008">
        <v>50</v>
      </c>
      <c r="F1008">
        <v>49.967781066999997</v>
      </c>
      <c r="G1008">
        <v>1327.5709228999999</v>
      </c>
      <c r="H1008">
        <v>1326.2109375</v>
      </c>
      <c r="I1008">
        <v>1334.9611815999999</v>
      </c>
      <c r="J1008">
        <v>1333.6044922000001</v>
      </c>
      <c r="K1008">
        <v>0</v>
      </c>
      <c r="L1008">
        <v>2400</v>
      </c>
      <c r="M1008">
        <v>2400</v>
      </c>
      <c r="N1008">
        <v>0</v>
      </c>
    </row>
    <row r="1009" spans="1:14" x14ac:dyDescent="0.25">
      <c r="A1009">
        <v>296.21770400000003</v>
      </c>
      <c r="B1009" s="1">
        <f>DATE(2011,2,21) + TIME(5,13,29)</f>
        <v>40595.21769675926</v>
      </c>
      <c r="C1009">
        <v>80</v>
      </c>
      <c r="D1009">
        <v>61.962791443</v>
      </c>
      <c r="E1009">
        <v>50</v>
      </c>
      <c r="F1009">
        <v>49.967792510999999</v>
      </c>
      <c r="G1009">
        <v>1327.5640868999999</v>
      </c>
      <c r="H1009">
        <v>1326.2019043</v>
      </c>
      <c r="I1009">
        <v>1334.9597168</v>
      </c>
      <c r="J1009">
        <v>1333.6038818</v>
      </c>
      <c r="K1009">
        <v>0</v>
      </c>
      <c r="L1009">
        <v>2400</v>
      </c>
      <c r="M1009">
        <v>2400</v>
      </c>
      <c r="N1009">
        <v>0</v>
      </c>
    </row>
    <row r="1010" spans="1:14" x14ac:dyDescent="0.25">
      <c r="A1010">
        <v>297.04946100000001</v>
      </c>
      <c r="B1010" s="1">
        <f>DATE(2011,2,22) + TIME(1,11,13)</f>
        <v>40596.049456018518</v>
      </c>
      <c r="C1010">
        <v>80</v>
      </c>
      <c r="D1010">
        <v>61.847278594999999</v>
      </c>
      <c r="E1010">
        <v>50</v>
      </c>
      <c r="F1010">
        <v>49.96780777</v>
      </c>
      <c r="G1010">
        <v>1327.5574951000001</v>
      </c>
      <c r="H1010">
        <v>1326.1933594</v>
      </c>
      <c r="I1010">
        <v>1334.9581298999999</v>
      </c>
      <c r="J1010">
        <v>1333.6033935999999</v>
      </c>
      <c r="K1010">
        <v>0</v>
      </c>
      <c r="L1010">
        <v>2400</v>
      </c>
      <c r="M1010">
        <v>2400</v>
      </c>
      <c r="N1010">
        <v>0</v>
      </c>
    </row>
    <row r="1011" spans="1:14" x14ac:dyDescent="0.25">
      <c r="A1011">
        <v>297.88121799999999</v>
      </c>
      <c r="B1011" s="1">
        <f>DATE(2011,2,22) + TIME(21,8,57)</f>
        <v>40596.881215277775</v>
      </c>
      <c r="C1011">
        <v>80</v>
      </c>
      <c r="D1011">
        <v>61.732917786000002</v>
      </c>
      <c r="E1011">
        <v>50</v>
      </c>
      <c r="F1011">
        <v>49.967823029000002</v>
      </c>
      <c r="G1011">
        <v>1327.5510254000001</v>
      </c>
      <c r="H1011">
        <v>1326.1849365</v>
      </c>
      <c r="I1011">
        <v>1334.9566649999999</v>
      </c>
      <c r="J1011">
        <v>1333.6027832</v>
      </c>
      <c r="K1011">
        <v>0</v>
      </c>
      <c r="L1011">
        <v>2400</v>
      </c>
      <c r="M1011">
        <v>2400</v>
      </c>
      <c r="N1011">
        <v>0</v>
      </c>
    </row>
    <row r="1012" spans="1:14" x14ac:dyDescent="0.25">
      <c r="A1012">
        <v>299.54473100000001</v>
      </c>
      <c r="B1012" s="1">
        <f>DATE(2011,2,24) + TIME(13,4,24)</f>
        <v>40598.544722222221</v>
      </c>
      <c r="C1012">
        <v>80</v>
      </c>
      <c r="D1012">
        <v>61.593803405999999</v>
      </c>
      <c r="E1012">
        <v>50</v>
      </c>
      <c r="F1012">
        <v>49.967868805000002</v>
      </c>
      <c r="G1012">
        <v>1327.5446777</v>
      </c>
      <c r="H1012">
        <v>1326.1762695</v>
      </c>
      <c r="I1012">
        <v>1334.9552002</v>
      </c>
      <c r="J1012">
        <v>1333.6021728999999</v>
      </c>
      <c r="K1012">
        <v>0</v>
      </c>
      <c r="L1012">
        <v>2400</v>
      </c>
      <c r="M1012">
        <v>2400</v>
      </c>
      <c r="N1012">
        <v>0</v>
      </c>
    </row>
    <row r="1013" spans="1:14" x14ac:dyDescent="0.25">
      <c r="A1013">
        <v>301.209518</v>
      </c>
      <c r="B1013" s="1">
        <f>DATE(2011,2,26) + TIME(5,1,42)</f>
        <v>40600.209513888891</v>
      </c>
      <c r="C1013">
        <v>80</v>
      </c>
      <c r="D1013">
        <v>61.388065337999997</v>
      </c>
      <c r="E1013">
        <v>50</v>
      </c>
      <c r="F1013">
        <v>49.967903137</v>
      </c>
      <c r="G1013">
        <v>1327.5338135</v>
      </c>
      <c r="H1013">
        <v>1326.1636963000001</v>
      </c>
      <c r="I1013">
        <v>1334.9522704999999</v>
      </c>
      <c r="J1013">
        <v>1333.6010742000001</v>
      </c>
      <c r="K1013">
        <v>0</v>
      </c>
      <c r="L1013">
        <v>2400</v>
      </c>
      <c r="M1013">
        <v>2400</v>
      </c>
      <c r="N1013">
        <v>0</v>
      </c>
    </row>
    <row r="1014" spans="1:14" x14ac:dyDescent="0.25">
      <c r="A1014">
        <v>302.93247600000001</v>
      </c>
      <c r="B1014" s="1">
        <f>DATE(2011,2,27) + TIME(22,22,45)</f>
        <v>40601.93246527778</v>
      </c>
      <c r="C1014">
        <v>80</v>
      </c>
      <c r="D1014">
        <v>61.167285919000001</v>
      </c>
      <c r="E1014">
        <v>50</v>
      </c>
      <c r="F1014">
        <v>49.967933655000003</v>
      </c>
      <c r="G1014">
        <v>1327.5219727000001</v>
      </c>
      <c r="H1014">
        <v>1326.1486815999999</v>
      </c>
      <c r="I1014">
        <v>1334.9493408000001</v>
      </c>
      <c r="J1014">
        <v>1333.5999756000001</v>
      </c>
      <c r="K1014">
        <v>0</v>
      </c>
      <c r="L1014">
        <v>2400</v>
      </c>
      <c r="M1014">
        <v>2400</v>
      </c>
      <c r="N1014">
        <v>0</v>
      </c>
    </row>
    <row r="1015" spans="1:14" x14ac:dyDescent="0.25">
      <c r="A1015">
        <v>304</v>
      </c>
      <c r="B1015" s="1">
        <f>DATE(2011,3,1) + TIME(0,0,0)</f>
        <v>40603</v>
      </c>
      <c r="C1015">
        <v>80</v>
      </c>
      <c r="D1015">
        <v>60.966289519999997</v>
      </c>
      <c r="E1015">
        <v>50</v>
      </c>
      <c r="F1015">
        <v>49.967945098999998</v>
      </c>
      <c r="G1015">
        <v>1327.5095214999999</v>
      </c>
      <c r="H1015">
        <v>1326.1333007999999</v>
      </c>
      <c r="I1015">
        <v>1334.9464111</v>
      </c>
      <c r="J1015">
        <v>1333.5988769999999</v>
      </c>
      <c r="K1015">
        <v>0</v>
      </c>
      <c r="L1015">
        <v>2400</v>
      </c>
      <c r="M1015">
        <v>2400</v>
      </c>
      <c r="N1015">
        <v>0</v>
      </c>
    </row>
    <row r="1016" spans="1:14" x14ac:dyDescent="0.25">
      <c r="A1016">
        <v>305.76352700000001</v>
      </c>
      <c r="B1016" s="1">
        <f>DATE(2011,3,2) + TIME(18,19,28)</f>
        <v>40604.763518518521</v>
      </c>
      <c r="C1016">
        <v>80</v>
      </c>
      <c r="D1016">
        <v>60.783329010000003</v>
      </c>
      <c r="E1016">
        <v>50</v>
      </c>
      <c r="F1016">
        <v>49.967987061000002</v>
      </c>
      <c r="G1016">
        <v>1327.5008545000001</v>
      </c>
      <c r="H1016">
        <v>1326.1206055</v>
      </c>
      <c r="I1016">
        <v>1334.9445800999999</v>
      </c>
      <c r="J1016">
        <v>1333.5981445</v>
      </c>
      <c r="K1016">
        <v>0</v>
      </c>
      <c r="L1016">
        <v>2400</v>
      </c>
      <c r="M1016">
        <v>2400</v>
      </c>
      <c r="N1016">
        <v>0</v>
      </c>
    </row>
    <row r="1017" spans="1:14" x14ac:dyDescent="0.25">
      <c r="A1017">
        <v>307.55260700000002</v>
      </c>
      <c r="B1017" s="1">
        <f>DATE(2011,3,4) + TIME(13,15,45)</f>
        <v>40606.552604166667</v>
      </c>
      <c r="C1017">
        <v>80</v>
      </c>
      <c r="D1017">
        <v>60.559619904000002</v>
      </c>
      <c r="E1017">
        <v>50</v>
      </c>
      <c r="F1017">
        <v>49.968021393000001</v>
      </c>
      <c r="G1017">
        <v>1327.4893798999999</v>
      </c>
      <c r="H1017">
        <v>1326.1064452999999</v>
      </c>
      <c r="I1017">
        <v>1334.9416504000001</v>
      </c>
      <c r="J1017">
        <v>1333.5969238</v>
      </c>
      <c r="K1017">
        <v>0</v>
      </c>
      <c r="L1017">
        <v>2400</v>
      </c>
      <c r="M1017">
        <v>2400</v>
      </c>
      <c r="N1017">
        <v>0</v>
      </c>
    </row>
    <row r="1018" spans="1:14" x14ac:dyDescent="0.25">
      <c r="A1018">
        <v>309.34373399999998</v>
      </c>
      <c r="B1018" s="1">
        <f>DATE(2011,3,6) + TIME(8,14,58)</f>
        <v>40608.343726851854</v>
      </c>
      <c r="C1018">
        <v>80</v>
      </c>
      <c r="D1018">
        <v>60.326675414999997</v>
      </c>
      <c r="E1018">
        <v>50</v>
      </c>
      <c r="F1018">
        <v>49.968055724999999</v>
      </c>
      <c r="G1018">
        <v>1327.4772949000001</v>
      </c>
      <c r="H1018">
        <v>1326.0909423999999</v>
      </c>
      <c r="I1018">
        <v>1334.9385986</v>
      </c>
      <c r="J1018">
        <v>1333.5958252</v>
      </c>
      <c r="K1018">
        <v>0</v>
      </c>
      <c r="L1018">
        <v>2400</v>
      </c>
      <c r="M1018">
        <v>2400</v>
      </c>
      <c r="N1018">
        <v>0</v>
      </c>
    </row>
    <row r="1019" spans="1:14" x14ac:dyDescent="0.25">
      <c r="A1019">
        <v>311.15331400000002</v>
      </c>
      <c r="B1019" s="1">
        <f>DATE(2011,3,8) + TIME(3,40,46)</f>
        <v>40610.153310185182</v>
      </c>
      <c r="C1019">
        <v>80</v>
      </c>
      <c r="D1019">
        <v>60.091850280999999</v>
      </c>
      <c r="E1019">
        <v>50</v>
      </c>
      <c r="F1019">
        <v>49.968090056999998</v>
      </c>
      <c r="G1019">
        <v>1327.4652100000001</v>
      </c>
      <c r="H1019">
        <v>1326.0753173999999</v>
      </c>
      <c r="I1019">
        <v>1334.9356689000001</v>
      </c>
      <c r="J1019">
        <v>1333.5946045000001</v>
      </c>
      <c r="K1019">
        <v>0</v>
      </c>
      <c r="L1019">
        <v>2400</v>
      </c>
      <c r="M1019">
        <v>2400</v>
      </c>
      <c r="N1019">
        <v>0</v>
      </c>
    </row>
    <row r="1020" spans="1:14" x14ac:dyDescent="0.25">
      <c r="A1020">
        <v>312.98074800000001</v>
      </c>
      <c r="B1020" s="1">
        <f>DATE(2011,3,9) + TIME(23,32,16)</f>
        <v>40611.980740740742</v>
      </c>
      <c r="C1020">
        <v>80</v>
      </c>
      <c r="D1020">
        <v>59.855381012000002</v>
      </c>
      <c r="E1020">
        <v>50</v>
      </c>
      <c r="F1020">
        <v>49.968128204000003</v>
      </c>
      <c r="G1020">
        <v>1327.4532471</v>
      </c>
      <c r="H1020">
        <v>1326.0596923999999</v>
      </c>
      <c r="I1020">
        <v>1334.9328613</v>
      </c>
      <c r="J1020">
        <v>1333.5935059000001</v>
      </c>
      <c r="K1020">
        <v>0</v>
      </c>
      <c r="L1020">
        <v>2400</v>
      </c>
      <c r="M1020">
        <v>2400</v>
      </c>
      <c r="N1020">
        <v>0</v>
      </c>
    </row>
    <row r="1021" spans="1:14" x14ac:dyDescent="0.25">
      <c r="A1021">
        <v>314.84349900000001</v>
      </c>
      <c r="B1021" s="1">
        <f>DATE(2011,3,11) + TIME(20,14,38)</f>
        <v>40613.843495370369</v>
      </c>
      <c r="C1021">
        <v>80</v>
      </c>
      <c r="D1021">
        <v>59.617057799999998</v>
      </c>
      <c r="E1021">
        <v>50</v>
      </c>
      <c r="F1021">
        <v>49.968166351000001</v>
      </c>
      <c r="G1021">
        <v>1327.4412841999999</v>
      </c>
      <c r="H1021">
        <v>1326.0443115</v>
      </c>
      <c r="I1021">
        <v>1334.9299315999999</v>
      </c>
      <c r="J1021">
        <v>1333.5922852000001</v>
      </c>
      <c r="K1021">
        <v>0</v>
      </c>
      <c r="L1021">
        <v>2400</v>
      </c>
      <c r="M1021">
        <v>2400</v>
      </c>
      <c r="N1021">
        <v>0</v>
      </c>
    </row>
    <row r="1022" spans="1:14" x14ac:dyDescent="0.25">
      <c r="A1022">
        <v>315.78725300000002</v>
      </c>
      <c r="B1022" s="1">
        <f>DATE(2011,3,12) + TIME(18,53,38)</f>
        <v>40614.787245370368</v>
      </c>
      <c r="C1022">
        <v>80</v>
      </c>
      <c r="D1022">
        <v>59.416725159000002</v>
      </c>
      <c r="E1022">
        <v>50</v>
      </c>
      <c r="F1022">
        <v>49.968170166</v>
      </c>
      <c r="G1022">
        <v>1327.4293213000001</v>
      </c>
      <c r="H1022">
        <v>1326.0294189000001</v>
      </c>
      <c r="I1022">
        <v>1334.9270019999999</v>
      </c>
      <c r="J1022">
        <v>1333.5910644999999</v>
      </c>
      <c r="K1022">
        <v>0</v>
      </c>
      <c r="L1022">
        <v>2400</v>
      </c>
      <c r="M1022">
        <v>2400</v>
      </c>
      <c r="N1022">
        <v>0</v>
      </c>
    </row>
    <row r="1023" spans="1:14" x14ac:dyDescent="0.25">
      <c r="A1023">
        <v>316.73100799999997</v>
      </c>
      <c r="B1023" s="1">
        <f>DATE(2011,3,13) + TIME(17,32,39)</f>
        <v>40615.731006944443</v>
      </c>
      <c r="C1023">
        <v>80</v>
      </c>
      <c r="D1023">
        <v>59.267913817999997</v>
      </c>
      <c r="E1023">
        <v>50</v>
      </c>
      <c r="F1023">
        <v>49.968185425000001</v>
      </c>
      <c r="G1023">
        <v>1327.4221190999999</v>
      </c>
      <c r="H1023">
        <v>1326.0186768000001</v>
      </c>
      <c r="I1023">
        <v>1334.9255370999999</v>
      </c>
      <c r="J1023">
        <v>1333.5904541</v>
      </c>
      <c r="K1023">
        <v>0</v>
      </c>
      <c r="L1023">
        <v>2400</v>
      </c>
      <c r="M1023">
        <v>2400</v>
      </c>
      <c r="N1023">
        <v>0</v>
      </c>
    </row>
    <row r="1024" spans="1:14" x14ac:dyDescent="0.25">
      <c r="A1024">
        <v>317.67476199999999</v>
      </c>
      <c r="B1024" s="1">
        <f>DATE(2011,3,14) + TIME(16,11,39)</f>
        <v>40616.674756944441</v>
      </c>
      <c r="C1024">
        <v>80</v>
      </c>
      <c r="D1024">
        <v>59.136600494</v>
      </c>
      <c r="E1024">
        <v>50</v>
      </c>
      <c r="F1024">
        <v>49.968204497999999</v>
      </c>
      <c r="G1024">
        <v>1327.4157714999999</v>
      </c>
      <c r="H1024">
        <v>1326.0098877</v>
      </c>
      <c r="I1024">
        <v>1334.9240723</v>
      </c>
      <c r="J1024">
        <v>1333.5899658000001</v>
      </c>
      <c r="K1024">
        <v>0</v>
      </c>
      <c r="L1024">
        <v>2400</v>
      </c>
      <c r="M1024">
        <v>2400</v>
      </c>
      <c r="N1024">
        <v>0</v>
      </c>
    </row>
    <row r="1025" spans="1:14" x14ac:dyDescent="0.25">
      <c r="A1025">
        <v>318.618516</v>
      </c>
      <c r="B1025" s="1">
        <f>DATE(2011,3,15) + TIME(14,50,39)</f>
        <v>40617.618506944447</v>
      </c>
      <c r="C1025">
        <v>80</v>
      </c>
      <c r="D1025">
        <v>59.011436461999999</v>
      </c>
      <c r="E1025">
        <v>50</v>
      </c>
      <c r="F1025">
        <v>49.968223571999999</v>
      </c>
      <c r="G1025">
        <v>1327.4097899999999</v>
      </c>
      <c r="H1025">
        <v>1326.0019531</v>
      </c>
      <c r="I1025">
        <v>1334.9226074000001</v>
      </c>
      <c r="J1025">
        <v>1333.5893555</v>
      </c>
      <c r="K1025">
        <v>0</v>
      </c>
      <c r="L1025">
        <v>2400</v>
      </c>
      <c r="M1025">
        <v>2400</v>
      </c>
      <c r="N1025">
        <v>0</v>
      </c>
    </row>
    <row r="1026" spans="1:14" x14ac:dyDescent="0.25">
      <c r="A1026">
        <v>319.56227100000001</v>
      </c>
      <c r="B1026" s="1">
        <f>DATE(2011,3,16) + TIME(13,29,40)</f>
        <v>40618.562268518515</v>
      </c>
      <c r="C1026">
        <v>80</v>
      </c>
      <c r="D1026">
        <v>58.888607024999999</v>
      </c>
      <c r="E1026">
        <v>50</v>
      </c>
      <c r="F1026">
        <v>49.968242644999997</v>
      </c>
      <c r="G1026">
        <v>1327.4039307</v>
      </c>
      <c r="H1026">
        <v>1325.9942627</v>
      </c>
      <c r="I1026">
        <v>1334.9212646000001</v>
      </c>
      <c r="J1026">
        <v>1333.5887451000001</v>
      </c>
      <c r="K1026">
        <v>0</v>
      </c>
      <c r="L1026">
        <v>2400</v>
      </c>
      <c r="M1026">
        <v>2400</v>
      </c>
      <c r="N1026">
        <v>0</v>
      </c>
    </row>
    <row r="1027" spans="1:14" x14ac:dyDescent="0.25">
      <c r="A1027">
        <v>321.44977899999998</v>
      </c>
      <c r="B1027" s="1">
        <f>DATE(2011,3,18) + TIME(10,47,40)</f>
        <v>40620.44976851852</v>
      </c>
      <c r="C1027">
        <v>80</v>
      </c>
      <c r="D1027">
        <v>58.741863250999998</v>
      </c>
      <c r="E1027">
        <v>50</v>
      </c>
      <c r="F1027">
        <v>49.968296051000003</v>
      </c>
      <c r="G1027">
        <v>1327.3983154</v>
      </c>
      <c r="H1027">
        <v>1325.9865723</v>
      </c>
      <c r="I1027">
        <v>1334.9197998</v>
      </c>
      <c r="J1027">
        <v>1333.5881348</v>
      </c>
      <c r="K1027">
        <v>0</v>
      </c>
      <c r="L1027">
        <v>2400</v>
      </c>
      <c r="M1027">
        <v>2400</v>
      </c>
      <c r="N1027">
        <v>0</v>
      </c>
    </row>
    <row r="1028" spans="1:14" x14ac:dyDescent="0.25">
      <c r="A1028">
        <v>323.34274299999998</v>
      </c>
      <c r="B1028" s="1">
        <f>DATE(2011,3,20) + TIME(8,13,32)</f>
        <v>40622.342731481483</v>
      </c>
      <c r="C1028">
        <v>80</v>
      </c>
      <c r="D1028">
        <v>58.520305634000003</v>
      </c>
      <c r="E1028">
        <v>50</v>
      </c>
      <c r="F1028">
        <v>49.968338013</v>
      </c>
      <c r="G1028">
        <v>1327.3887939000001</v>
      </c>
      <c r="H1028">
        <v>1325.9753418</v>
      </c>
      <c r="I1028">
        <v>1334.9169922000001</v>
      </c>
      <c r="J1028">
        <v>1333.5870361</v>
      </c>
      <c r="K1028">
        <v>0</v>
      </c>
      <c r="L1028">
        <v>2400</v>
      </c>
      <c r="M1028">
        <v>2400</v>
      </c>
      <c r="N1028">
        <v>0</v>
      </c>
    </row>
    <row r="1029" spans="1:14" x14ac:dyDescent="0.25">
      <c r="A1029">
        <v>325.30435</v>
      </c>
      <c r="B1029" s="1">
        <f>DATE(2011,3,22) + TIME(7,18,15)</f>
        <v>40624.304340277777</v>
      </c>
      <c r="C1029">
        <v>80</v>
      </c>
      <c r="D1029">
        <v>58.282848358000003</v>
      </c>
      <c r="E1029">
        <v>50</v>
      </c>
      <c r="F1029">
        <v>49.968383789000001</v>
      </c>
      <c r="G1029">
        <v>1327.3781738</v>
      </c>
      <c r="H1029">
        <v>1325.9617920000001</v>
      </c>
      <c r="I1029">
        <v>1334.9143065999999</v>
      </c>
      <c r="J1029">
        <v>1333.5858154</v>
      </c>
      <c r="K1029">
        <v>0</v>
      </c>
      <c r="L1029">
        <v>2400</v>
      </c>
      <c r="M1029">
        <v>2400</v>
      </c>
      <c r="N1029">
        <v>0</v>
      </c>
    </row>
    <row r="1030" spans="1:14" x14ac:dyDescent="0.25">
      <c r="A1030">
        <v>326.32580400000001</v>
      </c>
      <c r="B1030" s="1">
        <f>DATE(2011,3,23) + TIME(7,49,9)</f>
        <v>40625.325798611113</v>
      </c>
      <c r="C1030">
        <v>80</v>
      </c>
      <c r="D1030">
        <v>58.075450897000003</v>
      </c>
      <c r="E1030">
        <v>50</v>
      </c>
      <c r="F1030">
        <v>49.968391418000003</v>
      </c>
      <c r="G1030">
        <v>1327.3670654</v>
      </c>
      <c r="H1030">
        <v>1325.9479980000001</v>
      </c>
      <c r="I1030">
        <v>1334.9113769999999</v>
      </c>
      <c r="J1030">
        <v>1333.5845947</v>
      </c>
      <c r="K1030">
        <v>0</v>
      </c>
      <c r="L1030">
        <v>2400</v>
      </c>
      <c r="M1030">
        <v>2400</v>
      </c>
      <c r="N1030">
        <v>0</v>
      </c>
    </row>
    <row r="1031" spans="1:14" x14ac:dyDescent="0.25">
      <c r="A1031">
        <v>327.33875499999999</v>
      </c>
      <c r="B1031" s="1">
        <f>DATE(2011,3,24) + TIME(8,7,48)</f>
        <v>40626.338750000003</v>
      </c>
      <c r="C1031">
        <v>80</v>
      </c>
      <c r="D1031">
        <v>57.921459198000001</v>
      </c>
      <c r="E1031">
        <v>50</v>
      </c>
      <c r="F1031">
        <v>49.968410491999997</v>
      </c>
      <c r="G1031">
        <v>1327.3602295000001</v>
      </c>
      <c r="H1031">
        <v>1325.9378661999999</v>
      </c>
      <c r="I1031">
        <v>1334.9100341999999</v>
      </c>
      <c r="J1031">
        <v>1333.5839844</v>
      </c>
      <c r="K1031">
        <v>0</v>
      </c>
      <c r="L1031">
        <v>2400</v>
      </c>
      <c r="M1031">
        <v>2400</v>
      </c>
      <c r="N1031">
        <v>0</v>
      </c>
    </row>
    <row r="1032" spans="1:14" x14ac:dyDescent="0.25">
      <c r="A1032">
        <v>328.34904599999999</v>
      </c>
      <c r="B1032" s="1">
        <f>DATE(2011,3,25) + TIME(8,22,37)</f>
        <v>40627.349039351851</v>
      </c>
      <c r="C1032">
        <v>80</v>
      </c>
      <c r="D1032">
        <v>57.785110474</v>
      </c>
      <c r="E1032">
        <v>50</v>
      </c>
      <c r="F1032">
        <v>49.968429565000001</v>
      </c>
      <c r="G1032">
        <v>1327.3542480000001</v>
      </c>
      <c r="H1032">
        <v>1325.9295654</v>
      </c>
      <c r="I1032">
        <v>1334.9085693</v>
      </c>
      <c r="J1032">
        <v>1333.583374</v>
      </c>
      <c r="K1032">
        <v>0</v>
      </c>
      <c r="L1032">
        <v>2400</v>
      </c>
      <c r="M1032">
        <v>2400</v>
      </c>
      <c r="N1032">
        <v>0</v>
      </c>
    </row>
    <row r="1033" spans="1:14" x14ac:dyDescent="0.25">
      <c r="A1033">
        <v>329.35933799999998</v>
      </c>
      <c r="B1033" s="1">
        <f>DATE(2011,3,26) + TIME(8,37,26)</f>
        <v>40628.3593287037</v>
      </c>
      <c r="C1033">
        <v>80</v>
      </c>
      <c r="D1033">
        <v>57.654838562000002</v>
      </c>
      <c r="E1033">
        <v>50</v>
      </c>
      <c r="F1033">
        <v>49.968452454000001</v>
      </c>
      <c r="G1033">
        <v>1327.3486327999999</v>
      </c>
      <c r="H1033">
        <v>1325.9219971</v>
      </c>
      <c r="I1033">
        <v>1334.9071045000001</v>
      </c>
      <c r="J1033">
        <v>1333.5827637</v>
      </c>
      <c r="K1033">
        <v>0</v>
      </c>
      <c r="L1033">
        <v>2400</v>
      </c>
      <c r="M1033">
        <v>2400</v>
      </c>
      <c r="N1033">
        <v>0</v>
      </c>
    </row>
    <row r="1034" spans="1:14" x14ac:dyDescent="0.25">
      <c r="A1034">
        <v>330.36962899999997</v>
      </c>
      <c r="B1034" s="1">
        <f>DATE(2011,3,27) + TIME(8,52,15)</f>
        <v>40629.369618055556</v>
      </c>
      <c r="C1034">
        <v>80</v>
      </c>
      <c r="D1034">
        <v>57.526802062999998</v>
      </c>
      <c r="E1034">
        <v>50</v>
      </c>
      <c r="F1034">
        <v>49.968475341999998</v>
      </c>
      <c r="G1034">
        <v>1327.3431396000001</v>
      </c>
      <c r="H1034">
        <v>1325.9147949000001</v>
      </c>
      <c r="I1034">
        <v>1334.9057617000001</v>
      </c>
      <c r="J1034">
        <v>1333.5821533000001</v>
      </c>
      <c r="K1034">
        <v>0</v>
      </c>
      <c r="L1034">
        <v>2400</v>
      </c>
      <c r="M1034">
        <v>2400</v>
      </c>
      <c r="N1034">
        <v>0</v>
      </c>
    </row>
    <row r="1035" spans="1:14" x14ac:dyDescent="0.25">
      <c r="A1035">
        <v>331.37992100000002</v>
      </c>
      <c r="B1035" s="1">
        <f>DATE(2011,3,28) + TIME(9,7,5)</f>
        <v>40630.379918981482</v>
      </c>
      <c r="C1035">
        <v>80</v>
      </c>
      <c r="D1035">
        <v>57.399738311999997</v>
      </c>
      <c r="E1035">
        <v>50</v>
      </c>
      <c r="F1035">
        <v>49.968498230000002</v>
      </c>
      <c r="G1035">
        <v>1327.3377685999999</v>
      </c>
      <c r="H1035">
        <v>1325.9077147999999</v>
      </c>
      <c r="I1035">
        <v>1334.9042969</v>
      </c>
      <c r="J1035">
        <v>1333.581543</v>
      </c>
      <c r="K1035">
        <v>0</v>
      </c>
      <c r="L1035">
        <v>2400</v>
      </c>
      <c r="M1035">
        <v>2400</v>
      </c>
      <c r="N1035">
        <v>0</v>
      </c>
    </row>
    <row r="1036" spans="1:14" x14ac:dyDescent="0.25">
      <c r="A1036">
        <v>333.40050400000001</v>
      </c>
      <c r="B1036" s="1">
        <f>DATE(2011,3,30) + TIME(9,36,43)</f>
        <v>40632.400497685187</v>
      </c>
      <c r="C1036">
        <v>80</v>
      </c>
      <c r="D1036">
        <v>57.248504638999997</v>
      </c>
      <c r="E1036">
        <v>50</v>
      </c>
      <c r="F1036">
        <v>49.968555449999997</v>
      </c>
      <c r="G1036">
        <v>1327.3326416</v>
      </c>
      <c r="H1036">
        <v>1325.9005127</v>
      </c>
      <c r="I1036">
        <v>1334.9029541</v>
      </c>
      <c r="J1036">
        <v>1333.5810547000001</v>
      </c>
      <c r="K1036">
        <v>0</v>
      </c>
      <c r="L1036">
        <v>2400</v>
      </c>
      <c r="M1036">
        <v>2400</v>
      </c>
      <c r="N1036">
        <v>0</v>
      </c>
    </row>
    <row r="1037" spans="1:14" x14ac:dyDescent="0.25">
      <c r="A1037">
        <v>335</v>
      </c>
      <c r="B1037" s="1">
        <f>DATE(2011,4,1) + TIME(0,0,0)</f>
        <v>40634</v>
      </c>
      <c r="C1037">
        <v>80</v>
      </c>
      <c r="D1037">
        <v>57.028774261000002</v>
      </c>
      <c r="E1037">
        <v>50</v>
      </c>
      <c r="F1037">
        <v>49.968589782999999</v>
      </c>
      <c r="G1037">
        <v>1327.3237305</v>
      </c>
      <c r="H1037">
        <v>1325.8902588000001</v>
      </c>
      <c r="I1037">
        <v>1334.9001464999999</v>
      </c>
      <c r="J1037">
        <v>1333.5798339999999</v>
      </c>
      <c r="K1037">
        <v>0</v>
      </c>
      <c r="L1037">
        <v>2400</v>
      </c>
      <c r="M1037">
        <v>2400</v>
      </c>
      <c r="N1037">
        <v>0</v>
      </c>
    </row>
    <row r="1038" spans="1:14" x14ac:dyDescent="0.25">
      <c r="A1038">
        <v>337.02792299999999</v>
      </c>
      <c r="B1038" s="1">
        <f>DATE(2011,4,3) + TIME(0,40,12)</f>
        <v>40636.027916666666</v>
      </c>
      <c r="C1038">
        <v>80</v>
      </c>
      <c r="D1038">
        <v>56.815719604000002</v>
      </c>
      <c r="E1038">
        <v>50</v>
      </c>
      <c r="F1038">
        <v>49.968639373999999</v>
      </c>
      <c r="G1038">
        <v>1327.3155518000001</v>
      </c>
      <c r="H1038">
        <v>1325.8789062000001</v>
      </c>
      <c r="I1038">
        <v>1334.8980713000001</v>
      </c>
      <c r="J1038">
        <v>1333.5788574000001</v>
      </c>
      <c r="K1038">
        <v>0</v>
      </c>
      <c r="L1038">
        <v>2400</v>
      </c>
      <c r="M1038">
        <v>2400</v>
      </c>
      <c r="N1038">
        <v>0</v>
      </c>
    </row>
    <row r="1039" spans="1:14" x14ac:dyDescent="0.25">
      <c r="A1039">
        <v>338.12144599999999</v>
      </c>
      <c r="B1039" s="1">
        <f>DATE(2011,4,4) + TIME(2,54,52)</f>
        <v>40637.121435185189</v>
      </c>
      <c r="C1039">
        <v>80</v>
      </c>
      <c r="D1039">
        <v>56.608386993000003</v>
      </c>
      <c r="E1039">
        <v>50</v>
      </c>
      <c r="F1039">
        <v>49.968654633</v>
      </c>
      <c r="G1039">
        <v>1327.3059082</v>
      </c>
      <c r="H1039">
        <v>1325.8673096</v>
      </c>
      <c r="I1039">
        <v>1334.8953856999999</v>
      </c>
      <c r="J1039">
        <v>1333.5776367000001</v>
      </c>
      <c r="K1039">
        <v>0</v>
      </c>
      <c r="L1039">
        <v>2400</v>
      </c>
      <c r="M1039">
        <v>2400</v>
      </c>
      <c r="N1039">
        <v>0</v>
      </c>
    </row>
    <row r="1040" spans="1:14" x14ac:dyDescent="0.25">
      <c r="A1040">
        <v>339.21144700000002</v>
      </c>
      <c r="B1040" s="1">
        <f>DATE(2011,4,5) + TIME(5,4,29)</f>
        <v>40638.211446759262</v>
      </c>
      <c r="C1040">
        <v>80</v>
      </c>
      <c r="D1040">
        <v>56.451599121000001</v>
      </c>
      <c r="E1040">
        <v>50</v>
      </c>
      <c r="F1040">
        <v>49.968673705999997</v>
      </c>
      <c r="G1040">
        <v>1327.2996826000001</v>
      </c>
      <c r="H1040">
        <v>1325.8580322</v>
      </c>
      <c r="I1040">
        <v>1334.8939209</v>
      </c>
      <c r="J1040">
        <v>1333.5770264</v>
      </c>
      <c r="K1040">
        <v>0</v>
      </c>
      <c r="L1040">
        <v>2400</v>
      </c>
      <c r="M1040">
        <v>2400</v>
      </c>
      <c r="N1040">
        <v>0</v>
      </c>
    </row>
    <row r="1041" spans="1:14" x14ac:dyDescent="0.25">
      <c r="A1041">
        <v>340.30031700000001</v>
      </c>
      <c r="B1041" s="1">
        <f>DATE(2011,4,6) + TIME(7,12,27)</f>
        <v>40639.300312500003</v>
      </c>
      <c r="C1041">
        <v>80</v>
      </c>
      <c r="D1041">
        <v>56.310760498</v>
      </c>
      <c r="E1041">
        <v>50</v>
      </c>
      <c r="F1041">
        <v>49.968696594000001</v>
      </c>
      <c r="G1041">
        <v>1327.2941894999999</v>
      </c>
      <c r="H1041">
        <v>1325.8504639</v>
      </c>
      <c r="I1041">
        <v>1334.8924560999999</v>
      </c>
      <c r="J1041">
        <v>1333.5764160000001</v>
      </c>
      <c r="K1041">
        <v>0</v>
      </c>
      <c r="L1041">
        <v>2400</v>
      </c>
      <c r="M1041">
        <v>2400</v>
      </c>
      <c r="N1041">
        <v>0</v>
      </c>
    </row>
    <row r="1042" spans="1:14" x14ac:dyDescent="0.25">
      <c r="A1042">
        <v>341.38918699999999</v>
      </c>
      <c r="B1042" s="1">
        <f>DATE(2011,4,7) + TIME(9,20,25)</f>
        <v>40640.389178240737</v>
      </c>
      <c r="C1042">
        <v>80</v>
      </c>
      <c r="D1042">
        <v>56.175243377999998</v>
      </c>
      <c r="E1042">
        <v>50</v>
      </c>
      <c r="F1042">
        <v>49.968719481999997</v>
      </c>
      <c r="G1042">
        <v>1327.2890625</v>
      </c>
      <c r="H1042">
        <v>1325.8435059000001</v>
      </c>
      <c r="I1042">
        <v>1334.8911132999999</v>
      </c>
      <c r="J1042">
        <v>1333.5758057</v>
      </c>
      <c r="K1042">
        <v>0</v>
      </c>
      <c r="L1042">
        <v>2400</v>
      </c>
      <c r="M1042">
        <v>2400</v>
      </c>
      <c r="N1042">
        <v>0</v>
      </c>
    </row>
    <row r="1043" spans="1:14" x14ac:dyDescent="0.25">
      <c r="A1043">
        <v>342.47805699999998</v>
      </c>
      <c r="B1043" s="1">
        <f>DATE(2011,4,8) + TIME(11,28,24)</f>
        <v>40641.478055555555</v>
      </c>
      <c r="C1043">
        <v>80</v>
      </c>
      <c r="D1043">
        <v>56.041721344000003</v>
      </c>
      <c r="E1043">
        <v>50</v>
      </c>
      <c r="F1043">
        <v>49.968746185000001</v>
      </c>
      <c r="G1043">
        <v>1327.2840576000001</v>
      </c>
      <c r="H1043">
        <v>1325.8367920000001</v>
      </c>
      <c r="I1043">
        <v>1334.8896483999999</v>
      </c>
      <c r="J1043">
        <v>1333.5751952999999</v>
      </c>
      <c r="K1043">
        <v>0</v>
      </c>
      <c r="L1043">
        <v>2400</v>
      </c>
      <c r="M1043">
        <v>2400</v>
      </c>
      <c r="N1043">
        <v>0</v>
      </c>
    </row>
    <row r="1044" spans="1:14" x14ac:dyDescent="0.25">
      <c r="A1044">
        <v>343.56692800000002</v>
      </c>
      <c r="B1044" s="1">
        <f>DATE(2011,4,9) + TIME(13,36,22)</f>
        <v>40642.566921296297</v>
      </c>
      <c r="C1044">
        <v>80</v>
      </c>
      <c r="D1044">
        <v>55.909149169999999</v>
      </c>
      <c r="E1044">
        <v>50</v>
      </c>
      <c r="F1044">
        <v>49.968769072999997</v>
      </c>
      <c r="G1044">
        <v>1327.2790527</v>
      </c>
      <c r="H1044">
        <v>1325.8303223</v>
      </c>
      <c r="I1044">
        <v>1334.8883057</v>
      </c>
      <c r="J1044">
        <v>1333.5745850000001</v>
      </c>
      <c r="K1044">
        <v>0</v>
      </c>
      <c r="L1044">
        <v>2400</v>
      </c>
      <c r="M1044">
        <v>2400</v>
      </c>
      <c r="N1044">
        <v>0</v>
      </c>
    </row>
    <row r="1045" spans="1:14" x14ac:dyDescent="0.25">
      <c r="A1045">
        <v>344.655798</v>
      </c>
      <c r="B1045" s="1">
        <f>DATE(2011,4,10) + TIME(15,44,20)</f>
        <v>40643.655787037038</v>
      </c>
      <c r="C1045">
        <v>80</v>
      </c>
      <c r="D1045">
        <v>55.777206421000002</v>
      </c>
      <c r="E1045">
        <v>50</v>
      </c>
      <c r="F1045">
        <v>49.968795776</v>
      </c>
      <c r="G1045">
        <v>1327.2742920000001</v>
      </c>
      <c r="H1045">
        <v>1325.8238524999999</v>
      </c>
      <c r="I1045">
        <v>1334.8869629000001</v>
      </c>
      <c r="J1045">
        <v>1333.5739745999999</v>
      </c>
      <c r="K1045">
        <v>0</v>
      </c>
      <c r="L1045">
        <v>2400</v>
      </c>
      <c r="M1045">
        <v>2400</v>
      </c>
      <c r="N1045">
        <v>0</v>
      </c>
    </row>
    <row r="1046" spans="1:14" x14ac:dyDescent="0.25">
      <c r="A1046">
        <v>345.74466799999999</v>
      </c>
      <c r="B1046" s="1">
        <f>DATE(2011,4,11) + TIME(17,52,19)</f>
        <v>40644.744664351849</v>
      </c>
      <c r="C1046">
        <v>80</v>
      </c>
      <c r="D1046">
        <v>55.645786285</v>
      </c>
      <c r="E1046">
        <v>50</v>
      </c>
      <c r="F1046">
        <v>49.968818665000001</v>
      </c>
      <c r="G1046">
        <v>1327.2695312000001</v>
      </c>
      <c r="H1046">
        <v>1325.8175048999999</v>
      </c>
      <c r="I1046">
        <v>1334.8854980000001</v>
      </c>
      <c r="J1046">
        <v>1333.5733643000001</v>
      </c>
      <c r="K1046">
        <v>0</v>
      </c>
      <c r="L1046">
        <v>2400</v>
      </c>
      <c r="M1046">
        <v>2400</v>
      </c>
      <c r="N1046">
        <v>0</v>
      </c>
    </row>
    <row r="1047" spans="1:14" x14ac:dyDescent="0.25">
      <c r="A1047">
        <v>347.92240800000002</v>
      </c>
      <c r="B1047" s="1">
        <f>DATE(2011,4,13) + TIME(22,8,16)</f>
        <v>40646.922407407408</v>
      </c>
      <c r="C1047">
        <v>80</v>
      </c>
      <c r="D1047">
        <v>55.490493774000001</v>
      </c>
      <c r="E1047">
        <v>50</v>
      </c>
      <c r="F1047">
        <v>49.968883513999998</v>
      </c>
      <c r="G1047">
        <v>1327.2650146000001</v>
      </c>
      <c r="H1047">
        <v>1325.8110352000001</v>
      </c>
      <c r="I1047">
        <v>1334.8841553</v>
      </c>
      <c r="J1047">
        <v>1333.5727539</v>
      </c>
      <c r="K1047">
        <v>0</v>
      </c>
      <c r="L1047">
        <v>2400</v>
      </c>
      <c r="M1047">
        <v>2400</v>
      </c>
      <c r="N1047">
        <v>0</v>
      </c>
    </row>
    <row r="1048" spans="1:14" x14ac:dyDescent="0.25">
      <c r="A1048">
        <v>350.120406</v>
      </c>
      <c r="B1048" s="1">
        <f>DATE(2011,4,16) + TIME(2,53,23)</f>
        <v>40649.120405092595</v>
      </c>
      <c r="C1048">
        <v>80</v>
      </c>
      <c r="D1048">
        <v>55.250427246000001</v>
      </c>
      <c r="E1048">
        <v>50</v>
      </c>
      <c r="F1048">
        <v>49.968936919999997</v>
      </c>
      <c r="G1048">
        <v>1327.2570800999999</v>
      </c>
      <c r="H1048">
        <v>1325.8017577999999</v>
      </c>
      <c r="I1048">
        <v>1334.8814697</v>
      </c>
      <c r="J1048">
        <v>1333.5715332</v>
      </c>
      <c r="K1048">
        <v>0</v>
      </c>
      <c r="L1048">
        <v>2400</v>
      </c>
      <c r="M1048">
        <v>2400</v>
      </c>
      <c r="N1048">
        <v>0</v>
      </c>
    </row>
    <row r="1049" spans="1:14" x14ac:dyDescent="0.25">
      <c r="A1049">
        <v>352.430654</v>
      </c>
      <c r="B1049" s="1">
        <f>DATE(2011,4,18) + TIME(10,20,8)</f>
        <v>40651.430648148147</v>
      </c>
      <c r="C1049">
        <v>80</v>
      </c>
      <c r="D1049">
        <v>54.992820739999999</v>
      </c>
      <c r="E1049">
        <v>50</v>
      </c>
      <c r="F1049">
        <v>49.968994141000003</v>
      </c>
      <c r="G1049">
        <v>1327.2482910000001</v>
      </c>
      <c r="H1049">
        <v>1325.7904053</v>
      </c>
      <c r="I1049">
        <v>1334.8787841999999</v>
      </c>
      <c r="J1049">
        <v>1333.5703125</v>
      </c>
      <c r="K1049">
        <v>0</v>
      </c>
      <c r="L1049">
        <v>2400</v>
      </c>
      <c r="M1049">
        <v>2400</v>
      </c>
      <c r="N1049">
        <v>0</v>
      </c>
    </row>
    <row r="1050" spans="1:14" x14ac:dyDescent="0.25">
      <c r="A1050">
        <v>354.76084900000001</v>
      </c>
      <c r="B1050" s="1">
        <f>DATE(2011,4,20) + TIME(18,15,37)</f>
        <v>40653.760844907411</v>
      </c>
      <c r="C1050">
        <v>80</v>
      </c>
      <c r="D1050">
        <v>54.724388122999997</v>
      </c>
      <c r="E1050">
        <v>50</v>
      </c>
      <c r="F1050">
        <v>49.969047545999999</v>
      </c>
      <c r="G1050">
        <v>1327.2393798999999</v>
      </c>
      <c r="H1050">
        <v>1325.7785644999999</v>
      </c>
      <c r="I1050">
        <v>1334.8759766000001</v>
      </c>
      <c r="J1050">
        <v>1333.5689697</v>
      </c>
      <c r="K1050">
        <v>0</v>
      </c>
      <c r="L1050">
        <v>2400</v>
      </c>
      <c r="M1050">
        <v>2400</v>
      </c>
      <c r="N1050">
        <v>0</v>
      </c>
    </row>
    <row r="1051" spans="1:14" x14ac:dyDescent="0.25">
      <c r="A1051">
        <v>357.09988399999997</v>
      </c>
      <c r="B1051" s="1">
        <f>DATE(2011,4,23) + TIME(2,23,49)</f>
        <v>40656.099872685183</v>
      </c>
      <c r="C1051">
        <v>80</v>
      </c>
      <c r="D1051">
        <v>54.454315186000002</v>
      </c>
      <c r="E1051">
        <v>50</v>
      </c>
      <c r="F1051">
        <v>49.969100951999998</v>
      </c>
      <c r="G1051">
        <v>1327.2304687999999</v>
      </c>
      <c r="H1051">
        <v>1325.7666016000001</v>
      </c>
      <c r="I1051">
        <v>1334.8731689000001</v>
      </c>
      <c r="J1051">
        <v>1333.567749</v>
      </c>
      <c r="K1051">
        <v>0</v>
      </c>
      <c r="L1051">
        <v>2400</v>
      </c>
      <c r="M1051">
        <v>2400</v>
      </c>
      <c r="N1051">
        <v>0</v>
      </c>
    </row>
    <row r="1052" spans="1:14" x14ac:dyDescent="0.25">
      <c r="A1052">
        <v>359.468996</v>
      </c>
      <c r="B1052" s="1">
        <f>DATE(2011,4,25) + TIME(11,15,21)</f>
        <v>40658.468993055554</v>
      </c>
      <c r="C1052">
        <v>80</v>
      </c>
      <c r="D1052">
        <v>54.184761047000002</v>
      </c>
      <c r="E1052">
        <v>50</v>
      </c>
      <c r="F1052">
        <v>49.969158172999997</v>
      </c>
      <c r="G1052">
        <v>1327.2218018000001</v>
      </c>
      <c r="H1052">
        <v>1325.7551269999999</v>
      </c>
      <c r="I1052">
        <v>1334.8704834</v>
      </c>
      <c r="J1052">
        <v>1333.5665283000001</v>
      </c>
      <c r="K1052">
        <v>0</v>
      </c>
      <c r="L1052">
        <v>2400</v>
      </c>
      <c r="M1052">
        <v>2400</v>
      </c>
      <c r="N1052">
        <v>0</v>
      </c>
    </row>
    <row r="1053" spans="1:14" x14ac:dyDescent="0.25">
      <c r="A1053">
        <v>361.89866799999999</v>
      </c>
      <c r="B1053" s="1">
        <f>DATE(2011,4,27) + TIME(21,34,4)</f>
        <v>40660.898657407408</v>
      </c>
      <c r="C1053">
        <v>80</v>
      </c>
      <c r="D1053">
        <v>53.914173126000001</v>
      </c>
      <c r="E1053">
        <v>50</v>
      </c>
      <c r="F1053">
        <v>49.969211577999999</v>
      </c>
      <c r="G1053">
        <v>1327.213501</v>
      </c>
      <c r="H1053">
        <v>1325.7437743999999</v>
      </c>
      <c r="I1053">
        <v>1334.8676757999999</v>
      </c>
      <c r="J1053">
        <v>1333.5651855000001</v>
      </c>
      <c r="K1053">
        <v>0</v>
      </c>
      <c r="L1053">
        <v>2400</v>
      </c>
      <c r="M1053">
        <v>2400</v>
      </c>
      <c r="N1053">
        <v>0</v>
      </c>
    </row>
    <row r="1054" spans="1:14" x14ac:dyDescent="0.25">
      <c r="A1054">
        <v>363.13745</v>
      </c>
      <c r="B1054" s="1">
        <f>DATE(2011,4,29) + TIME(3,17,55)</f>
        <v>40662.137442129628</v>
      </c>
      <c r="C1054">
        <v>80</v>
      </c>
      <c r="D1054">
        <v>53.680438995000003</v>
      </c>
      <c r="E1054">
        <v>50</v>
      </c>
      <c r="F1054">
        <v>49.969230652</v>
      </c>
      <c r="G1054">
        <v>1327.2048339999999</v>
      </c>
      <c r="H1054">
        <v>1325.7330322</v>
      </c>
      <c r="I1054">
        <v>1334.8648682</v>
      </c>
      <c r="J1054">
        <v>1333.5638428</v>
      </c>
      <c r="K1054">
        <v>0</v>
      </c>
      <c r="L1054">
        <v>2400</v>
      </c>
      <c r="M1054">
        <v>2400</v>
      </c>
      <c r="N1054">
        <v>0</v>
      </c>
    </row>
    <row r="1055" spans="1:14" x14ac:dyDescent="0.25">
      <c r="A1055">
        <v>365</v>
      </c>
      <c r="B1055" s="1">
        <f>DATE(2011,5,1) + TIME(0,0,0)</f>
        <v>40664</v>
      </c>
      <c r="C1055">
        <v>80</v>
      </c>
      <c r="D1055">
        <v>53.496585846000002</v>
      </c>
      <c r="E1055">
        <v>50</v>
      </c>
      <c r="F1055">
        <v>49.969276428000001</v>
      </c>
      <c r="G1055">
        <v>1327.2000731999999</v>
      </c>
      <c r="H1055">
        <v>1325.7250977000001</v>
      </c>
      <c r="I1055">
        <v>1334.8635254000001</v>
      </c>
      <c r="J1055">
        <v>1333.5632324000001</v>
      </c>
      <c r="K1055">
        <v>0</v>
      </c>
      <c r="L1055">
        <v>2400</v>
      </c>
      <c r="M1055">
        <v>2400</v>
      </c>
      <c r="N1055">
        <v>0</v>
      </c>
    </row>
    <row r="1056" spans="1:14" x14ac:dyDescent="0.25">
      <c r="A1056">
        <v>365.000001</v>
      </c>
      <c r="B1056" s="1">
        <f>DATE(2011,5,1) + TIME(0,0,0)</f>
        <v>40664</v>
      </c>
      <c r="C1056">
        <v>80</v>
      </c>
      <c r="D1056">
        <v>53.496734619000001</v>
      </c>
      <c r="E1056">
        <v>50</v>
      </c>
      <c r="F1056">
        <v>49.969211577999999</v>
      </c>
      <c r="G1056">
        <v>1329.3488769999999</v>
      </c>
      <c r="H1056">
        <v>1328.0021973</v>
      </c>
      <c r="I1056">
        <v>1333.0372314000001</v>
      </c>
      <c r="J1056">
        <v>1332.4193115</v>
      </c>
      <c r="K1056">
        <v>2400</v>
      </c>
      <c r="L1056">
        <v>0</v>
      </c>
      <c r="M1056">
        <v>0</v>
      </c>
      <c r="N1056">
        <v>2400</v>
      </c>
    </row>
    <row r="1057" spans="1:14" x14ac:dyDescent="0.25">
      <c r="A1057">
        <v>365.00000399999999</v>
      </c>
      <c r="B1057" s="1">
        <f>DATE(2011,5,1) + TIME(0,0,0)</f>
        <v>40664</v>
      </c>
      <c r="C1057">
        <v>80</v>
      </c>
      <c r="D1057">
        <v>53.496990203999999</v>
      </c>
      <c r="E1057">
        <v>50</v>
      </c>
      <c r="F1057">
        <v>49.969131470000001</v>
      </c>
      <c r="G1057">
        <v>1330.2214355000001</v>
      </c>
      <c r="H1057">
        <v>1328.9193115</v>
      </c>
      <c r="I1057">
        <v>1332.4046631000001</v>
      </c>
      <c r="J1057">
        <v>1331.7857666</v>
      </c>
      <c r="K1057">
        <v>2400</v>
      </c>
      <c r="L1057">
        <v>0</v>
      </c>
      <c r="M1057">
        <v>0</v>
      </c>
      <c r="N1057">
        <v>2400</v>
      </c>
    </row>
    <row r="1058" spans="1:14" x14ac:dyDescent="0.25">
      <c r="A1058">
        <v>365.00001300000002</v>
      </c>
      <c r="B1058" s="1">
        <f>DATE(2011,5,1) + TIME(0,0,1)</f>
        <v>40664.000011574077</v>
      </c>
      <c r="C1058">
        <v>80</v>
      </c>
      <c r="D1058">
        <v>53.497524261000002</v>
      </c>
      <c r="E1058">
        <v>50</v>
      </c>
      <c r="F1058">
        <v>49.969051360999998</v>
      </c>
      <c r="G1058">
        <v>1331.1448975000001</v>
      </c>
      <c r="H1058">
        <v>1329.8073730000001</v>
      </c>
      <c r="I1058">
        <v>1331.7952881000001</v>
      </c>
      <c r="J1058">
        <v>1331.1719971</v>
      </c>
      <c r="K1058">
        <v>2400</v>
      </c>
      <c r="L1058">
        <v>0</v>
      </c>
      <c r="M1058">
        <v>0</v>
      </c>
      <c r="N1058">
        <v>2400</v>
      </c>
    </row>
    <row r="1059" spans="1:14" x14ac:dyDescent="0.25">
      <c r="A1059">
        <v>365.00004000000001</v>
      </c>
      <c r="B1059" s="1">
        <f>DATE(2011,5,1) + TIME(0,0,3)</f>
        <v>40664.000034722223</v>
      </c>
      <c r="C1059">
        <v>80</v>
      </c>
      <c r="D1059">
        <v>53.498943328999999</v>
      </c>
      <c r="E1059">
        <v>50</v>
      </c>
      <c r="F1059">
        <v>49.968975067000002</v>
      </c>
      <c r="G1059">
        <v>1332.0334473</v>
      </c>
      <c r="H1059">
        <v>1330.6544189000001</v>
      </c>
      <c r="I1059">
        <v>1331.2098389</v>
      </c>
      <c r="J1059">
        <v>1330.5733643000001</v>
      </c>
      <c r="K1059">
        <v>2400</v>
      </c>
      <c r="L1059">
        <v>0</v>
      </c>
      <c r="M1059">
        <v>0</v>
      </c>
      <c r="N1059">
        <v>2400</v>
      </c>
    </row>
    <row r="1060" spans="1:14" x14ac:dyDescent="0.25">
      <c r="A1060">
        <v>365.00012099999998</v>
      </c>
      <c r="B1060" s="1">
        <f>DATE(2011,5,1) + TIME(0,0,10)</f>
        <v>40664.000115740739</v>
      </c>
      <c r="C1060">
        <v>80</v>
      </c>
      <c r="D1060">
        <v>53.503082274999997</v>
      </c>
      <c r="E1060">
        <v>50</v>
      </c>
      <c r="F1060">
        <v>49.968891143999997</v>
      </c>
      <c r="G1060">
        <v>1332.8963623</v>
      </c>
      <c r="H1060">
        <v>1331.4777832</v>
      </c>
      <c r="I1060">
        <v>1330.6081543</v>
      </c>
      <c r="J1060">
        <v>1329.9466553</v>
      </c>
      <c r="K1060">
        <v>2400</v>
      </c>
      <c r="L1060">
        <v>0</v>
      </c>
      <c r="M1060">
        <v>0</v>
      </c>
      <c r="N1060">
        <v>2400</v>
      </c>
    </row>
    <row r="1061" spans="1:14" x14ac:dyDescent="0.25">
      <c r="A1061">
        <v>365.00036399999999</v>
      </c>
      <c r="B1061" s="1">
        <f>DATE(2011,5,1) + TIME(0,0,31)</f>
        <v>40664.000358796293</v>
      </c>
      <c r="C1061">
        <v>80</v>
      </c>
      <c r="D1061">
        <v>53.515613555999998</v>
      </c>
      <c r="E1061">
        <v>50</v>
      </c>
      <c r="F1061">
        <v>49.968780518000003</v>
      </c>
      <c r="G1061">
        <v>1333.7158202999999</v>
      </c>
      <c r="H1061">
        <v>1332.2587891000001</v>
      </c>
      <c r="I1061">
        <v>1329.9798584</v>
      </c>
      <c r="J1061">
        <v>1329.2874756000001</v>
      </c>
      <c r="K1061">
        <v>2400</v>
      </c>
      <c r="L1061">
        <v>0</v>
      </c>
      <c r="M1061">
        <v>0</v>
      </c>
      <c r="N1061">
        <v>2400</v>
      </c>
    </row>
    <row r="1062" spans="1:14" x14ac:dyDescent="0.25">
      <c r="A1062">
        <v>365.00109300000003</v>
      </c>
      <c r="B1062" s="1">
        <f>DATE(2011,5,1) + TIME(0,1,34)</f>
        <v>40664.001087962963</v>
      </c>
      <c r="C1062">
        <v>80</v>
      </c>
      <c r="D1062">
        <v>53.553707123000002</v>
      </c>
      <c r="E1062">
        <v>50</v>
      </c>
      <c r="F1062">
        <v>49.968616486000002</v>
      </c>
      <c r="G1062">
        <v>1334.3780518000001</v>
      </c>
      <c r="H1062">
        <v>1332.8916016000001</v>
      </c>
      <c r="I1062">
        <v>1329.4194336</v>
      </c>
      <c r="J1062">
        <v>1328.7044678</v>
      </c>
      <c r="K1062">
        <v>2400</v>
      </c>
      <c r="L1062">
        <v>0</v>
      </c>
      <c r="M1062">
        <v>0</v>
      </c>
      <c r="N1062">
        <v>2400</v>
      </c>
    </row>
    <row r="1063" spans="1:14" x14ac:dyDescent="0.25">
      <c r="A1063">
        <v>365.00328000000002</v>
      </c>
      <c r="B1063" s="1">
        <f>DATE(2011,5,1) + TIME(0,4,43)</f>
        <v>40664.003275462965</v>
      </c>
      <c r="C1063">
        <v>80</v>
      </c>
      <c r="D1063">
        <v>53.668422698999997</v>
      </c>
      <c r="E1063">
        <v>50</v>
      </c>
      <c r="F1063">
        <v>49.968288422000001</v>
      </c>
      <c r="G1063">
        <v>1334.7491454999999</v>
      </c>
      <c r="H1063">
        <v>1333.2504882999999</v>
      </c>
      <c r="I1063">
        <v>1329.0972899999999</v>
      </c>
      <c r="J1063">
        <v>1328.3728027</v>
      </c>
      <c r="K1063">
        <v>2400</v>
      </c>
      <c r="L1063">
        <v>0</v>
      </c>
      <c r="M1063">
        <v>0</v>
      </c>
      <c r="N1063">
        <v>2400</v>
      </c>
    </row>
    <row r="1064" spans="1:14" x14ac:dyDescent="0.25">
      <c r="A1064">
        <v>365.00984099999999</v>
      </c>
      <c r="B1064" s="1">
        <f>DATE(2011,5,1) + TIME(0,14,10)</f>
        <v>40664.009837962964</v>
      </c>
      <c r="C1064">
        <v>80</v>
      </c>
      <c r="D1064">
        <v>54.008850098000003</v>
      </c>
      <c r="E1064">
        <v>50</v>
      </c>
      <c r="F1064">
        <v>49.967418670999997</v>
      </c>
      <c r="G1064">
        <v>1334.8542480000001</v>
      </c>
      <c r="H1064">
        <v>1333.3598632999999</v>
      </c>
      <c r="I1064">
        <v>1329.0141602000001</v>
      </c>
      <c r="J1064">
        <v>1328.2877197</v>
      </c>
      <c r="K1064">
        <v>2400</v>
      </c>
      <c r="L1064">
        <v>0</v>
      </c>
      <c r="M1064">
        <v>0</v>
      </c>
      <c r="N1064">
        <v>2400</v>
      </c>
    </row>
    <row r="1065" spans="1:14" x14ac:dyDescent="0.25">
      <c r="A1065">
        <v>365.025891</v>
      </c>
      <c r="B1065" s="1">
        <f>DATE(2011,5,1) + TIME(0,37,16)</f>
        <v>40664.025879629633</v>
      </c>
      <c r="C1065">
        <v>80</v>
      </c>
      <c r="D1065">
        <v>54.816875457999998</v>
      </c>
      <c r="E1065">
        <v>50</v>
      </c>
      <c r="F1065">
        <v>49.965343474999997</v>
      </c>
      <c r="G1065">
        <v>1334.8483887</v>
      </c>
      <c r="H1065">
        <v>1333.3706055</v>
      </c>
      <c r="I1065">
        <v>1329.0078125</v>
      </c>
      <c r="J1065">
        <v>1328.2810059000001</v>
      </c>
      <c r="K1065">
        <v>2400</v>
      </c>
      <c r="L1065">
        <v>0</v>
      </c>
      <c r="M1065">
        <v>0</v>
      </c>
      <c r="N1065">
        <v>2400</v>
      </c>
    </row>
    <row r="1066" spans="1:14" x14ac:dyDescent="0.25">
      <c r="A1066">
        <v>365.04226799999998</v>
      </c>
      <c r="B1066" s="1">
        <f>DATE(2011,5,1) + TIME(1,0,51)</f>
        <v>40664.042256944442</v>
      </c>
      <c r="C1066">
        <v>80</v>
      </c>
      <c r="D1066">
        <v>55.623573303000001</v>
      </c>
      <c r="E1066">
        <v>50</v>
      </c>
      <c r="F1066">
        <v>49.963233948000003</v>
      </c>
      <c r="G1066">
        <v>1334.8592529</v>
      </c>
      <c r="H1066">
        <v>1333.3846435999999</v>
      </c>
      <c r="I1066">
        <v>1329.0076904</v>
      </c>
      <c r="J1066">
        <v>1328.2808838000001</v>
      </c>
      <c r="K1066">
        <v>2400</v>
      </c>
      <c r="L1066">
        <v>0</v>
      </c>
      <c r="M1066">
        <v>0</v>
      </c>
      <c r="N1066">
        <v>2400</v>
      </c>
    </row>
    <row r="1067" spans="1:14" x14ac:dyDescent="0.25">
      <c r="A1067">
        <v>365.05895299999997</v>
      </c>
      <c r="B1067" s="1">
        <f>DATE(2011,5,1) + TIME(1,24,53)</f>
        <v>40664.058946759258</v>
      </c>
      <c r="C1067">
        <v>80</v>
      </c>
      <c r="D1067">
        <v>56.427360534999998</v>
      </c>
      <c r="E1067">
        <v>50</v>
      </c>
      <c r="F1067">
        <v>49.961097717000001</v>
      </c>
      <c r="G1067">
        <v>1334.8718262</v>
      </c>
      <c r="H1067">
        <v>1333.3992920000001</v>
      </c>
      <c r="I1067">
        <v>1329.0076904</v>
      </c>
      <c r="J1067">
        <v>1328.2807617000001</v>
      </c>
      <c r="K1067">
        <v>2400</v>
      </c>
      <c r="L1067">
        <v>0</v>
      </c>
      <c r="M1067">
        <v>0</v>
      </c>
      <c r="N1067">
        <v>2400</v>
      </c>
    </row>
    <row r="1068" spans="1:14" x14ac:dyDescent="0.25">
      <c r="A1068">
        <v>365.07595600000002</v>
      </c>
      <c r="B1068" s="1">
        <f>DATE(2011,5,1) + TIME(1,49,22)</f>
        <v>40664.075949074075</v>
      </c>
      <c r="C1068">
        <v>80</v>
      </c>
      <c r="D1068">
        <v>57.228061676000003</v>
      </c>
      <c r="E1068">
        <v>50</v>
      </c>
      <c r="F1068">
        <v>49.958927154999998</v>
      </c>
      <c r="G1068">
        <v>1334.8869629000001</v>
      </c>
      <c r="H1068">
        <v>1333.4152832</v>
      </c>
      <c r="I1068">
        <v>1329.0075684000001</v>
      </c>
      <c r="J1068">
        <v>1328.2806396000001</v>
      </c>
      <c r="K1068">
        <v>2400</v>
      </c>
      <c r="L1068">
        <v>0</v>
      </c>
      <c r="M1068">
        <v>0</v>
      </c>
      <c r="N1068">
        <v>2400</v>
      </c>
    </row>
    <row r="1069" spans="1:14" x14ac:dyDescent="0.25">
      <c r="A1069">
        <v>365.09328699999998</v>
      </c>
      <c r="B1069" s="1">
        <f>DATE(2011,5,1) + TIME(2,14,20)</f>
        <v>40664.093287037038</v>
      </c>
      <c r="C1069">
        <v>80</v>
      </c>
      <c r="D1069">
        <v>58.025444030999999</v>
      </c>
      <c r="E1069">
        <v>50</v>
      </c>
      <c r="F1069">
        <v>49.956726074000002</v>
      </c>
      <c r="G1069">
        <v>1334.9045410000001</v>
      </c>
      <c r="H1069">
        <v>1333.4328613</v>
      </c>
      <c r="I1069">
        <v>1329.0075684000001</v>
      </c>
      <c r="J1069">
        <v>1328.2803954999999</v>
      </c>
      <c r="K1069">
        <v>2400</v>
      </c>
      <c r="L1069">
        <v>0</v>
      </c>
      <c r="M1069">
        <v>0</v>
      </c>
      <c r="N1069">
        <v>2400</v>
      </c>
    </row>
    <row r="1070" spans="1:14" x14ac:dyDescent="0.25">
      <c r="A1070">
        <v>365.11095399999999</v>
      </c>
      <c r="B1070" s="1">
        <f>DATE(2011,5,1) + TIME(2,39,46)</f>
        <v>40664.110949074071</v>
      </c>
      <c r="C1070">
        <v>80</v>
      </c>
      <c r="D1070">
        <v>58.819076537999997</v>
      </c>
      <c r="E1070">
        <v>50</v>
      </c>
      <c r="F1070">
        <v>49.954494476000001</v>
      </c>
      <c r="G1070">
        <v>1334.9246826000001</v>
      </c>
      <c r="H1070">
        <v>1333.4519043</v>
      </c>
      <c r="I1070">
        <v>1329.0074463000001</v>
      </c>
      <c r="J1070">
        <v>1328.2801514</v>
      </c>
      <c r="K1070">
        <v>2400</v>
      </c>
      <c r="L1070">
        <v>0</v>
      </c>
      <c r="M1070">
        <v>0</v>
      </c>
      <c r="N1070">
        <v>2400</v>
      </c>
    </row>
    <row r="1071" spans="1:14" x14ac:dyDescent="0.25">
      <c r="A1071">
        <v>365.12897199999998</v>
      </c>
      <c r="B1071" s="1">
        <f>DATE(2011,5,1) + TIME(3,5,43)</f>
        <v>40664.128969907404</v>
      </c>
      <c r="C1071">
        <v>80</v>
      </c>
      <c r="D1071">
        <v>59.608818053999997</v>
      </c>
      <c r="E1071">
        <v>50</v>
      </c>
      <c r="F1071">
        <v>49.952228546000001</v>
      </c>
      <c r="G1071">
        <v>1334.9471435999999</v>
      </c>
      <c r="H1071">
        <v>1333.4722899999999</v>
      </c>
      <c r="I1071">
        <v>1329.0073242000001</v>
      </c>
      <c r="J1071">
        <v>1328.2799072</v>
      </c>
      <c r="K1071">
        <v>2400</v>
      </c>
      <c r="L1071">
        <v>0</v>
      </c>
      <c r="M1071">
        <v>0</v>
      </c>
      <c r="N1071">
        <v>2400</v>
      </c>
    </row>
    <row r="1072" spans="1:14" x14ac:dyDescent="0.25">
      <c r="A1072">
        <v>365.147356</v>
      </c>
      <c r="B1072" s="1">
        <f>DATE(2011,5,1) + TIME(3,32,11)</f>
        <v>40664.147349537037</v>
      </c>
      <c r="C1072">
        <v>80</v>
      </c>
      <c r="D1072">
        <v>60.394020081000001</v>
      </c>
      <c r="E1072">
        <v>50</v>
      </c>
      <c r="F1072">
        <v>49.949928284000002</v>
      </c>
      <c r="G1072">
        <v>1334.9719238</v>
      </c>
      <c r="H1072">
        <v>1333.4941406</v>
      </c>
      <c r="I1072">
        <v>1329.0072021000001</v>
      </c>
      <c r="J1072">
        <v>1328.2796631000001</v>
      </c>
      <c r="K1072">
        <v>2400</v>
      </c>
      <c r="L1072">
        <v>0</v>
      </c>
      <c r="M1072">
        <v>0</v>
      </c>
      <c r="N1072">
        <v>2400</v>
      </c>
    </row>
    <row r="1073" spans="1:14" x14ac:dyDescent="0.25">
      <c r="A1073">
        <v>365.16611999999998</v>
      </c>
      <c r="B1073" s="1">
        <f>DATE(2011,5,1) + TIME(3,59,12)</f>
        <v>40664.16611111111</v>
      </c>
      <c r="C1073">
        <v>80</v>
      </c>
      <c r="D1073">
        <v>61.174259186</v>
      </c>
      <c r="E1073">
        <v>50</v>
      </c>
      <c r="F1073">
        <v>49.947589874000002</v>
      </c>
      <c r="G1073">
        <v>1334.9989014</v>
      </c>
      <c r="H1073">
        <v>1333.5173339999999</v>
      </c>
      <c r="I1073">
        <v>1329.0070800999999</v>
      </c>
      <c r="J1073">
        <v>1328.2794189000001</v>
      </c>
      <c r="K1073">
        <v>2400</v>
      </c>
      <c r="L1073">
        <v>0</v>
      </c>
      <c r="M1073">
        <v>0</v>
      </c>
      <c r="N1073">
        <v>2400</v>
      </c>
    </row>
    <row r="1074" spans="1:14" x14ac:dyDescent="0.25">
      <c r="A1074">
        <v>365.18523800000003</v>
      </c>
      <c r="B1074" s="1">
        <f>DATE(2011,5,1) + TIME(4,26,44)</f>
        <v>40664.185231481482</v>
      </c>
      <c r="C1074">
        <v>80</v>
      </c>
      <c r="D1074">
        <v>61.947685241999999</v>
      </c>
      <c r="E1074">
        <v>50</v>
      </c>
      <c r="F1074">
        <v>49.945217133</v>
      </c>
      <c r="G1074">
        <v>1335.0281981999999</v>
      </c>
      <c r="H1074">
        <v>1333.5417480000001</v>
      </c>
      <c r="I1074">
        <v>1329.0069579999999</v>
      </c>
      <c r="J1074">
        <v>1328.2791748</v>
      </c>
      <c r="K1074">
        <v>2400</v>
      </c>
      <c r="L1074">
        <v>0</v>
      </c>
      <c r="M1074">
        <v>0</v>
      </c>
      <c r="N1074">
        <v>2400</v>
      </c>
    </row>
    <row r="1075" spans="1:14" x14ac:dyDescent="0.25">
      <c r="A1075">
        <v>365.20471400000002</v>
      </c>
      <c r="B1075" s="1">
        <f>DATE(2011,5,1) + TIME(4,54,47)</f>
        <v>40664.204710648148</v>
      </c>
      <c r="C1075">
        <v>80</v>
      </c>
      <c r="D1075">
        <v>62.713420868</v>
      </c>
      <c r="E1075">
        <v>50</v>
      </c>
      <c r="F1075">
        <v>49.942813872999999</v>
      </c>
      <c r="G1075">
        <v>1335.0594481999999</v>
      </c>
      <c r="H1075">
        <v>1333.5673827999999</v>
      </c>
      <c r="I1075">
        <v>1329.0068358999999</v>
      </c>
      <c r="J1075">
        <v>1328.2789307</v>
      </c>
      <c r="K1075">
        <v>2400</v>
      </c>
      <c r="L1075">
        <v>0</v>
      </c>
      <c r="M1075">
        <v>0</v>
      </c>
      <c r="N1075">
        <v>2400</v>
      </c>
    </row>
    <row r="1076" spans="1:14" x14ac:dyDescent="0.25">
      <c r="A1076">
        <v>365.22456199999999</v>
      </c>
      <c r="B1076" s="1">
        <f>DATE(2011,5,1) + TIME(5,23,22)</f>
        <v>40664.224560185183</v>
      </c>
      <c r="C1076">
        <v>80</v>
      </c>
      <c r="D1076">
        <v>63.470890044999997</v>
      </c>
      <c r="E1076">
        <v>50</v>
      </c>
      <c r="F1076">
        <v>49.940380095999998</v>
      </c>
      <c r="G1076">
        <v>1335.0925293</v>
      </c>
      <c r="H1076">
        <v>1333.5942382999999</v>
      </c>
      <c r="I1076">
        <v>1329.0065918</v>
      </c>
      <c r="J1076">
        <v>1328.2785644999999</v>
      </c>
      <c r="K1076">
        <v>2400</v>
      </c>
      <c r="L1076">
        <v>0</v>
      </c>
      <c r="M1076">
        <v>0</v>
      </c>
      <c r="N1076">
        <v>2400</v>
      </c>
    </row>
    <row r="1077" spans="1:14" x14ac:dyDescent="0.25">
      <c r="A1077">
        <v>365.24479700000001</v>
      </c>
      <c r="B1077" s="1">
        <f>DATE(2011,5,1) + TIME(5,52,30)</f>
        <v>40664.244791666664</v>
      </c>
      <c r="C1077">
        <v>80</v>
      </c>
      <c r="D1077">
        <v>64.219482421999999</v>
      </c>
      <c r="E1077">
        <v>50</v>
      </c>
      <c r="F1077">
        <v>49.937908172999997</v>
      </c>
      <c r="G1077">
        <v>1335.1274414</v>
      </c>
      <c r="H1077">
        <v>1333.6221923999999</v>
      </c>
      <c r="I1077">
        <v>1329.0064697</v>
      </c>
      <c r="J1077">
        <v>1328.2781981999999</v>
      </c>
      <c r="K1077">
        <v>2400</v>
      </c>
      <c r="L1077">
        <v>0</v>
      </c>
      <c r="M1077">
        <v>0</v>
      </c>
      <c r="N1077">
        <v>2400</v>
      </c>
    </row>
    <row r="1078" spans="1:14" x14ac:dyDescent="0.25">
      <c r="A1078">
        <v>365.26543500000002</v>
      </c>
      <c r="B1078" s="1">
        <f>DATE(2011,5,1) + TIME(6,22,13)</f>
        <v>40664.265428240738</v>
      </c>
      <c r="C1078">
        <v>80</v>
      </c>
      <c r="D1078">
        <v>64.958526610999996</v>
      </c>
      <c r="E1078">
        <v>50</v>
      </c>
      <c r="F1078">
        <v>49.935398102000001</v>
      </c>
      <c r="G1078">
        <v>1335.1640625</v>
      </c>
      <c r="H1078">
        <v>1333.6511230000001</v>
      </c>
      <c r="I1078">
        <v>1329.0063477000001</v>
      </c>
      <c r="J1078">
        <v>1328.2779541</v>
      </c>
      <c r="K1078">
        <v>2400</v>
      </c>
      <c r="L1078">
        <v>0</v>
      </c>
      <c r="M1078">
        <v>0</v>
      </c>
      <c r="N1078">
        <v>2400</v>
      </c>
    </row>
    <row r="1079" spans="1:14" x14ac:dyDescent="0.25">
      <c r="A1079">
        <v>365.28649300000001</v>
      </c>
      <c r="B1079" s="1">
        <f>DATE(2011,5,1) + TIME(6,52,33)</f>
        <v>40664.286493055559</v>
      </c>
      <c r="C1079">
        <v>80</v>
      </c>
      <c r="D1079">
        <v>65.687492371000005</v>
      </c>
      <c r="E1079">
        <v>50</v>
      </c>
      <c r="F1079">
        <v>49.932849883999999</v>
      </c>
      <c r="G1079">
        <v>1335.2022704999999</v>
      </c>
      <c r="H1079">
        <v>1333.6810303</v>
      </c>
      <c r="I1079">
        <v>1329.0061035000001</v>
      </c>
      <c r="J1079">
        <v>1328.2775879000001</v>
      </c>
      <c r="K1079">
        <v>2400</v>
      </c>
      <c r="L1079">
        <v>0</v>
      </c>
      <c r="M1079">
        <v>0</v>
      </c>
      <c r="N1079">
        <v>2400</v>
      </c>
    </row>
    <row r="1080" spans="1:14" x14ac:dyDescent="0.25">
      <c r="A1080">
        <v>365.30798900000002</v>
      </c>
      <c r="B1080" s="1">
        <f>DATE(2011,5,1) + TIME(7,23,30)</f>
        <v>40664.307986111111</v>
      </c>
      <c r="C1080">
        <v>80</v>
      </c>
      <c r="D1080">
        <v>66.405448914000004</v>
      </c>
      <c r="E1080">
        <v>50</v>
      </c>
      <c r="F1080">
        <v>49.930263519</v>
      </c>
      <c r="G1080">
        <v>1335.2419434000001</v>
      </c>
      <c r="H1080">
        <v>1333.7117920000001</v>
      </c>
      <c r="I1080">
        <v>1329.0058594</v>
      </c>
      <c r="J1080">
        <v>1328.2772216999999</v>
      </c>
      <c r="K1080">
        <v>2400</v>
      </c>
      <c r="L1080">
        <v>0</v>
      </c>
      <c r="M1080">
        <v>0</v>
      </c>
      <c r="N1080">
        <v>2400</v>
      </c>
    </row>
    <row r="1081" spans="1:14" x14ac:dyDescent="0.25">
      <c r="A1081">
        <v>365.32993800000003</v>
      </c>
      <c r="B1081" s="1">
        <f>DATE(2011,5,1) + TIME(7,55,6)</f>
        <v>40664.329930555556</v>
      </c>
      <c r="C1081">
        <v>80</v>
      </c>
      <c r="D1081">
        <v>67.111473083000007</v>
      </c>
      <c r="E1081">
        <v>50</v>
      </c>
      <c r="F1081">
        <v>49.927639008</v>
      </c>
      <c r="G1081">
        <v>1335.2829589999999</v>
      </c>
      <c r="H1081">
        <v>1333.7435303</v>
      </c>
      <c r="I1081">
        <v>1329.0057373</v>
      </c>
      <c r="J1081">
        <v>1328.2768555</v>
      </c>
      <c r="K1081">
        <v>2400</v>
      </c>
      <c r="L1081">
        <v>0</v>
      </c>
      <c r="M1081">
        <v>0</v>
      </c>
      <c r="N1081">
        <v>2400</v>
      </c>
    </row>
    <row r="1082" spans="1:14" x14ac:dyDescent="0.25">
      <c r="A1082">
        <v>365.35236500000002</v>
      </c>
      <c r="B1082" s="1">
        <f>DATE(2011,5,1) + TIME(8,27,24)</f>
        <v>40664.352361111109</v>
      </c>
      <c r="C1082">
        <v>80</v>
      </c>
      <c r="D1082">
        <v>67.804908752000003</v>
      </c>
      <c r="E1082">
        <v>50</v>
      </c>
      <c r="F1082">
        <v>49.924968718999999</v>
      </c>
      <c r="G1082">
        <v>1335.3254394999999</v>
      </c>
      <c r="H1082">
        <v>1333.776001</v>
      </c>
      <c r="I1082">
        <v>1329.0054932</v>
      </c>
      <c r="J1082">
        <v>1328.2763672000001</v>
      </c>
      <c r="K1082">
        <v>2400</v>
      </c>
      <c r="L1082">
        <v>0</v>
      </c>
      <c r="M1082">
        <v>0</v>
      </c>
      <c r="N1082">
        <v>2400</v>
      </c>
    </row>
    <row r="1083" spans="1:14" x14ac:dyDescent="0.25">
      <c r="A1083">
        <v>365.375294</v>
      </c>
      <c r="B1083" s="1">
        <f>DATE(2011,5,1) + TIME(9,0,25)</f>
        <v>40664.375289351854</v>
      </c>
      <c r="C1083">
        <v>80</v>
      </c>
      <c r="D1083">
        <v>68.484909058</v>
      </c>
      <c r="E1083">
        <v>50</v>
      </c>
      <c r="F1083">
        <v>49.922252655000001</v>
      </c>
      <c r="G1083">
        <v>1335.3690185999999</v>
      </c>
      <c r="H1083">
        <v>1333.809082</v>
      </c>
      <c r="I1083">
        <v>1329.005249</v>
      </c>
      <c r="J1083">
        <v>1328.276001</v>
      </c>
      <c r="K1083">
        <v>2400</v>
      </c>
      <c r="L1083">
        <v>0</v>
      </c>
      <c r="M1083">
        <v>0</v>
      </c>
      <c r="N1083">
        <v>2400</v>
      </c>
    </row>
    <row r="1084" spans="1:14" x14ac:dyDescent="0.25">
      <c r="A1084">
        <v>365.39874800000001</v>
      </c>
      <c r="B1084" s="1">
        <f>DATE(2011,5,1) + TIME(9,34,11)</f>
        <v>40664.398738425924</v>
      </c>
      <c r="C1084">
        <v>80</v>
      </c>
      <c r="D1084">
        <v>69.150634765999996</v>
      </c>
      <c r="E1084">
        <v>50</v>
      </c>
      <c r="F1084">
        <v>49.919486999999997</v>
      </c>
      <c r="G1084">
        <v>1335.4136963000001</v>
      </c>
      <c r="H1084">
        <v>1333.8428954999999</v>
      </c>
      <c r="I1084">
        <v>1329.0050048999999</v>
      </c>
      <c r="J1084">
        <v>1328.2755127</v>
      </c>
      <c r="K1084">
        <v>2400</v>
      </c>
      <c r="L1084">
        <v>0</v>
      </c>
      <c r="M1084">
        <v>0</v>
      </c>
      <c r="N1084">
        <v>2400</v>
      </c>
    </row>
    <row r="1085" spans="1:14" x14ac:dyDescent="0.25">
      <c r="A1085">
        <v>365.422754</v>
      </c>
      <c r="B1085" s="1">
        <f>DATE(2011,5,1) + TIME(10,8,45)</f>
        <v>40664.422743055555</v>
      </c>
      <c r="C1085">
        <v>80</v>
      </c>
      <c r="D1085">
        <v>69.801223754999995</v>
      </c>
      <c r="E1085">
        <v>50</v>
      </c>
      <c r="F1085">
        <v>49.916675568000002</v>
      </c>
      <c r="G1085">
        <v>1335.4594727000001</v>
      </c>
      <c r="H1085">
        <v>1333.8774414</v>
      </c>
      <c r="I1085">
        <v>1329.0047606999999</v>
      </c>
      <c r="J1085">
        <v>1328.2750243999999</v>
      </c>
      <c r="K1085">
        <v>2400</v>
      </c>
      <c r="L1085">
        <v>0</v>
      </c>
      <c r="M1085">
        <v>0</v>
      </c>
      <c r="N1085">
        <v>2400</v>
      </c>
    </row>
    <row r="1086" spans="1:14" x14ac:dyDescent="0.25">
      <c r="A1086">
        <v>365.44734</v>
      </c>
      <c r="B1086" s="1">
        <f>DATE(2011,5,1) + TIME(10,44,10)</f>
        <v>40664.447337962964</v>
      </c>
      <c r="C1086">
        <v>80</v>
      </c>
      <c r="D1086">
        <v>70.435493468999994</v>
      </c>
      <c r="E1086">
        <v>50</v>
      </c>
      <c r="F1086">
        <v>49.913810730000002</v>
      </c>
      <c r="G1086">
        <v>1335.5061035000001</v>
      </c>
      <c r="H1086">
        <v>1333.9123535000001</v>
      </c>
      <c r="I1086">
        <v>1329.0043945</v>
      </c>
      <c r="J1086">
        <v>1328.2745361</v>
      </c>
      <c r="K1086">
        <v>2400</v>
      </c>
      <c r="L1086">
        <v>0</v>
      </c>
      <c r="M1086">
        <v>0</v>
      </c>
      <c r="N1086">
        <v>2400</v>
      </c>
    </row>
    <row r="1087" spans="1:14" x14ac:dyDescent="0.25">
      <c r="A1087">
        <v>365.47253799999999</v>
      </c>
      <c r="B1087" s="1">
        <f>DATE(2011,5,1) + TIME(11,20,27)</f>
        <v>40664.472534722219</v>
      </c>
      <c r="C1087">
        <v>80</v>
      </c>
      <c r="D1087">
        <v>71.052772521999998</v>
      </c>
      <c r="E1087">
        <v>50</v>
      </c>
      <c r="F1087">
        <v>49.910888671999999</v>
      </c>
      <c r="G1087">
        <v>1335.5537108999999</v>
      </c>
      <c r="H1087">
        <v>1333.9477539</v>
      </c>
      <c r="I1087">
        <v>1329.0041504000001</v>
      </c>
      <c r="J1087">
        <v>1328.2740478999999</v>
      </c>
      <c r="K1087">
        <v>2400</v>
      </c>
      <c r="L1087">
        <v>0</v>
      </c>
      <c r="M1087">
        <v>0</v>
      </c>
      <c r="N1087">
        <v>2400</v>
      </c>
    </row>
    <row r="1088" spans="1:14" x14ac:dyDescent="0.25">
      <c r="A1088">
        <v>365.49838199999999</v>
      </c>
      <c r="B1088" s="1">
        <f>DATE(2011,5,1) + TIME(11,57,40)</f>
        <v>40664.498379629629</v>
      </c>
      <c r="C1088">
        <v>80</v>
      </c>
      <c r="D1088">
        <v>71.652359008999994</v>
      </c>
      <c r="E1088">
        <v>50</v>
      </c>
      <c r="F1088">
        <v>49.907909392999997</v>
      </c>
      <c r="G1088">
        <v>1335.6019286999999</v>
      </c>
      <c r="H1088">
        <v>1333.9836425999999</v>
      </c>
      <c r="I1088">
        <v>1329.0039062000001</v>
      </c>
      <c r="J1088">
        <v>1328.2735596</v>
      </c>
      <c r="K1088">
        <v>2400</v>
      </c>
      <c r="L1088">
        <v>0</v>
      </c>
      <c r="M1088">
        <v>0</v>
      </c>
      <c r="N1088">
        <v>2400</v>
      </c>
    </row>
    <row r="1089" spans="1:14" x14ac:dyDescent="0.25">
      <c r="A1089">
        <v>365.52490699999998</v>
      </c>
      <c r="B1089" s="1">
        <f>DATE(2011,5,1) + TIME(12,35,51)</f>
        <v>40664.524895833332</v>
      </c>
      <c r="C1089">
        <v>80</v>
      </c>
      <c r="D1089">
        <v>72.233459472999996</v>
      </c>
      <c r="E1089">
        <v>50</v>
      </c>
      <c r="F1089">
        <v>49.904869079999997</v>
      </c>
      <c r="G1089">
        <v>1335.6507568</v>
      </c>
      <c r="H1089">
        <v>1334.0197754000001</v>
      </c>
      <c r="I1089">
        <v>1329.0035399999999</v>
      </c>
      <c r="J1089">
        <v>1328.2729492000001</v>
      </c>
      <c r="K1089">
        <v>2400</v>
      </c>
      <c r="L1089">
        <v>0</v>
      </c>
      <c r="M1089">
        <v>0</v>
      </c>
      <c r="N1089">
        <v>2400</v>
      </c>
    </row>
    <row r="1090" spans="1:14" x14ac:dyDescent="0.25">
      <c r="A1090">
        <v>365.55215399999997</v>
      </c>
      <c r="B1090" s="1">
        <f>DATE(2011,5,1) + TIME(13,15,6)</f>
        <v>40664.552152777775</v>
      </c>
      <c r="C1090">
        <v>80</v>
      </c>
      <c r="D1090">
        <v>72.795295714999995</v>
      </c>
      <c r="E1090">
        <v>50</v>
      </c>
      <c r="F1090">
        <v>49.901767731</v>
      </c>
      <c r="G1090">
        <v>1335.7003173999999</v>
      </c>
      <c r="H1090">
        <v>1334.0561522999999</v>
      </c>
      <c r="I1090">
        <v>1329.0031738</v>
      </c>
      <c r="J1090">
        <v>1328.2724608999999</v>
      </c>
      <c r="K1090">
        <v>2400</v>
      </c>
      <c r="L1090">
        <v>0</v>
      </c>
      <c r="M1090">
        <v>0</v>
      </c>
      <c r="N1090">
        <v>2400</v>
      </c>
    </row>
    <row r="1091" spans="1:14" x14ac:dyDescent="0.25">
      <c r="A1091">
        <v>365.58017899999999</v>
      </c>
      <c r="B1091" s="1">
        <f>DATE(2011,5,1) + TIME(13,55,27)</f>
        <v>40664.58017361111</v>
      </c>
      <c r="C1091">
        <v>80</v>
      </c>
      <c r="D1091">
        <v>73.337348938000005</v>
      </c>
      <c r="E1091">
        <v>50</v>
      </c>
      <c r="F1091">
        <v>49.898590087999999</v>
      </c>
      <c r="G1091">
        <v>1335.7501221</v>
      </c>
      <c r="H1091">
        <v>1334.0928954999999</v>
      </c>
      <c r="I1091">
        <v>1329.0029297000001</v>
      </c>
      <c r="J1091">
        <v>1328.2718506000001</v>
      </c>
      <c r="K1091">
        <v>2400</v>
      </c>
      <c r="L1091">
        <v>0</v>
      </c>
      <c r="M1091">
        <v>0</v>
      </c>
      <c r="N1091">
        <v>2400</v>
      </c>
    </row>
    <row r="1092" spans="1:14" x14ac:dyDescent="0.25">
      <c r="A1092">
        <v>365.60902199999998</v>
      </c>
      <c r="B1092" s="1">
        <f>DATE(2011,5,1) + TIME(14,36,59)</f>
        <v>40664.609016203707</v>
      </c>
      <c r="C1092">
        <v>80</v>
      </c>
      <c r="D1092">
        <v>73.858764648000005</v>
      </c>
      <c r="E1092">
        <v>50</v>
      </c>
      <c r="F1092">
        <v>49.895343781000001</v>
      </c>
      <c r="G1092">
        <v>1335.8004149999999</v>
      </c>
      <c r="H1092">
        <v>1334.1296387</v>
      </c>
      <c r="I1092">
        <v>1329.0024414</v>
      </c>
      <c r="J1092">
        <v>1328.2712402</v>
      </c>
      <c r="K1092">
        <v>2400</v>
      </c>
      <c r="L1092">
        <v>0</v>
      </c>
      <c r="M1092">
        <v>0</v>
      </c>
      <c r="N1092">
        <v>2400</v>
      </c>
    </row>
    <row r="1093" spans="1:14" x14ac:dyDescent="0.25">
      <c r="A1093">
        <v>365.638733</v>
      </c>
      <c r="B1093" s="1">
        <f>DATE(2011,5,1) + TIME(15,19,46)</f>
        <v>40664.638726851852</v>
      </c>
      <c r="C1093">
        <v>80</v>
      </c>
      <c r="D1093">
        <v>74.358879088999998</v>
      </c>
      <c r="E1093">
        <v>50</v>
      </c>
      <c r="F1093">
        <v>49.892017365000001</v>
      </c>
      <c r="G1093">
        <v>1335.8509521000001</v>
      </c>
      <c r="H1093">
        <v>1334.1665039</v>
      </c>
      <c r="I1093">
        <v>1329.0020752</v>
      </c>
      <c r="J1093">
        <v>1328.2705077999999</v>
      </c>
      <c r="K1093">
        <v>2400</v>
      </c>
      <c r="L1093">
        <v>0</v>
      </c>
      <c r="M1093">
        <v>0</v>
      </c>
      <c r="N1093">
        <v>2400</v>
      </c>
    </row>
    <row r="1094" spans="1:14" x14ac:dyDescent="0.25">
      <c r="A1094">
        <v>365.66937100000001</v>
      </c>
      <c r="B1094" s="1">
        <f>DATE(2011,5,1) + TIME(16,3,53)</f>
        <v>40664.669363425928</v>
      </c>
      <c r="C1094">
        <v>80</v>
      </c>
      <c r="D1094">
        <v>74.837165833</v>
      </c>
      <c r="E1094">
        <v>50</v>
      </c>
      <c r="F1094">
        <v>49.888610839999998</v>
      </c>
      <c r="G1094">
        <v>1335.9016113</v>
      </c>
      <c r="H1094">
        <v>1334.2033690999999</v>
      </c>
      <c r="I1094">
        <v>1329.0017089999999</v>
      </c>
      <c r="J1094">
        <v>1328.2698975000001</v>
      </c>
      <c r="K1094">
        <v>2400</v>
      </c>
      <c r="L1094">
        <v>0</v>
      </c>
      <c r="M1094">
        <v>0</v>
      </c>
      <c r="N1094">
        <v>2400</v>
      </c>
    </row>
    <row r="1095" spans="1:14" x14ac:dyDescent="0.25">
      <c r="A1095">
        <v>365.70100300000001</v>
      </c>
      <c r="B1095" s="1">
        <f>DATE(2011,5,1) + TIME(16,49,26)</f>
        <v>40664.700995370367</v>
      </c>
      <c r="C1095">
        <v>80</v>
      </c>
      <c r="D1095">
        <v>75.292907714999998</v>
      </c>
      <c r="E1095">
        <v>50</v>
      </c>
      <c r="F1095">
        <v>49.885112761999999</v>
      </c>
      <c r="G1095">
        <v>1335.9525146000001</v>
      </c>
      <c r="H1095">
        <v>1334.2402344</v>
      </c>
      <c r="I1095">
        <v>1329.0013428</v>
      </c>
      <c r="J1095">
        <v>1328.2691649999999</v>
      </c>
      <c r="K1095">
        <v>2400</v>
      </c>
      <c r="L1095">
        <v>0</v>
      </c>
      <c r="M1095">
        <v>0</v>
      </c>
      <c r="N1095">
        <v>2400</v>
      </c>
    </row>
    <row r="1096" spans="1:14" x14ac:dyDescent="0.25">
      <c r="A1096">
        <v>365.733701</v>
      </c>
      <c r="B1096" s="1">
        <f>DATE(2011,5,1) + TIME(17,36,31)</f>
        <v>40664.73369212963</v>
      </c>
      <c r="C1096">
        <v>80</v>
      </c>
      <c r="D1096">
        <v>75.725830078000001</v>
      </c>
      <c r="E1096">
        <v>50</v>
      </c>
      <c r="F1096">
        <v>49.881523131999998</v>
      </c>
      <c r="G1096">
        <v>1336.0032959</v>
      </c>
      <c r="H1096">
        <v>1334.2768555</v>
      </c>
      <c r="I1096">
        <v>1329.0008545000001</v>
      </c>
      <c r="J1096">
        <v>1328.2684326000001</v>
      </c>
      <c r="K1096">
        <v>2400</v>
      </c>
      <c r="L1096">
        <v>0</v>
      </c>
      <c r="M1096">
        <v>0</v>
      </c>
      <c r="N1096">
        <v>2400</v>
      </c>
    </row>
    <row r="1097" spans="1:14" x14ac:dyDescent="0.25">
      <c r="A1097">
        <v>365.76754599999998</v>
      </c>
      <c r="B1097" s="1">
        <f>DATE(2011,5,1) + TIME(18,25,15)</f>
        <v>40664.767534722225</v>
      </c>
      <c r="C1097">
        <v>80</v>
      </c>
      <c r="D1097">
        <v>76.135734557999996</v>
      </c>
      <c r="E1097">
        <v>50</v>
      </c>
      <c r="F1097">
        <v>49.877830504999999</v>
      </c>
      <c r="G1097">
        <v>1336.0539550999999</v>
      </c>
      <c r="H1097">
        <v>1334.3134766000001</v>
      </c>
      <c r="I1097">
        <v>1329.0003661999999</v>
      </c>
      <c r="J1097">
        <v>1328.2675781</v>
      </c>
      <c r="K1097">
        <v>2400</v>
      </c>
      <c r="L1097">
        <v>0</v>
      </c>
      <c r="M1097">
        <v>0</v>
      </c>
      <c r="N1097">
        <v>2400</v>
      </c>
    </row>
    <row r="1098" spans="1:14" x14ac:dyDescent="0.25">
      <c r="A1098">
        <v>365.80263000000002</v>
      </c>
      <c r="B1098" s="1">
        <f>DATE(2011,5,1) + TIME(19,15,47)</f>
        <v>40664.802627314813</v>
      </c>
      <c r="C1098">
        <v>80</v>
      </c>
      <c r="D1098">
        <v>76.522415160999998</v>
      </c>
      <c r="E1098">
        <v>50</v>
      </c>
      <c r="F1098">
        <v>49.874027251999998</v>
      </c>
      <c r="G1098">
        <v>1336.1044922000001</v>
      </c>
      <c r="H1098">
        <v>1334.3497314000001</v>
      </c>
      <c r="I1098">
        <v>1328.9998779</v>
      </c>
      <c r="J1098">
        <v>1328.2668457</v>
      </c>
      <c r="K1098">
        <v>2400</v>
      </c>
      <c r="L1098">
        <v>0</v>
      </c>
      <c r="M1098">
        <v>0</v>
      </c>
      <c r="N1098">
        <v>2400</v>
      </c>
    </row>
    <row r="1099" spans="1:14" x14ac:dyDescent="0.25">
      <c r="A1099">
        <v>365.83905600000003</v>
      </c>
      <c r="B1099" s="1">
        <f>DATE(2011,5,1) + TIME(20,8,14)</f>
        <v>40664.839050925926</v>
      </c>
      <c r="C1099">
        <v>80</v>
      </c>
      <c r="D1099">
        <v>76.885787964000002</v>
      </c>
      <c r="E1099">
        <v>50</v>
      </c>
      <c r="F1099">
        <v>49.870105743000003</v>
      </c>
      <c r="G1099">
        <v>1336.1547852000001</v>
      </c>
      <c r="H1099">
        <v>1334.3857422000001</v>
      </c>
      <c r="I1099">
        <v>1328.9993896000001</v>
      </c>
      <c r="J1099">
        <v>1328.2659911999999</v>
      </c>
      <c r="K1099">
        <v>2400</v>
      </c>
      <c r="L1099">
        <v>0</v>
      </c>
      <c r="M1099">
        <v>0</v>
      </c>
      <c r="N1099">
        <v>2400</v>
      </c>
    </row>
    <row r="1100" spans="1:14" x14ac:dyDescent="0.25">
      <c r="A1100">
        <v>365.87694199999999</v>
      </c>
      <c r="B1100" s="1">
        <f>DATE(2011,5,1) + TIME(21,2,47)</f>
        <v>40664.876932870371</v>
      </c>
      <c r="C1100">
        <v>80</v>
      </c>
      <c r="D1100">
        <v>77.225830078000001</v>
      </c>
      <c r="E1100">
        <v>50</v>
      </c>
      <c r="F1100">
        <v>49.866054535000004</v>
      </c>
      <c r="G1100">
        <v>1336.2048339999999</v>
      </c>
      <c r="H1100">
        <v>1334.4213867000001</v>
      </c>
      <c r="I1100">
        <v>1328.9987793</v>
      </c>
      <c r="J1100">
        <v>1328.2651367000001</v>
      </c>
      <c r="K1100">
        <v>2400</v>
      </c>
      <c r="L1100">
        <v>0</v>
      </c>
      <c r="M1100">
        <v>0</v>
      </c>
      <c r="N1100">
        <v>2400</v>
      </c>
    </row>
    <row r="1101" spans="1:14" x14ac:dyDescent="0.25">
      <c r="A1101">
        <v>365.91643800000003</v>
      </c>
      <c r="B1101" s="1">
        <f>DATE(2011,5,1) + TIME(21,59,40)</f>
        <v>40664.916435185187</v>
      </c>
      <c r="C1101">
        <v>80</v>
      </c>
      <c r="D1101">
        <v>77.542770386000001</v>
      </c>
      <c r="E1101">
        <v>50</v>
      </c>
      <c r="F1101">
        <v>49.861862183</v>
      </c>
      <c r="G1101">
        <v>1336.2542725000001</v>
      </c>
      <c r="H1101">
        <v>1334.4566649999999</v>
      </c>
      <c r="I1101">
        <v>1328.9981689000001</v>
      </c>
      <c r="J1101">
        <v>1328.2641602000001</v>
      </c>
      <c r="K1101">
        <v>2400</v>
      </c>
      <c r="L1101">
        <v>0</v>
      </c>
      <c r="M1101">
        <v>0</v>
      </c>
      <c r="N1101">
        <v>2400</v>
      </c>
    </row>
    <row r="1102" spans="1:14" x14ac:dyDescent="0.25">
      <c r="A1102">
        <v>365.95769899999999</v>
      </c>
      <c r="B1102" s="1">
        <f>DATE(2011,5,1) + TIME(22,59,5)</f>
        <v>40664.957696759258</v>
      </c>
      <c r="C1102">
        <v>80</v>
      </c>
      <c r="D1102">
        <v>77.836776732999994</v>
      </c>
      <c r="E1102">
        <v>50</v>
      </c>
      <c r="F1102">
        <v>49.857517242</v>
      </c>
      <c r="G1102">
        <v>1336.3033447</v>
      </c>
      <c r="H1102">
        <v>1334.4914550999999</v>
      </c>
      <c r="I1102">
        <v>1328.9975586</v>
      </c>
      <c r="J1102">
        <v>1328.2631836</v>
      </c>
      <c r="K1102">
        <v>2400</v>
      </c>
      <c r="L1102">
        <v>0</v>
      </c>
      <c r="M1102">
        <v>0</v>
      </c>
      <c r="N1102">
        <v>2400</v>
      </c>
    </row>
    <row r="1103" spans="1:14" x14ac:dyDescent="0.25">
      <c r="A1103">
        <v>366.00089200000002</v>
      </c>
      <c r="B1103" s="1">
        <f>DATE(2011,5,2) + TIME(0,1,17)</f>
        <v>40665.000891203701</v>
      </c>
      <c r="C1103">
        <v>80</v>
      </c>
      <c r="D1103">
        <v>78.108062743999994</v>
      </c>
      <c r="E1103">
        <v>50</v>
      </c>
      <c r="F1103">
        <v>49.853000641000001</v>
      </c>
      <c r="G1103">
        <v>1336.3515625</v>
      </c>
      <c r="H1103">
        <v>1334.5256348</v>
      </c>
      <c r="I1103">
        <v>1328.9969481999999</v>
      </c>
      <c r="J1103">
        <v>1328.2620850000001</v>
      </c>
      <c r="K1103">
        <v>2400</v>
      </c>
      <c r="L1103">
        <v>0</v>
      </c>
      <c r="M1103">
        <v>0</v>
      </c>
      <c r="N1103">
        <v>2400</v>
      </c>
    </row>
    <row r="1104" spans="1:14" x14ac:dyDescent="0.25">
      <c r="A1104">
        <v>366.04622899999998</v>
      </c>
      <c r="B1104" s="1">
        <f>DATE(2011,5,2) + TIME(1,6,34)</f>
        <v>40665.046226851853</v>
      </c>
      <c r="C1104">
        <v>80</v>
      </c>
      <c r="D1104">
        <v>78.357048035000005</v>
      </c>
      <c r="E1104">
        <v>50</v>
      </c>
      <c r="F1104">
        <v>49.848300934000001</v>
      </c>
      <c r="G1104">
        <v>1336.3991699000001</v>
      </c>
      <c r="H1104">
        <v>1334.5593262</v>
      </c>
      <c r="I1104">
        <v>1328.9962158000001</v>
      </c>
      <c r="J1104">
        <v>1328.2609863</v>
      </c>
      <c r="K1104">
        <v>2400</v>
      </c>
      <c r="L1104">
        <v>0</v>
      </c>
      <c r="M1104">
        <v>0</v>
      </c>
      <c r="N1104">
        <v>2400</v>
      </c>
    </row>
    <row r="1105" spans="1:14" x14ac:dyDescent="0.25">
      <c r="A1105">
        <v>366.09395599999999</v>
      </c>
      <c r="B1105" s="1">
        <f>DATE(2011,5,2) + TIME(2,15,17)</f>
        <v>40665.093946759262</v>
      </c>
      <c r="C1105">
        <v>80</v>
      </c>
      <c r="D1105">
        <v>78.584236145000006</v>
      </c>
      <c r="E1105">
        <v>50</v>
      </c>
      <c r="F1105">
        <v>49.843391418000003</v>
      </c>
      <c r="G1105">
        <v>1336.4459228999999</v>
      </c>
      <c r="H1105">
        <v>1334.5922852000001</v>
      </c>
      <c r="I1105">
        <v>1328.9954834</v>
      </c>
      <c r="J1105">
        <v>1328.2598877</v>
      </c>
      <c r="K1105">
        <v>2400</v>
      </c>
      <c r="L1105">
        <v>0</v>
      </c>
      <c r="M1105">
        <v>0</v>
      </c>
      <c r="N1105">
        <v>2400</v>
      </c>
    </row>
    <row r="1106" spans="1:14" x14ac:dyDescent="0.25">
      <c r="A1106">
        <v>366.144363</v>
      </c>
      <c r="B1106" s="1">
        <f>DATE(2011,5,2) + TIME(3,27,52)</f>
        <v>40665.14435185185</v>
      </c>
      <c r="C1106">
        <v>80</v>
      </c>
      <c r="D1106">
        <v>78.790122986</v>
      </c>
      <c r="E1106">
        <v>50</v>
      </c>
      <c r="F1106">
        <v>49.838249206999997</v>
      </c>
      <c r="G1106">
        <v>1336.4881591999999</v>
      </c>
      <c r="H1106">
        <v>1334.6220702999999</v>
      </c>
      <c r="I1106">
        <v>1328.9946289</v>
      </c>
      <c r="J1106">
        <v>1328.2585449000001</v>
      </c>
      <c r="K1106">
        <v>2400</v>
      </c>
      <c r="L1106">
        <v>0</v>
      </c>
      <c r="M1106">
        <v>0</v>
      </c>
      <c r="N1106">
        <v>2400</v>
      </c>
    </row>
    <row r="1107" spans="1:14" x14ac:dyDescent="0.25">
      <c r="A1107">
        <v>366.19637499999999</v>
      </c>
      <c r="B1107" s="1">
        <f>DATE(2011,5,2) + TIME(4,42,46)</f>
        <v>40665.19636574074</v>
      </c>
      <c r="C1107">
        <v>80</v>
      </c>
      <c r="D1107">
        <v>78.971282959000007</v>
      </c>
      <c r="E1107">
        <v>50</v>
      </c>
      <c r="F1107">
        <v>49.832984924000002</v>
      </c>
      <c r="G1107">
        <v>1336.5296631000001</v>
      </c>
      <c r="H1107">
        <v>1334.6512451000001</v>
      </c>
      <c r="I1107">
        <v>1328.9937743999999</v>
      </c>
      <c r="J1107">
        <v>1328.2573242000001</v>
      </c>
      <c r="K1107">
        <v>2400</v>
      </c>
      <c r="L1107">
        <v>0</v>
      </c>
      <c r="M1107">
        <v>0</v>
      </c>
      <c r="N1107">
        <v>2400</v>
      </c>
    </row>
    <row r="1108" spans="1:14" x14ac:dyDescent="0.25">
      <c r="A1108">
        <v>366.24846100000002</v>
      </c>
      <c r="B1108" s="1">
        <f>DATE(2011,5,2) + TIME(5,57,47)</f>
        <v>40665.248460648145</v>
      </c>
      <c r="C1108">
        <v>80</v>
      </c>
      <c r="D1108">
        <v>79.125709533999995</v>
      </c>
      <c r="E1108">
        <v>50</v>
      </c>
      <c r="F1108">
        <v>49.827743529999999</v>
      </c>
      <c r="G1108">
        <v>1336.5693358999999</v>
      </c>
      <c r="H1108">
        <v>1334.6790771000001</v>
      </c>
      <c r="I1108">
        <v>1328.9929199000001</v>
      </c>
      <c r="J1108">
        <v>1328.2559814000001</v>
      </c>
      <c r="K1108">
        <v>2400</v>
      </c>
      <c r="L1108">
        <v>0</v>
      </c>
      <c r="M1108">
        <v>0</v>
      </c>
      <c r="N1108">
        <v>2400</v>
      </c>
    </row>
    <row r="1109" spans="1:14" x14ac:dyDescent="0.25">
      <c r="A1109">
        <v>366.30081799999999</v>
      </c>
      <c r="B1109" s="1">
        <f>DATE(2011,5,2) + TIME(7,13,10)</f>
        <v>40665.300810185188</v>
      </c>
      <c r="C1109">
        <v>80</v>
      </c>
      <c r="D1109">
        <v>79.257499695000007</v>
      </c>
      <c r="E1109">
        <v>50</v>
      </c>
      <c r="F1109">
        <v>49.822513579999999</v>
      </c>
      <c r="G1109">
        <v>1336.6055908000001</v>
      </c>
      <c r="H1109">
        <v>1334.7043457</v>
      </c>
      <c r="I1109">
        <v>1328.9919434000001</v>
      </c>
      <c r="J1109">
        <v>1328.2545166</v>
      </c>
      <c r="K1109">
        <v>2400</v>
      </c>
      <c r="L1109">
        <v>0</v>
      </c>
      <c r="M1109">
        <v>0</v>
      </c>
      <c r="N1109">
        <v>2400</v>
      </c>
    </row>
    <row r="1110" spans="1:14" x14ac:dyDescent="0.25">
      <c r="A1110">
        <v>366.35360300000002</v>
      </c>
      <c r="B1110" s="1">
        <f>DATE(2011,5,2) + TIME(8,29,11)</f>
        <v>40665.35359953704</v>
      </c>
      <c r="C1110">
        <v>80</v>
      </c>
      <c r="D1110">
        <v>79.369941710999996</v>
      </c>
      <c r="E1110">
        <v>50</v>
      </c>
      <c r="F1110">
        <v>49.817272185999997</v>
      </c>
      <c r="G1110">
        <v>1336.6346435999999</v>
      </c>
      <c r="H1110">
        <v>1334.7248535000001</v>
      </c>
      <c r="I1110">
        <v>1328.9909668</v>
      </c>
      <c r="J1110">
        <v>1328.2531738</v>
      </c>
      <c r="K1110">
        <v>2400</v>
      </c>
      <c r="L1110">
        <v>0</v>
      </c>
      <c r="M1110">
        <v>0</v>
      </c>
      <c r="N1110">
        <v>2400</v>
      </c>
    </row>
    <row r="1111" spans="1:14" x14ac:dyDescent="0.25">
      <c r="A1111">
        <v>366.40702599999997</v>
      </c>
      <c r="B1111" s="1">
        <f>DATE(2011,5,2) + TIME(9,46,7)</f>
        <v>40665.407025462962</v>
      </c>
      <c r="C1111">
        <v>80</v>
      </c>
      <c r="D1111">
        <v>79.465934752999999</v>
      </c>
      <c r="E1111">
        <v>50</v>
      </c>
      <c r="F1111">
        <v>49.812000275000003</v>
      </c>
      <c r="G1111">
        <v>1336.661499</v>
      </c>
      <c r="H1111">
        <v>1334.7437743999999</v>
      </c>
      <c r="I1111">
        <v>1328.9899902</v>
      </c>
      <c r="J1111">
        <v>1328.2517089999999</v>
      </c>
      <c r="K1111">
        <v>2400</v>
      </c>
      <c r="L1111">
        <v>0</v>
      </c>
      <c r="M1111">
        <v>0</v>
      </c>
      <c r="N1111">
        <v>2400</v>
      </c>
    </row>
    <row r="1112" spans="1:14" x14ac:dyDescent="0.25">
      <c r="A1112">
        <v>366.46123699999998</v>
      </c>
      <c r="B1112" s="1">
        <f>DATE(2011,5,2) + TIME(11,4,10)</f>
        <v>40665.461226851854</v>
      </c>
      <c r="C1112">
        <v>80</v>
      </c>
      <c r="D1112">
        <v>79.547851562000005</v>
      </c>
      <c r="E1112">
        <v>50</v>
      </c>
      <c r="F1112">
        <v>49.806682586999997</v>
      </c>
      <c r="G1112">
        <v>1336.6864014</v>
      </c>
      <c r="H1112">
        <v>1334.7613524999999</v>
      </c>
      <c r="I1112">
        <v>1328.9890137</v>
      </c>
      <c r="J1112">
        <v>1328.2502440999999</v>
      </c>
      <c r="K1112">
        <v>2400</v>
      </c>
      <c r="L1112">
        <v>0</v>
      </c>
      <c r="M1112">
        <v>0</v>
      </c>
      <c r="N1112">
        <v>2400</v>
      </c>
    </row>
    <row r="1113" spans="1:14" x14ac:dyDescent="0.25">
      <c r="A1113">
        <v>366.51639299999999</v>
      </c>
      <c r="B1113" s="1">
        <f>DATE(2011,5,2) + TIME(12,23,36)</f>
        <v>40665.516388888886</v>
      </c>
      <c r="C1113">
        <v>80</v>
      </c>
      <c r="D1113">
        <v>79.617668151999993</v>
      </c>
      <c r="E1113">
        <v>50</v>
      </c>
      <c r="F1113">
        <v>49.801311493</v>
      </c>
      <c r="G1113">
        <v>1336.7092285000001</v>
      </c>
      <c r="H1113">
        <v>1334.7775879000001</v>
      </c>
      <c r="I1113">
        <v>1328.9880370999999</v>
      </c>
      <c r="J1113">
        <v>1328.2487793</v>
      </c>
      <c r="K1113">
        <v>2400</v>
      </c>
      <c r="L1113">
        <v>0</v>
      </c>
      <c r="M1113">
        <v>0</v>
      </c>
      <c r="N1113">
        <v>2400</v>
      </c>
    </row>
    <row r="1114" spans="1:14" x14ac:dyDescent="0.25">
      <c r="A1114">
        <v>366.57266099999998</v>
      </c>
      <c r="B1114" s="1">
        <f>DATE(2011,5,2) + TIME(13,44,37)</f>
        <v>40665.572650462964</v>
      </c>
      <c r="C1114">
        <v>80</v>
      </c>
      <c r="D1114">
        <v>79.677093506000006</v>
      </c>
      <c r="E1114">
        <v>50</v>
      </c>
      <c r="F1114">
        <v>49.795864105</v>
      </c>
      <c r="G1114">
        <v>1336.7303466999999</v>
      </c>
      <c r="H1114">
        <v>1334.7927245999999</v>
      </c>
      <c r="I1114">
        <v>1328.9869385</v>
      </c>
      <c r="J1114">
        <v>1328.2473144999999</v>
      </c>
      <c r="K1114">
        <v>2400</v>
      </c>
      <c r="L1114">
        <v>0</v>
      </c>
      <c r="M1114">
        <v>0</v>
      </c>
      <c r="N1114">
        <v>2400</v>
      </c>
    </row>
    <row r="1115" spans="1:14" x14ac:dyDescent="0.25">
      <c r="A1115">
        <v>366.630247</v>
      </c>
      <c r="B1115" s="1">
        <f>DATE(2011,5,2) + TIME(15,7,33)</f>
        <v>40665.630243055559</v>
      </c>
      <c r="C1115">
        <v>80</v>
      </c>
      <c r="D1115">
        <v>79.727592467999997</v>
      </c>
      <c r="E1115">
        <v>50</v>
      </c>
      <c r="F1115">
        <v>49.790328979000002</v>
      </c>
      <c r="G1115">
        <v>1336.7475586</v>
      </c>
      <c r="H1115">
        <v>1334.8050536999999</v>
      </c>
      <c r="I1115">
        <v>1328.9859618999999</v>
      </c>
      <c r="J1115">
        <v>1328.2457274999999</v>
      </c>
      <c r="K1115">
        <v>2400</v>
      </c>
      <c r="L1115">
        <v>0</v>
      </c>
      <c r="M1115">
        <v>0</v>
      </c>
      <c r="N1115">
        <v>2400</v>
      </c>
    </row>
    <row r="1116" spans="1:14" x14ac:dyDescent="0.25">
      <c r="A1116">
        <v>366.68947500000002</v>
      </c>
      <c r="B1116" s="1">
        <f>DATE(2011,5,2) + TIME(16,32,50)</f>
        <v>40665.689467592594</v>
      </c>
      <c r="C1116">
        <v>80</v>
      </c>
      <c r="D1116">
        <v>79.770492554</v>
      </c>
      <c r="E1116">
        <v>50</v>
      </c>
      <c r="F1116">
        <v>49.784675598</v>
      </c>
      <c r="G1116">
        <v>1336.7612305</v>
      </c>
      <c r="H1116">
        <v>1334.8151855000001</v>
      </c>
      <c r="I1116">
        <v>1328.9848632999999</v>
      </c>
      <c r="J1116">
        <v>1328.2441406</v>
      </c>
      <c r="K1116">
        <v>2400</v>
      </c>
      <c r="L1116">
        <v>0</v>
      </c>
      <c r="M1116">
        <v>0</v>
      </c>
      <c r="N1116">
        <v>2400</v>
      </c>
    </row>
    <row r="1117" spans="1:14" x14ac:dyDescent="0.25">
      <c r="A1117">
        <v>366.75060300000001</v>
      </c>
      <c r="B1117" s="1">
        <f>DATE(2011,5,2) + TIME(18,0,52)</f>
        <v>40665.750601851854</v>
      </c>
      <c r="C1117">
        <v>80</v>
      </c>
      <c r="D1117">
        <v>79.806838988999999</v>
      </c>
      <c r="E1117">
        <v>50</v>
      </c>
      <c r="F1117">
        <v>49.778877258000001</v>
      </c>
      <c r="G1117">
        <v>1336.7739257999999</v>
      </c>
      <c r="H1117">
        <v>1334.8245850000001</v>
      </c>
      <c r="I1117">
        <v>1328.9836425999999</v>
      </c>
      <c r="J1117">
        <v>1328.2424315999999</v>
      </c>
      <c r="K1117">
        <v>2400</v>
      </c>
      <c r="L1117">
        <v>0</v>
      </c>
      <c r="M1117">
        <v>0</v>
      </c>
      <c r="N1117">
        <v>2400</v>
      </c>
    </row>
    <row r="1118" spans="1:14" x14ac:dyDescent="0.25">
      <c r="A1118">
        <v>366.81350900000001</v>
      </c>
      <c r="B1118" s="1">
        <f>DATE(2011,5,2) + TIME(19,31,27)</f>
        <v>40665.813506944447</v>
      </c>
      <c r="C1118">
        <v>80</v>
      </c>
      <c r="D1118">
        <v>79.837387085000003</v>
      </c>
      <c r="E1118">
        <v>50</v>
      </c>
      <c r="F1118">
        <v>49.772953033</v>
      </c>
      <c r="G1118">
        <v>1336.7854004000001</v>
      </c>
      <c r="H1118">
        <v>1334.833374</v>
      </c>
      <c r="I1118">
        <v>1328.9824219</v>
      </c>
      <c r="J1118">
        <v>1328.2407227000001</v>
      </c>
      <c r="K1118">
        <v>2400</v>
      </c>
      <c r="L1118">
        <v>0</v>
      </c>
      <c r="M1118">
        <v>0</v>
      </c>
      <c r="N1118">
        <v>2400</v>
      </c>
    </row>
    <row r="1119" spans="1:14" x14ac:dyDescent="0.25">
      <c r="A1119">
        <v>366.87702000000002</v>
      </c>
      <c r="B1119" s="1">
        <f>DATE(2011,5,2) + TIME(21,2,54)</f>
        <v>40665.877013888887</v>
      </c>
      <c r="C1119">
        <v>80</v>
      </c>
      <c r="D1119">
        <v>79.862541199000006</v>
      </c>
      <c r="E1119">
        <v>50</v>
      </c>
      <c r="F1119">
        <v>49.767005920000003</v>
      </c>
      <c r="G1119">
        <v>1336.7960204999999</v>
      </c>
      <c r="H1119">
        <v>1334.8414307</v>
      </c>
      <c r="I1119">
        <v>1328.9812012</v>
      </c>
      <c r="J1119">
        <v>1328.2388916</v>
      </c>
      <c r="K1119">
        <v>2400</v>
      </c>
      <c r="L1119">
        <v>0</v>
      </c>
      <c r="M1119">
        <v>0</v>
      </c>
      <c r="N1119">
        <v>2400</v>
      </c>
    </row>
    <row r="1120" spans="1:14" x14ac:dyDescent="0.25">
      <c r="A1120">
        <v>366.941282</v>
      </c>
      <c r="B1120" s="1">
        <f>DATE(2011,5,2) + TIME(22,35,26)</f>
        <v>40665.94127314815</v>
      </c>
      <c r="C1120">
        <v>80</v>
      </c>
      <c r="D1120">
        <v>79.883255004999995</v>
      </c>
      <c r="E1120">
        <v>50</v>
      </c>
      <c r="F1120">
        <v>49.761024474999999</v>
      </c>
      <c r="G1120">
        <v>1336.8052978999999</v>
      </c>
      <c r="H1120">
        <v>1334.8487548999999</v>
      </c>
      <c r="I1120">
        <v>1328.9799805</v>
      </c>
      <c r="J1120">
        <v>1328.2371826000001</v>
      </c>
      <c r="K1120">
        <v>2400</v>
      </c>
      <c r="L1120">
        <v>0</v>
      </c>
      <c r="M1120">
        <v>0</v>
      </c>
      <c r="N1120">
        <v>2400</v>
      </c>
    </row>
    <row r="1121" spans="1:14" x14ac:dyDescent="0.25">
      <c r="A1121">
        <v>367.00640800000002</v>
      </c>
      <c r="B1121" s="1">
        <f>DATE(2011,5,3) + TIME(0,9,13)</f>
        <v>40666.00640046296</v>
      </c>
      <c r="C1121">
        <v>80</v>
      </c>
      <c r="D1121">
        <v>79.900291443</v>
      </c>
      <c r="E1121">
        <v>50</v>
      </c>
      <c r="F1121">
        <v>49.754993439000003</v>
      </c>
      <c r="G1121">
        <v>1336.8134766000001</v>
      </c>
      <c r="H1121">
        <v>1334.8552245999999</v>
      </c>
      <c r="I1121">
        <v>1328.9786377</v>
      </c>
      <c r="J1121">
        <v>1328.2353516000001</v>
      </c>
      <c r="K1121">
        <v>2400</v>
      </c>
      <c r="L1121">
        <v>0</v>
      </c>
      <c r="M1121">
        <v>0</v>
      </c>
      <c r="N1121">
        <v>2400</v>
      </c>
    </row>
    <row r="1122" spans="1:14" x14ac:dyDescent="0.25">
      <c r="A1122">
        <v>367.07251400000001</v>
      </c>
      <c r="B1122" s="1">
        <f>DATE(2011,5,3) + TIME(1,44,25)</f>
        <v>40666.072511574072</v>
      </c>
      <c r="C1122">
        <v>80</v>
      </c>
      <c r="D1122">
        <v>79.914306640999996</v>
      </c>
      <c r="E1122">
        <v>50</v>
      </c>
      <c r="F1122">
        <v>49.748908997000001</v>
      </c>
      <c r="G1122">
        <v>1336.8204346</v>
      </c>
      <c r="H1122">
        <v>1334.8610839999999</v>
      </c>
      <c r="I1122">
        <v>1328.9774170000001</v>
      </c>
      <c r="J1122">
        <v>1328.2333983999999</v>
      </c>
      <c r="K1122">
        <v>2400</v>
      </c>
      <c r="L1122">
        <v>0</v>
      </c>
      <c r="M1122">
        <v>0</v>
      </c>
      <c r="N1122">
        <v>2400</v>
      </c>
    </row>
    <row r="1123" spans="1:14" x14ac:dyDescent="0.25">
      <c r="A1123">
        <v>367.139745</v>
      </c>
      <c r="B1123" s="1">
        <f>DATE(2011,5,3) + TIME(3,21,13)</f>
        <v>40666.139733796299</v>
      </c>
      <c r="C1123">
        <v>80</v>
      </c>
      <c r="D1123">
        <v>79.925819396999998</v>
      </c>
      <c r="E1123">
        <v>50</v>
      </c>
      <c r="F1123">
        <v>49.742755889999998</v>
      </c>
      <c r="G1123">
        <v>1336.8265381000001</v>
      </c>
      <c r="H1123">
        <v>1334.8663329999999</v>
      </c>
      <c r="I1123">
        <v>1328.9760742000001</v>
      </c>
      <c r="J1123">
        <v>1328.2315673999999</v>
      </c>
      <c r="K1123">
        <v>2400</v>
      </c>
      <c r="L1123">
        <v>0</v>
      </c>
      <c r="M1123">
        <v>0</v>
      </c>
      <c r="N1123">
        <v>2400</v>
      </c>
    </row>
    <row r="1124" spans="1:14" x14ac:dyDescent="0.25">
      <c r="A1124">
        <v>367.20822199999998</v>
      </c>
      <c r="B1124" s="1">
        <f>DATE(2011,5,3) + TIME(4,59,50)</f>
        <v>40666.20821759259</v>
      </c>
      <c r="C1124">
        <v>80</v>
      </c>
      <c r="D1124">
        <v>79.935272217000005</v>
      </c>
      <c r="E1124">
        <v>50</v>
      </c>
      <c r="F1124">
        <v>49.736526488999999</v>
      </c>
      <c r="G1124">
        <v>1336.8314209</v>
      </c>
      <c r="H1124">
        <v>1334.8707274999999</v>
      </c>
      <c r="I1124">
        <v>1328.9747314000001</v>
      </c>
      <c r="J1124">
        <v>1328.2296143000001</v>
      </c>
      <c r="K1124">
        <v>2400</v>
      </c>
      <c r="L1124">
        <v>0</v>
      </c>
      <c r="M1124">
        <v>0</v>
      </c>
      <c r="N1124">
        <v>2400</v>
      </c>
    </row>
    <row r="1125" spans="1:14" x14ac:dyDescent="0.25">
      <c r="A1125">
        <v>367.27808900000002</v>
      </c>
      <c r="B1125" s="1">
        <f>DATE(2011,5,3) + TIME(6,40,26)</f>
        <v>40666.278078703705</v>
      </c>
      <c r="C1125">
        <v>80</v>
      </c>
      <c r="D1125">
        <v>79.943000792999996</v>
      </c>
      <c r="E1125">
        <v>50</v>
      </c>
      <c r="F1125">
        <v>49.730205536</v>
      </c>
      <c r="G1125">
        <v>1336.8327637</v>
      </c>
      <c r="H1125">
        <v>1334.8728027</v>
      </c>
      <c r="I1125">
        <v>1328.9732666</v>
      </c>
      <c r="J1125">
        <v>1328.2276611</v>
      </c>
      <c r="K1125">
        <v>2400</v>
      </c>
      <c r="L1125">
        <v>0</v>
      </c>
      <c r="M1125">
        <v>0</v>
      </c>
      <c r="N1125">
        <v>2400</v>
      </c>
    </row>
    <row r="1126" spans="1:14" x14ac:dyDescent="0.25">
      <c r="A1126">
        <v>367.34957300000002</v>
      </c>
      <c r="B1126" s="1">
        <f>DATE(2011,5,3) + TIME(8,23,23)</f>
        <v>40666.34957175926</v>
      </c>
      <c r="C1126">
        <v>80</v>
      </c>
      <c r="D1126">
        <v>79.949333190999994</v>
      </c>
      <c r="E1126">
        <v>50</v>
      </c>
      <c r="F1126">
        <v>49.723777771000002</v>
      </c>
      <c r="G1126">
        <v>1336.8334961</v>
      </c>
      <c r="H1126">
        <v>1334.8746338000001</v>
      </c>
      <c r="I1126">
        <v>1328.9719238</v>
      </c>
      <c r="J1126">
        <v>1328.2255858999999</v>
      </c>
      <c r="K1126">
        <v>2400</v>
      </c>
      <c r="L1126">
        <v>0</v>
      </c>
      <c r="M1126">
        <v>0</v>
      </c>
      <c r="N1126">
        <v>2400</v>
      </c>
    </row>
    <row r="1127" spans="1:14" x14ac:dyDescent="0.25">
      <c r="A1127">
        <v>367.42283200000003</v>
      </c>
      <c r="B1127" s="1">
        <f>DATE(2011,5,3) + TIME(10,8,52)</f>
        <v>40666.422824074078</v>
      </c>
      <c r="C1127">
        <v>80</v>
      </c>
      <c r="D1127">
        <v>79.954498290999993</v>
      </c>
      <c r="E1127">
        <v>50</v>
      </c>
      <c r="F1127">
        <v>49.717224121000001</v>
      </c>
      <c r="G1127">
        <v>1336.8338623</v>
      </c>
      <c r="H1127">
        <v>1334.8762207</v>
      </c>
      <c r="I1127">
        <v>1328.9704589999999</v>
      </c>
      <c r="J1127">
        <v>1328.2235106999999</v>
      </c>
      <c r="K1127">
        <v>2400</v>
      </c>
      <c r="L1127">
        <v>0</v>
      </c>
      <c r="M1127">
        <v>0</v>
      </c>
      <c r="N1127">
        <v>2400</v>
      </c>
    </row>
    <row r="1128" spans="1:14" x14ac:dyDescent="0.25">
      <c r="A1128">
        <v>367.498043</v>
      </c>
      <c r="B1128" s="1">
        <f>DATE(2011,5,3) + TIME(11,57,10)</f>
        <v>40666.498032407406</v>
      </c>
      <c r="C1128">
        <v>80</v>
      </c>
      <c r="D1128">
        <v>79.958709717000005</v>
      </c>
      <c r="E1128">
        <v>50</v>
      </c>
      <c r="F1128">
        <v>49.710540770999998</v>
      </c>
      <c r="G1128">
        <v>1336.8337402</v>
      </c>
      <c r="H1128">
        <v>1334.8774414</v>
      </c>
      <c r="I1128">
        <v>1328.9688721</v>
      </c>
      <c r="J1128">
        <v>1328.2214355000001</v>
      </c>
      <c r="K1128">
        <v>2400</v>
      </c>
      <c r="L1128">
        <v>0</v>
      </c>
      <c r="M1128">
        <v>0</v>
      </c>
      <c r="N1128">
        <v>2400</v>
      </c>
    </row>
    <row r="1129" spans="1:14" x14ac:dyDescent="0.25">
      <c r="A1129">
        <v>367.5754</v>
      </c>
      <c r="B1129" s="1">
        <f>DATE(2011,5,3) + TIME(13,48,34)</f>
        <v>40666.57539351852</v>
      </c>
      <c r="C1129">
        <v>80</v>
      </c>
      <c r="D1129">
        <v>79.962135314999998</v>
      </c>
      <c r="E1129">
        <v>50</v>
      </c>
      <c r="F1129">
        <v>49.703708648999999</v>
      </c>
      <c r="G1129">
        <v>1336.8331298999999</v>
      </c>
      <c r="H1129">
        <v>1334.878418</v>
      </c>
      <c r="I1129">
        <v>1328.9674072</v>
      </c>
      <c r="J1129">
        <v>1328.2191161999999</v>
      </c>
      <c r="K1129">
        <v>2400</v>
      </c>
      <c r="L1129">
        <v>0</v>
      </c>
      <c r="M1129">
        <v>0</v>
      </c>
      <c r="N1129">
        <v>2400</v>
      </c>
    </row>
    <row r="1130" spans="1:14" x14ac:dyDescent="0.25">
      <c r="A1130">
        <v>367.65511600000002</v>
      </c>
      <c r="B1130" s="1">
        <f>DATE(2011,5,3) + TIME(15,43,22)</f>
        <v>40666.655115740738</v>
      </c>
      <c r="C1130">
        <v>80</v>
      </c>
      <c r="D1130">
        <v>79.964912415000001</v>
      </c>
      <c r="E1130">
        <v>50</v>
      </c>
      <c r="F1130">
        <v>49.696708678999997</v>
      </c>
      <c r="G1130">
        <v>1336.8321533000001</v>
      </c>
      <c r="H1130">
        <v>1334.8792725000001</v>
      </c>
      <c r="I1130">
        <v>1328.9656981999999</v>
      </c>
      <c r="J1130">
        <v>1328.2169189000001</v>
      </c>
      <c r="K1130">
        <v>2400</v>
      </c>
      <c r="L1130">
        <v>0</v>
      </c>
      <c r="M1130">
        <v>0</v>
      </c>
      <c r="N1130">
        <v>2400</v>
      </c>
    </row>
    <row r="1131" spans="1:14" x14ac:dyDescent="0.25">
      <c r="A1131">
        <v>367.73743100000002</v>
      </c>
      <c r="B1131" s="1">
        <f>DATE(2011,5,3) + TIME(17,41,53)</f>
        <v>40666.73741898148</v>
      </c>
      <c r="C1131">
        <v>80</v>
      </c>
      <c r="D1131">
        <v>79.967155457000004</v>
      </c>
      <c r="E1131">
        <v>50</v>
      </c>
      <c r="F1131">
        <v>49.689525604000004</v>
      </c>
      <c r="G1131">
        <v>1336.8306885</v>
      </c>
      <c r="H1131">
        <v>1334.8798827999999</v>
      </c>
      <c r="I1131">
        <v>1328.9641113</v>
      </c>
      <c r="J1131">
        <v>1328.2145995999999</v>
      </c>
      <c r="K1131">
        <v>2400</v>
      </c>
      <c r="L1131">
        <v>0</v>
      </c>
      <c r="M1131">
        <v>0</v>
      </c>
      <c r="N1131">
        <v>2400</v>
      </c>
    </row>
    <row r="1132" spans="1:14" x14ac:dyDescent="0.25">
      <c r="A1132">
        <v>367.82270499999998</v>
      </c>
      <c r="B1132" s="1">
        <f>DATE(2011,5,3) + TIME(19,44,41)</f>
        <v>40666.822696759256</v>
      </c>
      <c r="C1132">
        <v>80</v>
      </c>
      <c r="D1132">
        <v>79.968963622999993</v>
      </c>
      <c r="E1132">
        <v>50</v>
      </c>
      <c r="F1132">
        <v>49.682132721000002</v>
      </c>
      <c r="G1132">
        <v>1336.8288574000001</v>
      </c>
      <c r="H1132">
        <v>1334.880249</v>
      </c>
      <c r="I1132">
        <v>1328.9624022999999</v>
      </c>
      <c r="J1132">
        <v>1328.2121582</v>
      </c>
      <c r="K1132">
        <v>2400</v>
      </c>
      <c r="L1132">
        <v>0</v>
      </c>
      <c r="M1132">
        <v>0</v>
      </c>
      <c r="N1132">
        <v>2400</v>
      </c>
    </row>
    <row r="1133" spans="1:14" x14ac:dyDescent="0.25">
      <c r="A1133">
        <v>367.91086000000001</v>
      </c>
      <c r="B1133" s="1">
        <f>DATE(2011,5,3) + TIME(21,51,38)</f>
        <v>40666.910856481481</v>
      </c>
      <c r="C1133">
        <v>80</v>
      </c>
      <c r="D1133">
        <v>79.970413207999997</v>
      </c>
      <c r="E1133">
        <v>50</v>
      </c>
      <c r="F1133">
        <v>49.674537659000002</v>
      </c>
      <c r="G1133">
        <v>1336.8267822</v>
      </c>
      <c r="H1133">
        <v>1334.8804932</v>
      </c>
      <c r="I1133">
        <v>1328.9605713000001</v>
      </c>
      <c r="J1133">
        <v>1328.2095947</v>
      </c>
      <c r="K1133">
        <v>2400</v>
      </c>
      <c r="L1133">
        <v>0</v>
      </c>
      <c r="M1133">
        <v>0</v>
      </c>
      <c r="N1133">
        <v>2400</v>
      </c>
    </row>
    <row r="1134" spans="1:14" x14ac:dyDescent="0.25">
      <c r="A1134">
        <v>368.00153</v>
      </c>
      <c r="B1134" s="1">
        <f>DATE(2011,5,4) + TIME(0,2,12)</f>
        <v>40667.001527777778</v>
      </c>
      <c r="C1134">
        <v>80</v>
      </c>
      <c r="D1134">
        <v>79.971565247000001</v>
      </c>
      <c r="E1134">
        <v>50</v>
      </c>
      <c r="F1134">
        <v>49.666770935000002</v>
      </c>
      <c r="G1134">
        <v>1336.8242187999999</v>
      </c>
      <c r="H1134">
        <v>1334.8806152</v>
      </c>
      <c r="I1134">
        <v>1328.9587402</v>
      </c>
      <c r="J1134">
        <v>1328.2070312000001</v>
      </c>
      <c r="K1134">
        <v>2400</v>
      </c>
      <c r="L1134">
        <v>0</v>
      </c>
      <c r="M1134">
        <v>0</v>
      </c>
      <c r="N1134">
        <v>2400</v>
      </c>
    </row>
    <row r="1135" spans="1:14" x14ac:dyDescent="0.25">
      <c r="A1135">
        <v>368.09498600000001</v>
      </c>
      <c r="B1135" s="1">
        <f>DATE(2011,5,4) + TIME(2,16,46)</f>
        <v>40667.094976851855</v>
      </c>
      <c r="C1135">
        <v>80</v>
      </c>
      <c r="D1135">
        <v>79.972473144999995</v>
      </c>
      <c r="E1135">
        <v>50</v>
      </c>
      <c r="F1135">
        <v>49.658809662000003</v>
      </c>
      <c r="G1135">
        <v>1336.8214111</v>
      </c>
      <c r="H1135">
        <v>1334.8804932</v>
      </c>
      <c r="I1135">
        <v>1328.9569091999999</v>
      </c>
      <c r="J1135">
        <v>1328.2043457</v>
      </c>
      <c r="K1135">
        <v>2400</v>
      </c>
      <c r="L1135">
        <v>0</v>
      </c>
      <c r="M1135">
        <v>0</v>
      </c>
      <c r="N1135">
        <v>2400</v>
      </c>
    </row>
    <row r="1136" spans="1:14" x14ac:dyDescent="0.25">
      <c r="A1136">
        <v>368.19151599999998</v>
      </c>
      <c r="B1136" s="1">
        <f>DATE(2011,5,4) + TIME(4,35,47)</f>
        <v>40667.191516203704</v>
      </c>
      <c r="C1136">
        <v>80</v>
      </c>
      <c r="D1136">
        <v>79.973190308</v>
      </c>
      <c r="E1136">
        <v>50</v>
      </c>
      <c r="F1136">
        <v>49.650638579999999</v>
      </c>
      <c r="G1136">
        <v>1336.8182373</v>
      </c>
      <c r="H1136">
        <v>1334.8803711</v>
      </c>
      <c r="I1136">
        <v>1328.9549560999999</v>
      </c>
      <c r="J1136">
        <v>1328.2015381000001</v>
      </c>
      <c r="K1136">
        <v>2400</v>
      </c>
      <c r="L1136">
        <v>0</v>
      </c>
      <c r="M1136">
        <v>0</v>
      </c>
      <c r="N1136">
        <v>2400</v>
      </c>
    </row>
    <row r="1137" spans="1:14" x14ac:dyDescent="0.25">
      <c r="A1137">
        <v>368.29143599999998</v>
      </c>
      <c r="B1137" s="1">
        <f>DATE(2011,5,4) + TIME(6,59,40)</f>
        <v>40667.291435185187</v>
      </c>
      <c r="C1137">
        <v>80</v>
      </c>
      <c r="D1137">
        <v>79.973754882999998</v>
      </c>
      <c r="E1137">
        <v>50</v>
      </c>
      <c r="F1137">
        <v>49.642234801999997</v>
      </c>
      <c r="G1137">
        <v>1336.8148193</v>
      </c>
      <c r="H1137">
        <v>1334.8800048999999</v>
      </c>
      <c r="I1137">
        <v>1328.9530029</v>
      </c>
      <c r="J1137">
        <v>1328.1987305</v>
      </c>
      <c r="K1137">
        <v>2400</v>
      </c>
      <c r="L1137">
        <v>0</v>
      </c>
      <c r="M1137">
        <v>0</v>
      </c>
      <c r="N1137">
        <v>2400</v>
      </c>
    </row>
    <row r="1138" spans="1:14" x14ac:dyDescent="0.25">
      <c r="A1138">
        <v>368.39514100000002</v>
      </c>
      <c r="B1138" s="1">
        <f>DATE(2011,5,4) + TIME(9,29,0)</f>
        <v>40667.395138888889</v>
      </c>
      <c r="C1138">
        <v>80</v>
      </c>
      <c r="D1138">
        <v>79.974197387999993</v>
      </c>
      <c r="E1138">
        <v>50</v>
      </c>
      <c r="F1138">
        <v>49.633567810000002</v>
      </c>
      <c r="G1138">
        <v>1336.8110352000001</v>
      </c>
      <c r="H1138">
        <v>1334.8795166</v>
      </c>
      <c r="I1138">
        <v>1328.9508057</v>
      </c>
      <c r="J1138">
        <v>1328.1958007999999</v>
      </c>
      <c r="K1138">
        <v>2400</v>
      </c>
      <c r="L1138">
        <v>0</v>
      </c>
      <c r="M1138">
        <v>0</v>
      </c>
      <c r="N1138">
        <v>2400</v>
      </c>
    </row>
    <row r="1139" spans="1:14" x14ac:dyDescent="0.25">
      <c r="A1139">
        <v>368.50250799999998</v>
      </c>
      <c r="B1139" s="1">
        <f>DATE(2011,5,4) + TIME(12,3,36)</f>
        <v>40667.502500000002</v>
      </c>
      <c r="C1139">
        <v>80</v>
      </c>
      <c r="D1139">
        <v>79.974540709999999</v>
      </c>
      <c r="E1139">
        <v>50</v>
      </c>
      <c r="F1139">
        <v>49.624649048000002</v>
      </c>
      <c r="G1139">
        <v>1336.8070068</v>
      </c>
      <c r="H1139">
        <v>1334.8789062000001</v>
      </c>
      <c r="I1139">
        <v>1328.9487305</v>
      </c>
      <c r="J1139">
        <v>1328.192749</v>
      </c>
      <c r="K1139">
        <v>2400</v>
      </c>
      <c r="L1139">
        <v>0</v>
      </c>
      <c r="M1139">
        <v>0</v>
      </c>
      <c r="N1139">
        <v>2400</v>
      </c>
    </row>
    <row r="1140" spans="1:14" x14ac:dyDescent="0.25">
      <c r="A1140">
        <v>368.61212599999999</v>
      </c>
      <c r="B1140" s="1">
        <f>DATE(2011,5,4) + TIME(14,41,27)</f>
        <v>40667.612118055556</v>
      </c>
      <c r="C1140">
        <v>80</v>
      </c>
      <c r="D1140">
        <v>79.974800110000004</v>
      </c>
      <c r="E1140">
        <v>50</v>
      </c>
      <c r="F1140">
        <v>49.615585326999998</v>
      </c>
      <c r="G1140">
        <v>1336.8027344</v>
      </c>
      <c r="H1140">
        <v>1334.8781738</v>
      </c>
      <c r="I1140">
        <v>1328.9464111</v>
      </c>
      <c r="J1140">
        <v>1328.1895752</v>
      </c>
      <c r="K1140">
        <v>2400</v>
      </c>
      <c r="L1140">
        <v>0</v>
      </c>
      <c r="M1140">
        <v>0</v>
      </c>
      <c r="N1140">
        <v>2400</v>
      </c>
    </row>
    <row r="1141" spans="1:14" x14ac:dyDescent="0.25">
      <c r="A1141">
        <v>368.72439100000003</v>
      </c>
      <c r="B1141" s="1">
        <f>DATE(2011,5,4) + TIME(17,23,7)</f>
        <v>40667.724386574075</v>
      </c>
      <c r="C1141">
        <v>80</v>
      </c>
      <c r="D1141">
        <v>79.974998474000003</v>
      </c>
      <c r="E1141">
        <v>50</v>
      </c>
      <c r="F1141">
        <v>49.606349944999998</v>
      </c>
      <c r="G1141">
        <v>1336.7982178</v>
      </c>
      <c r="H1141">
        <v>1334.8773193</v>
      </c>
      <c r="I1141">
        <v>1328.9440918</v>
      </c>
      <c r="J1141">
        <v>1328.1862793</v>
      </c>
      <c r="K1141">
        <v>2400</v>
      </c>
      <c r="L1141">
        <v>0</v>
      </c>
      <c r="M1141">
        <v>0</v>
      </c>
      <c r="N1141">
        <v>2400</v>
      </c>
    </row>
    <row r="1142" spans="1:14" x14ac:dyDescent="0.25">
      <c r="A1142">
        <v>368.83969100000002</v>
      </c>
      <c r="B1142" s="1">
        <f>DATE(2011,5,4) + TIME(20,9,9)</f>
        <v>40667.839687500003</v>
      </c>
      <c r="C1142">
        <v>80</v>
      </c>
      <c r="D1142">
        <v>79.975143433</v>
      </c>
      <c r="E1142">
        <v>50</v>
      </c>
      <c r="F1142">
        <v>49.596916198999999</v>
      </c>
      <c r="G1142">
        <v>1336.7935791</v>
      </c>
      <c r="H1142">
        <v>1334.8764647999999</v>
      </c>
      <c r="I1142">
        <v>1328.9417725000001</v>
      </c>
      <c r="J1142">
        <v>1328.1829834</v>
      </c>
      <c r="K1142">
        <v>2400</v>
      </c>
      <c r="L1142">
        <v>0</v>
      </c>
      <c r="M1142">
        <v>0</v>
      </c>
      <c r="N1142">
        <v>2400</v>
      </c>
    </row>
    <row r="1143" spans="1:14" x14ac:dyDescent="0.25">
      <c r="A1143">
        <v>368.95847199999997</v>
      </c>
      <c r="B1143" s="1">
        <f>DATE(2011,5,4) + TIME(23,0,11)</f>
        <v>40667.958460648151</v>
      </c>
      <c r="C1143">
        <v>80</v>
      </c>
      <c r="D1143">
        <v>79.975250243999994</v>
      </c>
      <c r="E1143">
        <v>50</v>
      </c>
      <c r="F1143">
        <v>49.587253570999998</v>
      </c>
      <c r="G1143">
        <v>1336.7886963000001</v>
      </c>
      <c r="H1143">
        <v>1334.8754882999999</v>
      </c>
      <c r="I1143">
        <v>1328.9393310999999</v>
      </c>
      <c r="J1143">
        <v>1328.1794434000001</v>
      </c>
      <c r="K1143">
        <v>2400</v>
      </c>
      <c r="L1143">
        <v>0</v>
      </c>
      <c r="M1143">
        <v>0</v>
      </c>
      <c r="N1143">
        <v>2400</v>
      </c>
    </row>
    <row r="1144" spans="1:14" x14ac:dyDescent="0.25">
      <c r="A1144">
        <v>369.08152899999999</v>
      </c>
      <c r="B1144" s="1">
        <f>DATE(2011,5,5) + TIME(1,57,24)</f>
        <v>40668.08152777778</v>
      </c>
      <c r="C1144">
        <v>80</v>
      </c>
      <c r="D1144">
        <v>79.975326538000004</v>
      </c>
      <c r="E1144">
        <v>50</v>
      </c>
      <c r="F1144">
        <v>49.577301024999997</v>
      </c>
      <c r="G1144">
        <v>1336.7836914</v>
      </c>
      <c r="H1144">
        <v>1334.8743896000001</v>
      </c>
      <c r="I1144">
        <v>1328.9368896000001</v>
      </c>
      <c r="J1144">
        <v>1328.1759033000001</v>
      </c>
      <c r="K1144">
        <v>2400</v>
      </c>
      <c r="L1144">
        <v>0</v>
      </c>
      <c r="M1144">
        <v>0</v>
      </c>
      <c r="N1144">
        <v>2400</v>
      </c>
    </row>
    <row r="1145" spans="1:14" x14ac:dyDescent="0.25">
      <c r="A1145">
        <v>369.20494100000002</v>
      </c>
      <c r="B1145" s="1">
        <f>DATE(2011,5,5) + TIME(4,55,6)</f>
        <v>40668.204930555556</v>
      </c>
      <c r="C1145">
        <v>80</v>
      </c>
      <c r="D1145">
        <v>79.975379943999997</v>
      </c>
      <c r="E1145">
        <v>50</v>
      </c>
      <c r="F1145">
        <v>49.56734848</v>
      </c>
      <c r="G1145">
        <v>1336.7784423999999</v>
      </c>
      <c r="H1145">
        <v>1334.8732910000001</v>
      </c>
      <c r="I1145">
        <v>1328.9343262</v>
      </c>
      <c r="J1145">
        <v>1328.1723632999999</v>
      </c>
      <c r="K1145">
        <v>2400</v>
      </c>
      <c r="L1145">
        <v>0</v>
      </c>
      <c r="M1145">
        <v>0</v>
      </c>
      <c r="N1145">
        <v>2400</v>
      </c>
    </row>
    <row r="1146" spans="1:14" x14ac:dyDescent="0.25">
      <c r="A1146">
        <v>369.329004</v>
      </c>
      <c r="B1146" s="1">
        <f>DATE(2011,5,5) + TIME(7,53,45)</f>
        <v>40668.328993055555</v>
      </c>
      <c r="C1146">
        <v>80</v>
      </c>
      <c r="D1146">
        <v>79.975402832</v>
      </c>
      <c r="E1146">
        <v>50</v>
      </c>
      <c r="F1146">
        <v>49.557373046999999</v>
      </c>
      <c r="G1146">
        <v>1336.7733154</v>
      </c>
      <c r="H1146">
        <v>1334.8721923999999</v>
      </c>
      <c r="I1146">
        <v>1328.9316406</v>
      </c>
      <c r="J1146">
        <v>1328.1687012</v>
      </c>
      <c r="K1146">
        <v>2400</v>
      </c>
      <c r="L1146">
        <v>0</v>
      </c>
      <c r="M1146">
        <v>0</v>
      </c>
      <c r="N1146">
        <v>2400</v>
      </c>
    </row>
    <row r="1147" spans="1:14" x14ac:dyDescent="0.25">
      <c r="A1147">
        <v>369.454002</v>
      </c>
      <c r="B1147" s="1">
        <f>DATE(2011,5,5) + TIME(10,53,45)</f>
        <v>40668.453993055555</v>
      </c>
      <c r="C1147">
        <v>80</v>
      </c>
      <c r="D1147">
        <v>79.975418090999995</v>
      </c>
      <c r="E1147">
        <v>50</v>
      </c>
      <c r="F1147">
        <v>49.547359467</v>
      </c>
      <c r="G1147">
        <v>1336.7680664</v>
      </c>
      <c r="H1147">
        <v>1334.8710937999999</v>
      </c>
      <c r="I1147">
        <v>1328.9290771000001</v>
      </c>
      <c r="J1147">
        <v>1328.1649170000001</v>
      </c>
      <c r="K1147">
        <v>2400</v>
      </c>
      <c r="L1147">
        <v>0</v>
      </c>
      <c r="M1147">
        <v>0</v>
      </c>
      <c r="N1147">
        <v>2400</v>
      </c>
    </row>
    <row r="1148" spans="1:14" x14ac:dyDescent="0.25">
      <c r="A1148">
        <v>369.58021300000001</v>
      </c>
      <c r="B1148" s="1">
        <f>DATE(2011,5,5) + TIME(13,55,30)</f>
        <v>40668.580208333333</v>
      </c>
      <c r="C1148">
        <v>80</v>
      </c>
      <c r="D1148">
        <v>79.975418090999995</v>
      </c>
      <c r="E1148">
        <v>50</v>
      </c>
      <c r="F1148">
        <v>49.537281036000003</v>
      </c>
      <c r="G1148">
        <v>1336.7628173999999</v>
      </c>
      <c r="H1148">
        <v>1334.8698730000001</v>
      </c>
      <c r="I1148">
        <v>1328.9263916</v>
      </c>
      <c r="J1148">
        <v>1328.1612548999999</v>
      </c>
      <c r="K1148">
        <v>2400</v>
      </c>
      <c r="L1148">
        <v>0</v>
      </c>
      <c r="M1148">
        <v>0</v>
      </c>
      <c r="N1148">
        <v>2400</v>
      </c>
    </row>
    <row r="1149" spans="1:14" x14ac:dyDescent="0.25">
      <c r="A1149">
        <v>369.70796000000001</v>
      </c>
      <c r="B1149" s="1">
        <f>DATE(2011,5,5) + TIME(16,59,27)</f>
        <v>40668.707951388889</v>
      </c>
      <c r="C1149">
        <v>80</v>
      </c>
      <c r="D1149">
        <v>79.975410460999996</v>
      </c>
      <c r="E1149">
        <v>50</v>
      </c>
      <c r="F1149">
        <v>49.527126312</v>
      </c>
      <c r="G1149">
        <v>1336.7575684000001</v>
      </c>
      <c r="H1149">
        <v>1334.8686522999999</v>
      </c>
      <c r="I1149">
        <v>1328.9238281</v>
      </c>
      <c r="J1149">
        <v>1328.1574707</v>
      </c>
      <c r="K1149">
        <v>2400</v>
      </c>
      <c r="L1149">
        <v>0</v>
      </c>
      <c r="M1149">
        <v>0</v>
      </c>
      <c r="N1149">
        <v>2400</v>
      </c>
    </row>
    <row r="1150" spans="1:14" x14ac:dyDescent="0.25">
      <c r="A1150">
        <v>369.83750900000001</v>
      </c>
      <c r="B1150" s="1">
        <f>DATE(2011,5,5) + TIME(20,6,0)</f>
        <v>40668.837500000001</v>
      </c>
      <c r="C1150">
        <v>80</v>
      </c>
      <c r="D1150">
        <v>79.975395203000005</v>
      </c>
      <c r="E1150">
        <v>50</v>
      </c>
      <c r="F1150">
        <v>49.516868590999998</v>
      </c>
      <c r="G1150">
        <v>1336.7523193</v>
      </c>
      <c r="H1150">
        <v>1334.8675536999999</v>
      </c>
      <c r="I1150">
        <v>1328.9211425999999</v>
      </c>
      <c r="J1150">
        <v>1328.1536865</v>
      </c>
      <c r="K1150">
        <v>2400</v>
      </c>
      <c r="L1150">
        <v>0</v>
      </c>
      <c r="M1150">
        <v>0</v>
      </c>
      <c r="N1150">
        <v>2400</v>
      </c>
    </row>
    <row r="1151" spans="1:14" x14ac:dyDescent="0.25">
      <c r="A1151">
        <v>369.96914400000003</v>
      </c>
      <c r="B1151" s="1">
        <f>DATE(2011,5,5) + TIME(23,15,34)</f>
        <v>40668.969143518516</v>
      </c>
      <c r="C1151">
        <v>80</v>
      </c>
      <c r="D1151">
        <v>79.975372313999998</v>
      </c>
      <c r="E1151">
        <v>50</v>
      </c>
      <c r="F1151">
        <v>49.506492614999999</v>
      </c>
      <c r="G1151">
        <v>1336.7470702999999</v>
      </c>
      <c r="H1151">
        <v>1334.8663329999999</v>
      </c>
      <c r="I1151">
        <v>1328.9183350000001</v>
      </c>
      <c r="J1151">
        <v>1328.1497803</v>
      </c>
      <c r="K1151">
        <v>2400</v>
      </c>
      <c r="L1151">
        <v>0</v>
      </c>
      <c r="M1151">
        <v>0</v>
      </c>
      <c r="N1151">
        <v>2400</v>
      </c>
    </row>
    <row r="1152" spans="1:14" x14ac:dyDescent="0.25">
      <c r="A1152">
        <v>370.10318000000001</v>
      </c>
      <c r="B1152" s="1">
        <f>DATE(2011,5,6) + TIME(2,28,34)</f>
        <v>40669.103171296294</v>
      </c>
      <c r="C1152">
        <v>80</v>
      </c>
      <c r="D1152">
        <v>79.975349425999994</v>
      </c>
      <c r="E1152">
        <v>50</v>
      </c>
      <c r="F1152">
        <v>49.495975494</v>
      </c>
      <c r="G1152">
        <v>1336.7416992000001</v>
      </c>
      <c r="H1152">
        <v>1334.8651123</v>
      </c>
      <c r="I1152">
        <v>1328.9155272999999</v>
      </c>
      <c r="J1152">
        <v>1328.145874</v>
      </c>
      <c r="K1152">
        <v>2400</v>
      </c>
      <c r="L1152">
        <v>0</v>
      </c>
      <c r="M1152">
        <v>0</v>
      </c>
      <c r="N1152">
        <v>2400</v>
      </c>
    </row>
    <row r="1153" spans="1:14" x14ac:dyDescent="0.25">
      <c r="A1153">
        <v>370.23995100000002</v>
      </c>
      <c r="B1153" s="1">
        <f>DATE(2011,5,6) + TIME(5,45,31)</f>
        <v>40669.239942129629</v>
      </c>
      <c r="C1153">
        <v>80</v>
      </c>
      <c r="D1153">
        <v>79.975318908999995</v>
      </c>
      <c r="E1153">
        <v>50</v>
      </c>
      <c r="F1153">
        <v>49.485298157000003</v>
      </c>
      <c r="G1153">
        <v>1336.7364502</v>
      </c>
      <c r="H1153">
        <v>1334.8640137</v>
      </c>
      <c r="I1153">
        <v>1328.9127197</v>
      </c>
      <c r="J1153">
        <v>1328.1418457</v>
      </c>
      <c r="K1153">
        <v>2400</v>
      </c>
      <c r="L1153">
        <v>0</v>
      </c>
      <c r="M1153">
        <v>0</v>
      </c>
      <c r="N1153">
        <v>2400</v>
      </c>
    </row>
    <row r="1154" spans="1:14" x14ac:dyDescent="0.25">
      <c r="A1154">
        <v>370.37981600000001</v>
      </c>
      <c r="B1154" s="1">
        <f>DATE(2011,5,6) + TIME(9,6,56)</f>
        <v>40669.379814814813</v>
      </c>
      <c r="C1154">
        <v>80</v>
      </c>
      <c r="D1154">
        <v>79.975280761999997</v>
      </c>
      <c r="E1154">
        <v>50</v>
      </c>
      <c r="F1154">
        <v>49.474437713999997</v>
      </c>
      <c r="G1154">
        <v>1336.7310791</v>
      </c>
      <c r="H1154">
        <v>1334.862793</v>
      </c>
      <c r="I1154">
        <v>1328.9097899999999</v>
      </c>
      <c r="J1154">
        <v>1328.1376952999999</v>
      </c>
      <c r="K1154">
        <v>2400</v>
      </c>
      <c r="L1154">
        <v>0</v>
      </c>
      <c r="M1154">
        <v>0</v>
      </c>
      <c r="N1154">
        <v>2400</v>
      </c>
    </row>
    <row r="1155" spans="1:14" x14ac:dyDescent="0.25">
      <c r="A1155">
        <v>370.523167</v>
      </c>
      <c r="B1155" s="1">
        <f>DATE(2011,5,6) + TIME(12,33,21)</f>
        <v>40669.523159722223</v>
      </c>
      <c r="C1155">
        <v>80</v>
      </c>
      <c r="D1155">
        <v>79.975242614999999</v>
      </c>
      <c r="E1155">
        <v>50</v>
      </c>
      <c r="F1155">
        <v>49.463363647000001</v>
      </c>
      <c r="G1155">
        <v>1336.7255858999999</v>
      </c>
      <c r="H1155">
        <v>1334.8615723</v>
      </c>
      <c r="I1155">
        <v>1328.9068603999999</v>
      </c>
      <c r="J1155">
        <v>1328.1335449000001</v>
      </c>
      <c r="K1155">
        <v>2400</v>
      </c>
      <c r="L1155">
        <v>0</v>
      </c>
      <c r="M1155">
        <v>0</v>
      </c>
      <c r="N1155">
        <v>2400</v>
      </c>
    </row>
    <row r="1156" spans="1:14" x14ac:dyDescent="0.25">
      <c r="A1156">
        <v>370.66927199999998</v>
      </c>
      <c r="B1156" s="1">
        <f>DATE(2011,5,6) + TIME(16,3,45)</f>
        <v>40669.669270833336</v>
      </c>
      <c r="C1156">
        <v>80</v>
      </c>
      <c r="D1156">
        <v>79.975196838000002</v>
      </c>
      <c r="E1156">
        <v>50</v>
      </c>
      <c r="F1156">
        <v>49.452133179</v>
      </c>
      <c r="G1156">
        <v>1336.7202147999999</v>
      </c>
      <c r="H1156">
        <v>1334.8603516000001</v>
      </c>
      <c r="I1156">
        <v>1328.9038086</v>
      </c>
      <c r="J1156">
        <v>1328.1292725000001</v>
      </c>
      <c r="K1156">
        <v>2400</v>
      </c>
      <c r="L1156">
        <v>0</v>
      </c>
      <c r="M1156">
        <v>0</v>
      </c>
      <c r="N1156">
        <v>2400</v>
      </c>
    </row>
    <row r="1157" spans="1:14" x14ac:dyDescent="0.25">
      <c r="A1157">
        <v>370.81838599999998</v>
      </c>
      <c r="B1157" s="1">
        <f>DATE(2011,5,6) + TIME(19,38,28)</f>
        <v>40669.818379629629</v>
      </c>
      <c r="C1157">
        <v>80</v>
      </c>
      <c r="D1157">
        <v>79.975151061999995</v>
      </c>
      <c r="E1157">
        <v>50</v>
      </c>
      <c r="F1157">
        <v>49.440723419000001</v>
      </c>
      <c r="G1157">
        <v>1336.7147216999999</v>
      </c>
      <c r="H1157">
        <v>1334.8592529</v>
      </c>
      <c r="I1157">
        <v>1328.9007568</v>
      </c>
      <c r="J1157">
        <v>1328.1248779</v>
      </c>
      <c r="K1157">
        <v>2400</v>
      </c>
      <c r="L1157">
        <v>0</v>
      </c>
      <c r="M1157">
        <v>0</v>
      </c>
      <c r="N1157">
        <v>2400</v>
      </c>
    </row>
    <row r="1158" spans="1:14" x14ac:dyDescent="0.25">
      <c r="A1158">
        <v>370.97089399999999</v>
      </c>
      <c r="B1158" s="1">
        <f>DATE(2011,5,6) + TIME(23,18,5)</f>
        <v>40669.970891203702</v>
      </c>
      <c r="C1158">
        <v>80</v>
      </c>
      <c r="D1158">
        <v>79.975105286000002</v>
      </c>
      <c r="E1158">
        <v>50</v>
      </c>
      <c r="F1158">
        <v>49.429119110000002</v>
      </c>
      <c r="G1158">
        <v>1336.7092285000001</v>
      </c>
      <c r="H1158">
        <v>1334.8580322</v>
      </c>
      <c r="I1158">
        <v>1328.8975829999999</v>
      </c>
      <c r="J1158">
        <v>1328.1203613</v>
      </c>
      <c r="K1158">
        <v>2400</v>
      </c>
      <c r="L1158">
        <v>0</v>
      </c>
      <c r="M1158">
        <v>0</v>
      </c>
      <c r="N1158">
        <v>2400</v>
      </c>
    </row>
    <row r="1159" spans="1:14" x14ac:dyDescent="0.25">
      <c r="A1159">
        <v>371.12723899999997</v>
      </c>
      <c r="B1159" s="1">
        <f>DATE(2011,5,7) + TIME(3,3,13)</f>
        <v>40670.127233796295</v>
      </c>
      <c r="C1159">
        <v>80</v>
      </c>
      <c r="D1159">
        <v>79.975059509000005</v>
      </c>
      <c r="E1159">
        <v>50</v>
      </c>
      <c r="F1159">
        <v>49.417285919000001</v>
      </c>
      <c r="G1159">
        <v>1336.7037353999999</v>
      </c>
      <c r="H1159">
        <v>1334.8569336</v>
      </c>
      <c r="I1159">
        <v>1328.8944091999999</v>
      </c>
      <c r="J1159">
        <v>1328.1158447</v>
      </c>
      <c r="K1159">
        <v>2400</v>
      </c>
      <c r="L1159">
        <v>0</v>
      </c>
      <c r="M1159">
        <v>0</v>
      </c>
      <c r="N1159">
        <v>2400</v>
      </c>
    </row>
    <row r="1160" spans="1:14" x14ac:dyDescent="0.25">
      <c r="A1160">
        <v>371.28790199999997</v>
      </c>
      <c r="B1160" s="1">
        <f>DATE(2011,5,7) + TIME(6,54,34)</f>
        <v>40670.287893518522</v>
      </c>
      <c r="C1160">
        <v>80</v>
      </c>
      <c r="D1160">
        <v>79.975006104000002</v>
      </c>
      <c r="E1160">
        <v>50</v>
      </c>
      <c r="F1160">
        <v>49.405193328999999</v>
      </c>
      <c r="G1160">
        <v>1336.6982422000001</v>
      </c>
      <c r="H1160">
        <v>1334.8557129000001</v>
      </c>
      <c r="I1160">
        <v>1328.8911132999999</v>
      </c>
      <c r="J1160">
        <v>1328.1112060999999</v>
      </c>
      <c r="K1160">
        <v>2400</v>
      </c>
      <c r="L1160">
        <v>0</v>
      </c>
      <c r="M1160">
        <v>0</v>
      </c>
      <c r="N1160">
        <v>2400</v>
      </c>
    </row>
    <row r="1161" spans="1:14" x14ac:dyDescent="0.25">
      <c r="A1161">
        <v>371.45338299999997</v>
      </c>
      <c r="B1161" s="1">
        <f>DATE(2011,5,7) + TIME(10,52,52)</f>
        <v>40670.453379629631</v>
      </c>
      <c r="C1161">
        <v>80</v>
      </c>
      <c r="D1161">
        <v>79.974952697999996</v>
      </c>
      <c r="E1161">
        <v>50</v>
      </c>
      <c r="F1161">
        <v>49.392814635999997</v>
      </c>
      <c r="G1161">
        <v>1336.692749</v>
      </c>
      <c r="H1161">
        <v>1334.8546143000001</v>
      </c>
      <c r="I1161">
        <v>1328.8876952999999</v>
      </c>
      <c r="J1161">
        <v>1328.1064452999999</v>
      </c>
      <c r="K1161">
        <v>2400</v>
      </c>
      <c r="L1161">
        <v>0</v>
      </c>
      <c r="M1161">
        <v>0</v>
      </c>
      <c r="N1161">
        <v>2400</v>
      </c>
    </row>
    <row r="1162" spans="1:14" x14ac:dyDescent="0.25">
      <c r="A1162">
        <v>371.62425300000001</v>
      </c>
      <c r="B1162" s="1">
        <f>DATE(2011,5,7) + TIME(14,58,55)</f>
        <v>40670.624247685184</v>
      </c>
      <c r="C1162">
        <v>80</v>
      </c>
      <c r="D1162">
        <v>79.974899292000003</v>
      </c>
      <c r="E1162">
        <v>50</v>
      </c>
      <c r="F1162">
        <v>49.380115508999999</v>
      </c>
      <c r="G1162">
        <v>1336.6872559000001</v>
      </c>
      <c r="H1162">
        <v>1334.8535156</v>
      </c>
      <c r="I1162">
        <v>1328.8842772999999</v>
      </c>
      <c r="J1162">
        <v>1328.1014404</v>
      </c>
      <c r="K1162">
        <v>2400</v>
      </c>
      <c r="L1162">
        <v>0</v>
      </c>
      <c r="M1162">
        <v>0</v>
      </c>
      <c r="N1162">
        <v>2400</v>
      </c>
    </row>
    <row r="1163" spans="1:14" x14ac:dyDescent="0.25">
      <c r="A1163">
        <v>371.80120399999998</v>
      </c>
      <c r="B1163" s="1">
        <f>DATE(2011,5,7) + TIME(19,13,44)</f>
        <v>40670.801203703704</v>
      </c>
      <c r="C1163">
        <v>80</v>
      </c>
      <c r="D1163">
        <v>79.974845885999997</v>
      </c>
      <c r="E1163">
        <v>50</v>
      </c>
      <c r="F1163">
        <v>49.367050171000002</v>
      </c>
      <c r="G1163">
        <v>1336.6816406</v>
      </c>
      <c r="H1163">
        <v>1334.8524170000001</v>
      </c>
      <c r="I1163">
        <v>1328.8806152</v>
      </c>
      <c r="J1163">
        <v>1328.0964355000001</v>
      </c>
      <c r="K1163">
        <v>2400</v>
      </c>
      <c r="L1163">
        <v>0</v>
      </c>
      <c r="M1163">
        <v>0</v>
      </c>
      <c r="N1163">
        <v>2400</v>
      </c>
    </row>
    <row r="1164" spans="1:14" x14ac:dyDescent="0.25">
      <c r="A1164">
        <v>371.98598299999998</v>
      </c>
      <c r="B1164" s="1">
        <f>DATE(2011,5,7) + TIME(23,39,48)</f>
        <v>40670.985972222225</v>
      </c>
      <c r="C1164">
        <v>80</v>
      </c>
      <c r="D1164">
        <v>79.974784850999995</v>
      </c>
      <c r="E1164">
        <v>50</v>
      </c>
      <c r="F1164">
        <v>49.353515625</v>
      </c>
      <c r="G1164">
        <v>1336.6759033000001</v>
      </c>
      <c r="H1164">
        <v>1334.8511963000001</v>
      </c>
      <c r="I1164">
        <v>1328.8769531</v>
      </c>
      <c r="J1164">
        <v>1328.0911865</v>
      </c>
      <c r="K1164">
        <v>2400</v>
      </c>
      <c r="L1164">
        <v>0</v>
      </c>
      <c r="M1164">
        <v>0</v>
      </c>
      <c r="N1164">
        <v>2400</v>
      </c>
    </row>
    <row r="1165" spans="1:14" x14ac:dyDescent="0.25">
      <c r="A1165">
        <v>372.17746599999998</v>
      </c>
      <c r="B1165" s="1">
        <f>DATE(2011,5,8) + TIME(4,15,33)</f>
        <v>40671.177465277775</v>
      </c>
      <c r="C1165">
        <v>80</v>
      </c>
      <c r="D1165">
        <v>79.974723815999994</v>
      </c>
      <c r="E1165">
        <v>50</v>
      </c>
      <c r="F1165">
        <v>49.339580536</v>
      </c>
      <c r="G1165">
        <v>1336.6701660000001</v>
      </c>
      <c r="H1165">
        <v>1334.8500977000001</v>
      </c>
      <c r="I1165">
        <v>1328.8730469</v>
      </c>
      <c r="J1165">
        <v>1328.0856934000001</v>
      </c>
      <c r="K1165">
        <v>2400</v>
      </c>
      <c r="L1165">
        <v>0</v>
      </c>
      <c r="M1165">
        <v>0</v>
      </c>
      <c r="N1165">
        <v>2400</v>
      </c>
    </row>
    <row r="1166" spans="1:14" x14ac:dyDescent="0.25">
      <c r="A1166">
        <v>372.37521500000003</v>
      </c>
      <c r="B1166" s="1">
        <f>DATE(2011,5,8) + TIME(9,0,18)</f>
        <v>40671.375208333331</v>
      </c>
      <c r="C1166">
        <v>80</v>
      </c>
      <c r="D1166">
        <v>79.974662781000006</v>
      </c>
      <c r="E1166">
        <v>50</v>
      </c>
      <c r="F1166">
        <v>49.325275421000001</v>
      </c>
      <c r="G1166">
        <v>1336.6643065999999</v>
      </c>
      <c r="H1166">
        <v>1334.8488769999999</v>
      </c>
      <c r="I1166">
        <v>1328.8690185999999</v>
      </c>
      <c r="J1166">
        <v>1328.0800781</v>
      </c>
      <c r="K1166">
        <v>2400</v>
      </c>
      <c r="L1166">
        <v>0</v>
      </c>
      <c r="M1166">
        <v>0</v>
      </c>
      <c r="N1166">
        <v>2400</v>
      </c>
    </row>
    <row r="1167" spans="1:14" x14ac:dyDescent="0.25">
      <c r="A1167">
        <v>372.57959299999999</v>
      </c>
      <c r="B1167" s="1">
        <f>DATE(2011,5,8) + TIME(13,54,36)</f>
        <v>40671.579583333332</v>
      </c>
      <c r="C1167">
        <v>80</v>
      </c>
      <c r="D1167">
        <v>79.974601746000005</v>
      </c>
      <c r="E1167">
        <v>50</v>
      </c>
      <c r="F1167">
        <v>49.310581206999998</v>
      </c>
      <c r="G1167">
        <v>1336.6584473</v>
      </c>
      <c r="H1167">
        <v>1334.8477783000001</v>
      </c>
      <c r="I1167">
        <v>1328.8649902</v>
      </c>
      <c r="J1167">
        <v>1328.0742187999999</v>
      </c>
      <c r="K1167">
        <v>2400</v>
      </c>
      <c r="L1167">
        <v>0</v>
      </c>
      <c r="M1167">
        <v>0</v>
      </c>
      <c r="N1167">
        <v>2400</v>
      </c>
    </row>
    <row r="1168" spans="1:14" x14ac:dyDescent="0.25">
      <c r="A1168">
        <v>372.78427699999997</v>
      </c>
      <c r="B1168" s="1">
        <f>DATE(2011,5,8) + TIME(18,49,21)</f>
        <v>40671.784270833334</v>
      </c>
      <c r="C1168">
        <v>80</v>
      </c>
      <c r="D1168">
        <v>79.974540709999999</v>
      </c>
      <c r="E1168">
        <v>50</v>
      </c>
      <c r="F1168">
        <v>49.295875549000002</v>
      </c>
      <c r="G1168">
        <v>1336.6525879000001</v>
      </c>
      <c r="H1168">
        <v>1334.8466797000001</v>
      </c>
      <c r="I1168">
        <v>1328.8607178</v>
      </c>
      <c r="J1168">
        <v>1328.0682373</v>
      </c>
      <c r="K1168">
        <v>2400</v>
      </c>
      <c r="L1168">
        <v>0</v>
      </c>
      <c r="M1168">
        <v>0</v>
      </c>
      <c r="N1168">
        <v>2400</v>
      </c>
    </row>
    <row r="1169" spans="1:14" x14ac:dyDescent="0.25">
      <c r="A1169">
        <v>372.98987399999999</v>
      </c>
      <c r="B1169" s="1">
        <f>DATE(2011,5,8) + TIME(23,45,25)</f>
        <v>40671.989872685182</v>
      </c>
      <c r="C1169">
        <v>80</v>
      </c>
      <c r="D1169">
        <v>79.974479674999998</v>
      </c>
      <c r="E1169">
        <v>50</v>
      </c>
      <c r="F1169">
        <v>49.281135558999999</v>
      </c>
      <c r="G1169">
        <v>1336.6469727000001</v>
      </c>
      <c r="H1169">
        <v>1334.8455810999999</v>
      </c>
      <c r="I1169">
        <v>1328.8564452999999</v>
      </c>
      <c r="J1169">
        <v>1328.0622559000001</v>
      </c>
      <c r="K1169">
        <v>2400</v>
      </c>
      <c r="L1169">
        <v>0</v>
      </c>
      <c r="M1169">
        <v>0</v>
      </c>
      <c r="N1169">
        <v>2400</v>
      </c>
    </row>
    <row r="1170" spans="1:14" x14ac:dyDescent="0.25">
      <c r="A1170">
        <v>373.19698399999999</v>
      </c>
      <c r="B1170" s="1">
        <f>DATE(2011,5,9) + TIME(4,43,39)</f>
        <v>40672.196979166663</v>
      </c>
      <c r="C1170">
        <v>80</v>
      </c>
      <c r="D1170">
        <v>79.974418639999996</v>
      </c>
      <c r="E1170">
        <v>50</v>
      </c>
      <c r="F1170">
        <v>49.266334534000002</v>
      </c>
      <c r="G1170">
        <v>1336.6413574000001</v>
      </c>
      <c r="H1170">
        <v>1334.8446045000001</v>
      </c>
      <c r="I1170">
        <v>1328.8521728999999</v>
      </c>
      <c r="J1170">
        <v>1328.0562743999999</v>
      </c>
      <c r="K1170">
        <v>2400</v>
      </c>
      <c r="L1170">
        <v>0</v>
      </c>
      <c r="M1170">
        <v>0</v>
      </c>
      <c r="N1170">
        <v>2400</v>
      </c>
    </row>
    <row r="1171" spans="1:14" x14ac:dyDescent="0.25">
      <c r="A1171">
        <v>373.406271</v>
      </c>
      <c r="B1171" s="1">
        <f>DATE(2011,5,9) + TIME(9,45,1)</f>
        <v>40672.406261574077</v>
      </c>
      <c r="C1171">
        <v>80</v>
      </c>
      <c r="D1171">
        <v>79.974357604999994</v>
      </c>
      <c r="E1171">
        <v>50</v>
      </c>
      <c r="F1171">
        <v>49.251434326000002</v>
      </c>
      <c r="G1171">
        <v>1336.6358643000001</v>
      </c>
      <c r="H1171">
        <v>1334.8436279</v>
      </c>
      <c r="I1171">
        <v>1328.8479004000001</v>
      </c>
      <c r="J1171">
        <v>1328.0501709</v>
      </c>
      <c r="K1171">
        <v>2400</v>
      </c>
      <c r="L1171">
        <v>0</v>
      </c>
      <c r="M1171">
        <v>0</v>
      </c>
      <c r="N1171">
        <v>2400</v>
      </c>
    </row>
    <row r="1172" spans="1:14" x14ac:dyDescent="0.25">
      <c r="A1172">
        <v>373.61827899999997</v>
      </c>
      <c r="B1172" s="1">
        <f>DATE(2011,5,9) + TIME(14,50,19)</f>
        <v>40672.618275462963</v>
      </c>
      <c r="C1172">
        <v>80</v>
      </c>
      <c r="D1172">
        <v>79.974296570000007</v>
      </c>
      <c r="E1172">
        <v>50</v>
      </c>
      <c r="F1172">
        <v>49.236412047999998</v>
      </c>
      <c r="G1172">
        <v>1336.6306152</v>
      </c>
      <c r="H1172">
        <v>1334.8426514</v>
      </c>
      <c r="I1172">
        <v>1328.8436279</v>
      </c>
      <c r="J1172">
        <v>1328.0440673999999</v>
      </c>
      <c r="K1172">
        <v>2400</v>
      </c>
      <c r="L1172">
        <v>0</v>
      </c>
      <c r="M1172">
        <v>0</v>
      </c>
      <c r="N1172">
        <v>2400</v>
      </c>
    </row>
    <row r="1173" spans="1:14" x14ac:dyDescent="0.25">
      <c r="A1173">
        <v>373.83360199999998</v>
      </c>
      <c r="B1173" s="1">
        <f>DATE(2011,5,9) + TIME(20,0,23)</f>
        <v>40672.833599537036</v>
      </c>
      <c r="C1173">
        <v>80</v>
      </c>
      <c r="D1173">
        <v>79.974235535000005</v>
      </c>
      <c r="E1173">
        <v>50</v>
      </c>
      <c r="F1173">
        <v>49.221237183</v>
      </c>
      <c r="G1173">
        <v>1336.6252440999999</v>
      </c>
      <c r="H1173">
        <v>1334.8417969</v>
      </c>
      <c r="I1173">
        <v>1328.8392334</v>
      </c>
      <c r="J1173">
        <v>1328.0378418</v>
      </c>
      <c r="K1173">
        <v>2400</v>
      </c>
      <c r="L1173">
        <v>0</v>
      </c>
      <c r="M1173">
        <v>0</v>
      </c>
      <c r="N1173">
        <v>2400</v>
      </c>
    </row>
    <row r="1174" spans="1:14" x14ac:dyDescent="0.25">
      <c r="A1174">
        <v>374.05287499999997</v>
      </c>
      <c r="B1174" s="1">
        <f>DATE(2011,5,10) + TIME(1,16,8)</f>
        <v>40673.052870370368</v>
      </c>
      <c r="C1174">
        <v>80</v>
      </c>
      <c r="D1174">
        <v>79.974182128999999</v>
      </c>
      <c r="E1174">
        <v>50</v>
      </c>
      <c r="F1174">
        <v>49.205875397</v>
      </c>
      <c r="G1174">
        <v>1336.6201172000001</v>
      </c>
      <c r="H1174">
        <v>1334.8409423999999</v>
      </c>
      <c r="I1174">
        <v>1328.8347168</v>
      </c>
      <c r="J1174">
        <v>1328.0314940999999</v>
      </c>
      <c r="K1174">
        <v>2400</v>
      </c>
      <c r="L1174">
        <v>0</v>
      </c>
      <c r="M1174">
        <v>0</v>
      </c>
      <c r="N1174">
        <v>2400</v>
      </c>
    </row>
    <row r="1175" spans="1:14" x14ac:dyDescent="0.25">
      <c r="A1175">
        <v>374.27677799999998</v>
      </c>
      <c r="B1175" s="1">
        <f>DATE(2011,5,10) + TIME(6,38,33)</f>
        <v>40673.276770833334</v>
      </c>
      <c r="C1175">
        <v>80</v>
      </c>
      <c r="D1175">
        <v>79.974121093999997</v>
      </c>
      <c r="E1175">
        <v>50</v>
      </c>
      <c r="F1175">
        <v>49.190284728999998</v>
      </c>
      <c r="G1175">
        <v>1336.6149902</v>
      </c>
      <c r="H1175">
        <v>1334.8402100000001</v>
      </c>
      <c r="I1175">
        <v>1328.8302002</v>
      </c>
      <c r="J1175">
        <v>1328.0251464999999</v>
      </c>
      <c r="K1175">
        <v>2400</v>
      </c>
      <c r="L1175">
        <v>0</v>
      </c>
      <c r="M1175">
        <v>0</v>
      </c>
      <c r="N1175">
        <v>2400</v>
      </c>
    </row>
    <row r="1176" spans="1:14" x14ac:dyDescent="0.25">
      <c r="A1176">
        <v>374.50604399999997</v>
      </c>
      <c r="B1176" s="1">
        <f>DATE(2011,5,10) + TIME(12,8,42)</f>
        <v>40673.506041666667</v>
      </c>
      <c r="C1176">
        <v>80</v>
      </c>
      <c r="D1176">
        <v>79.974060058999996</v>
      </c>
      <c r="E1176">
        <v>50</v>
      </c>
      <c r="F1176">
        <v>49.174430846999996</v>
      </c>
      <c r="G1176">
        <v>1336.6098632999999</v>
      </c>
      <c r="H1176">
        <v>1334.8394774999999</v>
      </c>
      <c r="I1176">
        <v>1328.8255615</v>
      </c>
      <c r="J1176">
        <v>1328.0185547000001</v>
      </c>
      <c r="K1176">
        <v>2400</v>
      </c>
      <c r="L1176">
        <v>0</v>
      </c>
      <c r="M1176">
        <v>0</v>
      </c>
      <c r="N1176">
        <v>2400</v>
      </c>
    </row>
    <row r="1177" spans="1:14" x14ac:dyDescent="0.25">
      <c r="A1177">
        <v>374.74113799999998</v>
      </c>
      <c r="B1177" s="1">
        <f>DATE(2011,5,10) + TIME(17,47,14)</f>
        <v>40673.74113425926</v>
      </c>
      <c r="C1177">
        <v>80</v>
      </c>
      <c r="D1177">
        <v>79.973999023000005</v>
      </c>
      <c r="E1177">
        <v>50</v>
      </c>
      <c r="F1177">
        <v>49.158287047999998</v>
      </c>
      <c r="G1177">
        <v>1336.6047363</v>
      </c>
      <c r="H1177">
        <v>1334.8387451000001</v>
      </c>
      <c r="I1177">
        <v>1328.8209228999999</v>
      </c>
      <c r="J1177">
        <v>1328.0119629000001</v>
      </c>
      <c r="K1177">
        <v>2400</v>
      </c>
      <c r="L1177">
        <v>0</v>
      </c>
      <c r="M1177">
        <v>0</v>
      </c>
      <c r="N1177">
        <v>2400</v>
      </c>
    </row>
    <row r="1178" spans="1:14" x14ac:dyDescent="0.25">
      <c r="A1178">
        <v>374.97907700000002</v>
      </c>
      <c r="B1178" s="1">
        <f>DATE(2011,5,10) + TIME(23,29,52)</f>
        <v>40673.979074074072</v>
      </c>
      <c r="C1178">
        <v>80</v>
      </c>
      <c r="D1178">
        <v>79.973937988000003</v>
      </c>
      <c r="E1178">
        <v>50</v>
      </c>
      <c r="F1178">
        <v>49.142021178999997</v>
      </c>
      <c r="G1178">
        <v>1336.5997314000001</v>
      </c>
      <c r="H1178">
        <v>1334.8380127</v>
      </c>
      <c r="I1178">
        <v>1328.8161620999999</v>
      </c>
      <c r="J1178">
        <v>1328.0051269999999</v>
      </c>
      <c r="K1178">
        <v>2400</v>
      </c>
      <c r="L1178">
        <v>0</v>
      </c>
      <c r="M1178">
        <v>0</v>
      </c>
      <c r="N1178">
        <v>2400</v>
      </c>
    </row>
    <row r="1179" spans="1:14" x14ac:dyDescent="0.25">
      <c r="A1179">
        <v>375.22047199999997</v>
      </c>
      <c r="B1179" s="1">
        <f>DATE(2011,5,11) + TIME(5,17,28)</f>
        <v>40674.220462962963</v>
      </c>
      <c r="C1179">
        <v>80</v>
      </c>
      <c r="D1179">
        <v>79.973876953000001</v>
      </c>
      <c r="E1179">
        <v>50</v>
      </c>
      <c r="F1179">
        <v>49.125598906999997</v>
      </c>
      <c r="G1179">
        <v>1336.5947266000001</v>
      </c>
      <c r="H1179">
        <v>1334.8372803</v>
      </c>
      <c r="I1179">
        <v>1328.8112793</v>
      </c>
      <c r="J1179">
        <v>1327.9982910000001</v>
      </c>
      <c r="K1179">
        <v>2400</v>
      </c>
      <c r="L1179">
        <v>0</v>
      </c>
      <c r="M1179">
        <v>0</v>
      </c>
      <c r="N1179">
        <v>2400</v>
      </c>
    </row>
    <row r="1180" spans="1:14" x14ac:dyDescent="0.25">
      <c r="A1180">
        <v>375.46598299999999</v>
      </c>
      <c r="B1180" s="1">
        <f>DATE(2011,5,11) + TIME(11,11,0)</f>
        <v>40674.46597222222</v>
      </c>
      <c r="C1180">
        <v>80</v>
      </c>
      <c r="D1180">
        <v>79.973815918</v>
      </c>
      <c r="E1180">
        <v>50</v>
      </c>
      <c r="F1180">
        <v>49.108997344999999</v>
      </c>
      <c r="G1180">
        <v>1336.5897216999999</v>
      </c>
      <c r="H1180">
        <v>1334.8366699000001</v>
      </c>
      <c r="I1180">
        <v>1328.8063964999999</v>
      </c>
      <c r="J1180">
        <v>1327.9914550999999</v>
      </c>
      <c r="K1180">
        <v>2400</v>
      </c>
      <c r="L1180">
        <v>0</v>
      </c>
      <c r="M1180">
        <v>0</v>
      </c>
      <c r="N1180">
        <v>2400</v>
      </c>
    </row>
    <row r="1181" spans="1:14" x14ac:dyDescent="0.25">
      <c r="A1181">
        <v>375.71635600000002</v>
      </c>
      <c r="B1181" s="1">
        <f>DATE(2011,5,11) + TIME(17,11,33)</f>
        <v>40674.716354166667</v>
      </c>
      <c r="C1181">
        <v>80</v>
      </c>
      <c r="D1181">
        <v>79.973754882999998</v>
      </c>
      <c r="E1181">
        <v>50</v>
      </c>
      <c r="F1181">
        <v>49.092170715000002</v>
      </c>
      <c r="G1181">
        <v>1336.5848389</v>
      </c>
      <c r="H1181">
        <v>1334.8359375</v>
      </c>
      <c r="I1181">
        <v>1328.8013916</v>
      </c>
      <c r="J1181">
        <v>1327.984375</v>
      </c>
      <c r="K1181">
        <v>2400</v>
      </c>
      <c r="L1181">
        <v>0</v>
      </c>
      <c r="M1181">
        <v>0</v>
      </c>
      <c r="N1181">
        <v>2400</v>
      </c>
    </row>
    <row r="1182" spans="1:14" x14ac:dyDescent="0.25">
      <c r="A1182">
        <v>375.97239300000001</v>
      </c>
      <c r="B1182" s="1">
        <f>DATE(2011,5,11) + TIME(23,20,14)</f>
        <v>40674.972384259258</v>
      </c>
      <c r="C1182">
        <v>80</v>
      </c>
      <c r="D1182">
        <v>79.973701477000006</v>
      </c>
      <c r="E1182">
        <v>50</v>
      </c>
      <c r="F1182">
        <v>49.075088501000003</v>
      </c>
      <c r="G1182">
        <v>1336.5800781</v>
      </c>
      <c r="H1182">
        <v>1334.8353271000001</v>
      </c>
      <c r="I1182">
        <v>1328.7962646000001</v>
      </c>
      <c r="J1182">
        <v>1327.9771728999999</v>
      </c>
      <c r="K1182">
        <v>2400</v>
      </c>
      <c r="L1182">
        <v>0</v>
      </c>
      <c r="M1182">
        <v>0</v>
      </c>
      <c r="N1182">
        <v>2400</v>
      </c>
    </row>
    <row r="1183" spans="1:14" x14ac:dyDescent="0.25">
      <c r="A1183">
        <v>376.23504600000001</v>
      </c>
      <c r="B1183" s="1">
        <f>DATE(2011,5,12) + TIME(5,38,27)</f>
        <v>40675.235034722224</v>
      </c>
      <c r="C1183">
        <v>80</v>
      </c>
      <c r="D1183">
        <v>79.973640442000004</v>
      </c>
      <c r="E1183">
        <v>50</v>
      </c>
      <c r="F1183">
        <v>49.057693481000001</v>
      </c>
      <c r="G1183">
        <v>1336.5753173999999</v>
      </c>
      <c r="H1183">
        <v>1334.8347168</v>
      </c>
      <c r="I1183">
        <v>1328.7911377</v>
      </c>
      <c r="J1183">
        <v>1327.9698486</v>
      </c>
      <c r="K1183">
        <v>2400</v>
      </c>
      <c r="L1183">
        <v>0</v>
      </c>
      <c r="M1183">
        <v>0</v>
      </c>
      <c r="N1183">
        <v>2400</v>
      </c>
    </row>
    <row r="1184" spans="1:14" x14ac:dyDescent="0.25">
      <c r="A1184">
        <v>376.50530900000001</v>
      </c>
      <c r="B1184" s="1">
        <f>DATE(2011,5,12) + TIME(12,7,38)</f>
        <v>40675.505300925928</v>
      </c>
      <c r="C1184">
        <v>80</v>
      </c>
      <c r="D1184">
        <v>79.973579407000003</v>
      </c>
      <c r="E1184">
        <v>50</v>
      </c>
      <c r="F1184">
        <v>49.039936066000003</v>
      </c>
      <c r="G1184">
        <v>1336.5704346</v>
      </c>
      <c r="H1184">
        <v>1334.8339844</v>
      </c>
      <c r="I1184">
        <v>1328.7857666</v>
      </c>
      <c r="J1184">
        <v>1327.9624022999999</v>
      </c>
      <c r="K1184">
        <v>2400</v>
      </c>
      <c r="L1184">
        <v>0</v>
      </c>
      <c r="M1184">
        <v>0</v>
      </c>
      <c r="N1184">
        <v>2400</v>
      </c>
    </row>
    <row r="1185" spans="1:14" x14ac:dyDescent="0.25">
      <c r="A1185">
        <v>376.78432600000002</v>
      </c>
      <c r="B1185" s="1">
        <f>DATE(2011,5,12) + TIME(18,49,25)</f>
        <v>40675.784317129626</v>
      </c>
      <c r="C1185">
        <v>80</v>
      </c>
      <c r="D1185">
        <v>79.973526000999996</v>
      </c>
      <c r="E1185">
        <v>50</v>
      </c>
      <c r="F1185">
        <v>49.021762848000002</v>
      </c>
      <c r="G1185">
        <v>1336.5656738</v>
      </c>
      <c r="H1185">
        <v>1334.833374</v>
      </c>
      <c r="I1185">
        <v>1328.7803954999999</v>
      </c>
      <c r="J1185">
        <v>1327.9547118999999</v>
      </c>
      <c r="K1185">
        <v>2400</v>
      </c>
      <c r="L1185">
        <v>0</v>
      </c>
      <c r="M1185">
        <v>0</v>
      </c>
      <c r="N1185">
        <v>2400</v>
      </c>
    </row>
    <row r="1186" spans="1:14" x14ac:dyDescent="0.25">
      <c r="A1186">
        <v>377.073306</v>
      </c>
      <c r="B1186" s="1">
        <f>DATE(2011,5,13) + TIME(1,45,33)</f>
        <v>40676.073298611111</v>
      </c>
      <c r="C1186">
        <v>80</v>
      </c>
      <c r="D1186">
        <v>79.973464965999995</v>
      </c>
      <c r="E1186">
        <v>50</v>
      </c>
      <c r="F1186">
        <v>49.003108978</v>
      </c>
      <c r="G1186">
        <v>1336.5609131000001</v>
      </c>
      <c r="H1186">
        <v>1334.8327637</v>
      </c>
      <c r="I1186">
        <v>1328.7747803</v>
      </c>
      <c r="J1186">
        <v>1327.9468993999999</v>
      </c>
      <c r="K1186">
        <v>2400</v>
      </c>
      <c r="L1186">
        <v>0</v>
      </c>
      <c r="M1186">
        <v>0</v>
      </c>
      <c r="N1186">
        <v>2400</v>
      </c>
    </row>
    <row r="1187" spans="1:14" x14ac:dyDescent="0.25">
      <c r="A1187">
        <v>377.37580600000001</v>
      </c>
      <c r="B1187" s="1">
        <f>DATE(2011,5,13) + TIME(9,1,9)</f>
        <v>40676.375798611109</v>
      </c>
      <c r="C1187">
        <v>80</v>
      </c>
      <c r="D1187">
        <v>79.973403931000007</v>
      </c>
      <c r="E1187">
        <v>50</v>
      </c>
      <c r="F1187">
        <v>48.983795166</v>
      </c>
      <c r="G1187">
        <v>1336.5560303</v>
      </c>
      <c r="H1187">
        <v>1334.8321533000001</v>
      </c>
      <c r="I1187">
        <v>1328.769043</v>
      </c>
      <c r="J1187">
        <v>1327.9387207</v>
      </c>
      <c r="K1187">
        <v>2400</v>
      </c>
      <c r="L1187">
        <v>0</v>
      </c>
      <c r="M1187">
        <v>0</v>
      </c>
      <c r="N1187">
        <v>2400</v>
      </c>
    </row>
    <row r="1188" spans="1:14" x14ac:dyDescent="0.25">
      <c r="A1188">
        <v>377.68197600000002</v>
      </c>
      <c r="B1188" s="1">
        <f>DATE(2011,5,13) + TIME(16,22,2)</f>
        <v>40676.681967592594</v>
      </c>
      <c r="C1188">
        <v>80</v>
      </c>
      <c r="D1188">
        <v>79.973342896000005</v>
      </c>
      <c r="E1188">
        <v>50</v>
      </c>
      <c r="F1188">
        <v>48.964298247999999</v>
      </c>
      <c r="G1188">
        <v>1336.5511475000001</v>
      </c>
      <c r="H1188">
        <v>1334.831543</v>
      </c>
      <c r="I1188">
        <v>1328.7630615</v>
      </c>
      <c r="J1188">
        <v>1327.9302978999999</v>
      </c>
      <c r="K1188">
        <v>2400</v>
      </c>
      <c r="L1188">
        <v>0</v>
      </c>
      <c r="M1188">
        <v>0</v>
      </c>
      <c r="N1188">
        <v>2400</v>
      </c>
    </row>
    <row r="1189" spans="1:14" x14ac:dyDescent="0.25">
      <c r="A1189">
        <v>377.98945300000003</v>
      </c>
      <c r="B1189" s="1">
        <f>DATE(2011,5,13) + TIME(23,44,48)</f>
        <v>40676.989444444444</v>
      </c>
      <c r="C1189">
        <v>80</v>
      </c>
      <c r="D1189">
        <v>79.97328186</v>
      </c>
      <c r="E1189">
        <v>50</v>
      </c>
      <c r="F1189">
        <v>48.944747925000001</v>
      </c>
      <c r="G1189">
        <v>1336.5462646000001</v>
      </c>
      <c r="H1189">
        <v>1334.8310547000001</v>
      </c>
      <c r="I1189">
        <v>1328.7570800999999</v>
      </c>
      <c r="J1189">
        <v>1327.921875</v>
      </c>
      <c r="K1189">
        <v>2400</v>
      </c>
      <c r="L1189">
        <v>0</v>
      </c>
      <c r="M1189">
        <v>0</v>
      </c>
      <c r="N1189">
        <v>2400</v>
      </c>
    </row>
    <row r="1190" spans="1:14" x14ac:dyDescent="0.25">
      <c r="A1190">
        <v>378.29935699999999</v>
      </c>
      <c r="B1190" s="1">
        <f>DATE(2011,5,14) + TIME(7,11,4)</f>
        <v>40677.299351851849</v>
      </c>
      <c r="C1190">
        <v>80</v>
      </c>
      <c r="D1190">
        <v>79.973228454999997</v>
      </c>
      <c r="E1190">
        <v>50</v>
      </c>
      <c r="F1190">
        <v>48.925113678000002</v>
      </c>
      <c r="G1190">
        <v>1336.541626</v>
      </c>
      <c r="H1190">
        <v>1334.8304443</v>
      </c>
      <c r="I1190">
        <v>1328.7509766000001</v>
      </c>
      <c r="J1190">
        <v>1327.9133300999999</v>
      </c>
      <c r="K1190">
        <v>2400</v>
      </c>
      <c r="L1190">
        <v>0</v>
      </c>
      <c r="M1190">
        <v>0</v>
      </c>
      <c r="N1190">
        <v>2400</v>
      </c>
    </row>
    <row r="1191" spans="1:14" x14ac:dyDescent="0.25">
      <c r="A1191">
        <v>378.61291999999997</v>
      </c>
      <c r="B1191" s="1">
        <f>DATE(2011,5,14) + TIME(14,42,36)</f>
        <v>40677.612916666665</v>
      </c>
      <c r="C1191">
        <v>80</v>
      </c>
      <c r="D1191">
        <v>79.973167419000006</v>
      </c>
      <c r="E1191">
        <v>50</v>
      </c>
      <c r="F1191">
        <v>48.905357361</v>
      </c>
      <c r="G1191">
        <v>1336.5369873</v>
      </c>
      <c r="H1191">
        <v>1334.8299560999999</v>
      </c>
      <c r="I1191">
        <v>1328.7448730000001</v>
      </c>
      <c r="J1191">
        <v>1327.9047852000001</v>
      </c>
      <c r="K1191">
        <v>2400</v>
      </c>
      <c r="L1191">
        <v>0</v>
      </c>
      <c r="M1191">
        <v>0</v>
      </c>
      <c r="N1191">
        <v>2400</v>
      </c>
    </row>
    <row r="1192" spans="1:14" x14ac:dyDescent="0.25">
      <c r="A1192">
        <v>378.93115599999999</v>
      </c>
      <c r="B1192" s="1">
        <f>DATE(2011,5,14) + TIME(22,20,51)</f>
        <v>40677.931145833332</v>
      </c>
      <c r="C1192">
        <v>80</v>
      </c>
      <c r="D1192">
        <v>79.973114014000004</v>
      </c>
      <c r="E1192">
        <v>50</v>
      </c>
      <c r="F1192">
        <v>48.885433196999998</v>
      </c>
      <c r="G1192">
        <v>1336.5324707</v>
      </c>
      <c r="H1192">
        <v>1334.8294678</v>
      </c>
      <c r="I1192">
        <v>1328.7387695</v>
      </c>
      <c r="J1192">
        <v>1327.8959961</v>
      </c>
      <c r="K1192">
        <v>2400</v>
      </c>
      <c r="L1192">
        <v>0</v>
      </c>
      <c r="M1192">
        <v>0</v>
      </c>
      <c r="N1192">
        <v>2400</v>
      </c>
    </row>
    <row r="1193" spans="1:14" x14ac:dyDescent="0.25">
      <c r="A1193">
        <v>379.25528300000002</v>
      </c>
      <c r="B1193" s="1">
        <f>DATE(2011,5,15) + TIME(6,7,36)</f>
        <v>40678.255277777775</v>
      </c>
      <c r="C1193">
        <v>80</v>
      </c>
      <c r="D1193">
        <v>79.973052979000002</v>
      </c>
      <c r="E1193">
        <v>50</v>
      </c>
      <c r="F1193">
        <v>48.865299225000001</v>
      </c>
      <c r="G1193">
        <v>1336.5279541</v>
      </c>
      <c r="H1193">
        <v>1334.8289795000001</v>
      </c>
      <c r="I1193">
        <v>1328.7324219</v>
      </c>
      <c r="J1193">
        <v>1327.8873291</v>
      </c>
      <c r="K1193">
        <v>2400</v>
      </c>
      <c r="L1193">
        <v>0</v>
      </c>
      <c r="M1193">
        <v>0</v>
      </c>
      <c r="N1193">
        <v>2400</v>
      </c>
    </row>
    <row r="1194" spans="1:14" x14ac:dyDescent="0.25">
      <c r="A1194">
        <v>379.58675699999998</v>
      </c>
      <c r="B1194" s="1">
        <f>DATE(2011,5,15) + TIME(14,4,55)</f>
        <v>40678.586747685185</v>
      </c>
      <c r="C1194">
        <v>80</v>
      </c>
      <c r="D1194">
        <v>79.972999572999996</v>
      </c>
      <c r="E1194">
        <v>50</v>
      </c>
      <c r="F1194">
        <v>48.844879149999997</v>
      </c>
      <c r="G1194">
        <v>1336.5235596</v>
      </c>
      <c r="H1194">
        <v>1334.8284911999999</v>
      </c>
      <c r="I1194">
        <v>1328.7261963000001</v>
      </c>
      <c r="J1194">
        <v>1327.878418</v>
      </c>
      <c r="K1194">
        <v>2400</v>
      </c>
      <c r="L1194">
        <v>0</v>
      </c>
      <c r="M1194">
        <v>0</v>
      </c>
      <c r="N1194">
        <v>2400</v>
      </c>
    </row>
    <row r="1195" spans="1:14" x14ac:dyDescent="0.25">
      <c r="A1195">
        <v>379.92703899999998</v>
      </c>
      <c r="B1195" s="1">
        <f>DATE(2011,5,15) + TIME(22,14,56)</f>
        <v>40678.927037037036</v>
      </c>
      <c r="C1195">
        <v>80</v>
      </c>
      <c r="D1195">
        <v>79.972946167000003</v>
      </c>
      <c r="E1195">
        <v>50</v>
      </c>
      <c r="F1195">
        <v>48.824111938000001</v>
      </c>
      <c r="G1195">
        <v>1336.5191649999999</v>
      </c>
      <c r="H1195">
        <v>1334.8280029</v>
      </c>
      <c r="I1195">
        <v>1328.7197266000001</v>
      </c>
      <c r="J1195">
        <v>1327.8692627</v>
      </c>
      <c r="K1195">
        <v>2400</v>
      </c>
      <c r="L1195">
        <v>0</v>
      </c>
      <c r="M1195">
        <v>0</v>
      </c>
      <c r="N1195">
        <v>2400</v>
      </c>
    </row>
    <row r="1196" spans="1:14" x14ac:dyDescent="0.25">
      <c r="A1196">
        <v>380.27762000000001</v>
      </c>
      <c r="B1196" s="1">
        <f>DATE(2011,5,16) + TIME(6,39,46)</f>
        <v>40679.277615740742</v>
      </c>
      <c r="C1196">
        <v>80</v>
      </c>
      <c r="D1196">
        <v>79.972892760999997</v>
      </c>
      <c r="E1196">
        <v>50</v>
      </c>
      <c r="F1196">
        <v>48.802928925000003</v>
      </c>
      <c r="G1196">
        <v>1336.5147704999999</v>
      </c>
      <c r="H1196">
        <v>1334.8275146000001</v>
      </c>
      <c r="I1196">
        <v>1328.7131348</v>
      </c>
      <c r="J1196">
        <v>1327.8599853999999</v>
      </c>
      <c r="K1196">
        <v>2400</v>
      </c>
      <c r="L1196">
        <v>0</v>
      </c>
      <c r="M1196">
        <v>0</v>
      </c>
      <c r="N1196">
        <v>2400</v>
      </c>
    </row>
    <row r="1197" spans="1:14" x14ac:dyDescent="0.25">
      <c r="A1197">
        <v>380.63337799999999</v>
      </c>
      <c r="B1197" s="1">
        <f>DATE(2011,5,16) + TIME(15,12,3)</f>
        <v>40679.633368055554</v>
      </c>
      <c r="C1197">
        <v>80</v>
      </c>
      <c r="D1197">
        <v>79.972831725999995</v>
      </c>
      <c r="E1197">
        <v>50</v>
      </c>
      <c r="F1197">
        <v>48.781543732000003</v>
      </c>
      <c r="G1197">
        <v>1336.510376</v>
      </c>
      <c r="H1197">
        <v>1334.8270264</v>
      </c>
      <c r="I1197">
        <v>1328.7064209</v>
      </c>
      <c r="J1197">
        <v>1327.8505858999999</v>
      </c>
      <c r="K1197">
        <v>2400</v>
      </c>
      <c r="L1197">
        <v>0</v>
      </c>
      <c r="M1197">
        <v>0</v>
      </c>
      <c r="N1197">
        <v>2400</v>
      </c>
    </row>
    <row r="1198" spans="1:14" x14ac:dyDescent="0.25">
      <c r="A1198">
        <v>380.992414</v>
      </c>
      <c r="B1198" s="1">
        <f>DATE(2011,5,16) + TIME(23,49,4)</f>
        <v>40679.992407407408</v>
      </c>
      <c r="C1198">
        <v>80</v>
      </c>
      <c r="D1198">
        <v>79.972778320000003</v>
      </c>
      <c r="E1198">
        <v>50</v>
      </c>
      <c r="F1198">
        <v>48.760059357000003</v>
      </c>
      <c r="G1198">
        <v>1336.5061035000001</v>
      </c>
      <c r="H1198">
        <v>1334.8265381000001</v>
      </c>
      <c r="I1198">
        <v>1328.6995850000001</v>
      </c>
      <c r="J1198">
        <v>1327.8409423999999</v>
      </c>
      <c r="K1198">
        <v>2400</v>
      </c>
      <c r="L1198">
        <v>0</v>
      </c>
      <c r="M1198">
        <v>0</v>
      </c>
      <c r="N1198">
        <v>2400</v>
      </c>
    </row>
    <row r="1199" spans="1:14" x14ac:dyDescent="0.25">
      <c r="A1199">
        <v>381.356155</v>
      </c>
      <c r="B1199" s="1">
        <f>DATE(2011,5,17) + TIME(8,32,51)</f>
        <v>40680.356145833335</v>
      </c>
      <c r="C1199">
        <v>80</v>
      </c>
      <c r="D1199">
        <v>79.972724915000001</v>
      </c>
      <c r="E1199">
        <v>50</v>
      </c>
      <c r="F1199">
        <v>48.738426208</v>
      </c>
      <c r="G1199">
        <v>1336.5018310999999</v>
      </c>
      <c r="H1199">
        <v>1334.8261719</v>
      </c>
      <c r="I1199">
        <v>1328.692749</v>
      </c>
      <c r="J1199">
        <v>1327.8312988</v>
      </c>
      <c r="K1199">
        <v>2400</v>
      </c>
      <c r="L1199">
        <v>0</v>
      </c>
      <c r="M1199">
        <v>0</v>
      </c>
      <c r="N1199">
        <v>2400</v>
      </c>
    </row>
    <row r="1200" spans="1:14" x14ac:dyDescent="0.25">
      <c r="A1200">
        <v>381.72621500000002</v>
      </c>
      <c r="B1200" s="1">
        <f>DATE(2011,5,17) + TIME(17,25,44)</f>
        <v>40680.726203703707</v>
      </c>
      <c r="C1200">
        <v>80</v>
      </c>
      <c r="D1200">
        <v>79.972671508999994</v>
      </c>
      <c r="E1200">
        <v>50</v>
      </c>
      <c r="F1200">
        <v>48.716587066999999</v>
      </c>
      <c r="G1200">
        <v>1336.4976807</v>
      </c>
      <c r="H1200">
        <v>1334.8256836</v>
      </c>
      <c r="I1200">
        <v>1328.6857910000001</v>
      </c>
      <c r="J1200">
        <v>1327.8215332</v>
      </c>
      <c r="K1200">
        <v>2400</v>
      </c>
      <c r="L1200">
        <v>0</v>
      </c>
      <c r="M1200">
        <v>0</v>
      </c>
      <c r="N1200">
        <v>2400</v>
      </c>
    </row>
    <row r="1201" spans="1:14" x14ac:dyDescent="0.25">
      <c r="A1201">
        <v>382.10388</v>
      </c>
      <c r="B1201" s="1">
        <f>DATE(2011,5,18) + TIME(2,29,35)</f>
        <v>40681.103877314818</v>
      </c>
      <c r="C1201">
        <v>80</v>
      </c>
      <c r="D1201">
        <v>79.972625731999997</v>
      </c>
      <c r="E1201">
        <v>50</v>
      </c>
      <c r="F1201">
        <v>48.694496155000003</v>
      </c>
      <c r="G1201">
        <v>1336.4935303</v>
      </c>
      <c r="H1201">
        <v>1334.8253173999999</v>
      </c>
      <c r="I1201">
        <v>1328.6787108999999</v>
      </c>
      <c r="J1201">
        <v>1327.8116454999999</v>
      </c>
      <c r="K1201">
        <v>2400</v>
      </c>
      <c r="L1201">
        <v>0</v>
      </c>
      <c r="M1201">
        <v>0</v>
      </c>
      <c r="N1201">
        <v>2400</v>
      </c>
    </row>
    <row r="1202" spans="1:14" x14ac:dyDescent="0.25">
      <c r="A1202">
        <v>382.49057199999999</v>
      </c>
      <c r="B1202" s="1">
        <f>DATE(2011,5,18) + TIME(11,46,25)</f>
        <v>40681.490567129629</v>
      </c>
      <c r="C1202">
        <v>80</v>
      </c>
      <c r="D1202">
        <v>79.972572326999995</v>
      </c>
      <c r="E1202">
        <v>50</v>
      </c>
      <c r="F1202">
        <v>48.672088623</v>
      </c>
      <c r="G1202">
        <v>1336.4893798999999</v>
      </c>
      <c r="H1202">
        <v>1334.8249512</v>
      </c>
      <c r="I1202">
        <v>1328.6716309000001</v>
      </c>
      <c r="J1202">
        <v>1327.8016356999999</v>
      </c>
      <c r="K1202">
        <v>2400</v>
      </c>
      <c r="L1202">
        <v>0</v>
      </c>
      <c r="M1202">
        <v>0</v>
      </c>
      <c r="N1202">
        <v>2400</v>
      </c>
    </row>
    <row r="1203" spans="1:14" x14ac:dyDescent="0.25">
      <c r="A1203">
        <v>382.88784900000002</v>
      </c>
      <c r="B1203" s="1">
        <f>DATE(2011,5,18) + TIME(21,18,30)</f>
        <v>40681.88784722222</v>
      </c>
      <c r="C1203">
        <v>80</v>
      </c>
      <c r="D1203">
        <v>79.972518921000002</v>
      </c>
      <c r="E1203">
        <v>50</v>
      </c>
      <c r="F1203">
        <v>48.649299622000001</v>
      </c>
      <c r="G1203">
        <v>1336.4853516000001</v>
      </c>
      <c r="H1203">
        <v>1334.8244629000001</v>
      </c>
      <c r="I1203">
        <v>1328.6643065999999</v>
      </c>
      <c r="J1203">
        <v>1327.7913818</v>
      </c>
      <c r="K1203">
        <v>2400</v>
      </c>
      <c r="L1203">
        <v>0</v>
      </c>
      <c r="M1203">
        <v>0</v>
      </c>
      <c r="N1203">
        <v>2400</v>
      </c>
    </row>
    <row r="1204" spans="1:14" x14ac:dyDescent="0.25">
      <c r="A1204">
        <v>383.297439</v>
      </c>
      <c r="B1204" s="1">
        <f>DATE(2011,5,19) + TIME(7,8,18)</f>
        <v>40682.297430555554</v>
      </c>
      <c r="C1204">
        <v>80</v>
      </c>
      <c r="D1204">
        <v>79.972473144999995</v>
      </c>
      <c r="E1204">
        <v>50</v>
      </c>
      <c r="F1204">
        <v>48.626052856000001</v>
      </c>
      <c r="G1204">
        <v>1336.4812012</v>
      </c>
      <c r="H1204">
        <v>1334.8240966999999</v>
      </c>
      <c r="I1204">
        <v>1328.6569824000001</v>
      </c>
      <c r="J1204">
        <v>1327.7810059000001</v>
      </c>
      <c r="K1204">
        <v>2400</v>
      </c>
      <c r="L1204">
        <v>0</v>
      </c>
      <c r="M1204">
        <v>0</v>
      </c>
      <c r="N1204">
        <v>2400</v>
      </c>
    </row>
    <row r="1205" spans="1:14" x14ac:dyDescent="0.25">
      <c r="A1205">
        <v>383.72130299999998</v>
      </c>
      <c r="B1205" s="1">
        <f>DATE(2011,5,19) + TIME(17,18,40)</f>
        <v>40682.721296296295</v>
      </c>
      <c r="C1205">
        <v>80</v>
      </c>
      <c r="D1205">
        <v>79.972419739000003</v>
      </c>
      <c r="E1205">
        <v>50</v>
      </c>
      <c r="F1205">
        <v>48.602268219000003</v>
      </c>
      <c r="G1205">
        <v>1336.4771728999999</v>
      </c>
      <c r="H1205">
        <v>1334.8236084</v>
      </c>
      <c r="I1205">
        <v>1328.6492920000001</v>
      </c>
      <c r="J1205">
        <v>1327.7702637</v>
      </c>
      <c r="K1205">
        <v>2400</v>
      </c>
      <c r="L1205">
        <v>0</v>
      </c>
      <c r="M1205">
        <v>0</v>
      </c>
      <c r="N1205">
        <v>2400</v>
      </c>
    </row>
    <row r="1206" spans="1:14" x14ac:dyDescent="0.25">
      <c r="A1206">
        <v>384.16377499999999</v>
      </c>
      <c r="B1206" s="1">
        <f>DATE(2011,5,20) + TIME(3,55,50)</f>
        <v>40683.163773148146</v>
      </c>
      <c r="C1206">
        <v>80</v>
      </c>
      <c r="D1206">
        <v>79.972366332999997</v>
      </c>
      <c r="E1206">
        <v>50</v>
      </c>
      <c r="F1206">
        <v>48.577762604</v>
      </c>
      <c r="G1206">
        <v>1336.4730225000001</v>
      </c>
      <c r="H1206">
        <v>1334.8232422000001</v>
      </c>
      <c r="I1206">
        <v>1328.6414795000001</v>
      </c>
      <c r="J1206">
        <v>1327.7592772999999</v>
      </c>
      <c r="K1206">
        <v>2400</v>
      </c>
      <c r="L1206">
        <v>0</v>
      </c>
      <c r="M1206">
        <v>0</v>
      </c>
      <c r="N1206">
        <v>2400</v>
      </c>
    </row>
    <row r="1207" spans="1:14" x14ac:dyDescent="0.25">
      <c r="A1207">
        <v>384.61416400000002</v>
      </c>
      <c r="B1207" s="1">
        <f>DATE(2011,5,20) + TIME(14,44,23)</f>
        <v>40683.614155092589</v>
      </c>
      <c r="C1207">
        <v>80</v>
      </c>
      <c r="D1207">
        <v>79.972320557000003</v>
      </c>
      <c r="E1207">
        <v>50</v>
      </c>
      <c r="F1207">
        <v>48.552913666000002</v>
      </c>
      <c r="G1207">
        <v>1336.4688721</v>
      </c>
      <c r="H1207">
        <v>1334.822876</v>
      </c>
      <c r="I1207">
        <v>1328.6334228999999</v>
      </c>
      <c r="J1207">
        <v>1327.7479248</v>
      </c>
      <c r="K1207">
        <v>2400</v>
      </c>
      <c r="L1207">
        <v>0</v>
      </c>
      <c r="M1207">
        <v>0</v>
      </c>
      <c r="N1207">
        <v>2400</v>
      </c>
    </row>
    <row r="1208" spans="1:14" x14ac:dyDescent="0.25">
      <c r="A1208">
        <v>385.07032299999997</v>
      </c>
      <c r="B1208" s="1">
        <f>DATE(2011,5,21) + TIME(1,41,15)</f>
        <v>40684.0703125</v>
      </c>
      <c r="C1208">
        <v>80</v>
      </c>
      <c r="D1208">
        <v>79.972267150999997</v>
      </c>
      <c r="E1208">
        <v>50</v>
      </c>
      <c r="F1208">
        <v>48.527839661000002</v>
      </c>
      <c r="G1208">
        <v>1336.4647216999999</v>
      </c>
      <c r="H1208">
        <v>1334.8223877</v>
      </c>
      <c r="I1208">
        <v>1328.6251221</v>
      </c>
      <c r="J1208">
        <v>1327.7363281</v>
      </c>
      <c r="K1208">
        <v>2400</v>
      </c>
      <c r="L1208">
        <v>0</v>
      </c>
      <c r="M1208">
        <v>0</v>
      </c>
      <c r="N1208">
        <v>2400</v>
      </c>
    </row>
    <row r="1209" spans="1:14" x14ac:dyDescent="0.25">
      <c r="A1209">
        <v>385.53453100000002</v>
      </c>
      <c r="B1209" s="1">
        <f>DATE(2011,5,21) + TIME(12,49,43)</f>
        <v>40684.534525462965</v>
      </c>
      <c r="C1209">
        <v>80</v>
      </c>
      <c r="D1209">
        <v>79.972221375000004</v>
      </c>
      <c r="E1209">
        <v>50</v>
      </c>
      <c r="F1209">
        <v>48.502498627000001</v>
      </c>
      <c r="G1209">
        <v>1336.4605713000001</v>
      </c>
      <c r="H1209">
        <v>1334.8220214999999</v>
      </c>
      <c r="I1209">
        <v>1328.6168213000001</v>
      </c>
      <c r="J1209">
        <v>1327.7246094</v>
      </c>
      <c r="K1209">
        <v>2400</v>
      </c>
      <c r="L1209">
        <v>0</v>
      </c>
      <c r="M1209">
        <v>0</v>
      </c>
      <c r="N1209">
        <v>2400</v>
      </c>
    </row>
    <row r="1210" spans="1:14" x14ac:dyDescent="0.25">
      <c r="A1210">
        <v>386.00892399999998</v>
      </c>
      <c r="B1210" s="1">
        <f>DATE(2011,5,22) + TIME(0,12,50)</f>
        <v>40685.008912037039</v>
      </c>
      <c r="C1210">
        <v>80</v>
      </c>
      <c r="D1210">
        <v>79.972167968999997</v>
      </c>
      <c r="E1210">
        <v>50</v>
      </c>
      <c r="F1210">
        <v>48.476833343999999</v>
      </c>
      <c r="G1210">
        <v>1336.4566649999999</v>
      </c>
      <c r="H1210">
        <v>1334.8215332</v>
      </c>
      <c r="I1210">
        <v>1328.6083983999999</v>
      </c>
      <c r="J1210">
        <v>1327.7127685999999</v>
      </c>
      <c r="K1210">
        <v>2400</v>
      </c>
      <c r="L1210">
        <v>0</v>
      </c>
      <c r="M1210">
        <v>0</v>
      </c>
      <c r="N1210">
        <v>2400</v>
      </c>
    </row>
    <row r="1211" spans="1:14" x14ac:dyDescent="0.25">
      <c r="A1211">
        <v>386.495859</v>
      </c>
      <c r="B1211" s="1">
        <f>DATE(2011,5,22) + TIME(11,54,2)</f>
        <v>40685.495856481481</v>
      </c>
      <c r="C1211">
        <v>80</v>
      </c>
      <c r="D1211">
        <v>79.972122192</v>
      </c>
      <c r="E1211">
        <v>50</v>
      </c>
      <c r="F1211">
        <v>48.450767517000003</v>
      </c>
      <c r="G1211">
        <v>1336.4526367000001</v>
      </c>
      <c r="H1211">
        <v>1334.8211670000001</v>
      </c>
      <c r="I1211">
        <v>1328.5998535000001</v>
      </c>
      <c r="J1211">
        <v>1327.7008057</v>
      </c>
      <c r="K1211">
        <v>2400</v>
      </c>
      <c r="L1211">
        <v>0</v>
      </c>
      <c r="M1211">
        <v>0</v>
      </c>
      <c r="N1211">
        <v>2400</v>
      </c>
    </row>
    <row r="1212" spans="1:14" x14ac:dyDescent="0.25">
      <c r="A1212">
        <v>386.99666400000001</v>
      </c>
      <c r="B1212" s="1">
        <f>DATE(2011,5,22) + TIME(23,55,11)</f>
        <v>40685.996655092589</v>
      </c>
      <c r="C1212">
        <v>80</v>
      </c>
      <c r="D1212">
        <v>79.972076415999993</v>
      </c>
      <c r="E1212">
        <v>50</v>
      </c>
      <c r="F1212">
        <v>48.424240112</v>
      </c>
      <c r="G1212">
        <v>1336.4486084</v>
      </c>
      <c r="H1212">
        <v>1334.8208007999999</v>
      </c>
      <c r="I1212">
        <v>1328.5910644999999</v>
      </c>
      <c r="J1212">
        <v>1327.6884766000001</v>
      </c>
      <c r="K1212">
        <v>2400</v>
      </c>
      <c r="L1212">
        <v>0</v>
      </c>
      <c r="M1212">
        <v>0</v>
      </c>
      <c r="N1212">
        <v>2400</v>
      </c>
    </row>
    <row r="1213" spans="1:14" x14ac:dyDescent="0.25">
      <c r="A1213">
        <v>387.510559</v>
      </c>
      <c r="B1213" s="1">
        <f>DATE(2011,5,23) + TIME(12,15,12)</f>
        <v>40686.510555555556</v>
      </c>
      <c r="C1213">
        <v>80</v>
      </c>
      <c r="D1213">
        <v>79.97203064</v>
      </c>
      <c r="E1213">
        <v>50</v>
      </c>
      <c r="F1213">
        <v>48.397277832</v>
      </c>
      <c r="G1213">
        <v>1336.4447021000001</v>
      </c>
      <c r="H1213">
        <v>1334.8204346</v>
      </c>
      <c r="I1213">
        <v>1328.5821533000001</v>
      </c>
      <c r="J1213">
        <v>1327.6759033000001</v>
      </c>
      <c r="K1213">
        <v>2400</v>
      </c>
      <c r="L1213">
        <v>0</v>
      </c>
      <c r="M1213">
        <v>0</v>
      </c>
      <c r="N1213">
        <v>2400</v>
      </c>
    </row>
    <row r="1214" spans="1:14" x14ac:dyDescent="0.25">
      <c r="A1214">
        <v>388.040302</v>
      </c>
      <c r="B1214" s="1">
        <f>DATE(2011,5,24) + TIME(0,58,2)</f>
        <v>40687.040300925924</v>
      </c>
      <c r="C1214">
        <v>80</v>
      </c>
      <c r="D1214">
        <v>79.971977233999993</v>
      </c>
      <c r="E1214">
        <v>50</v>
      </c>
      <c r="F1214">
        <v>48.369792938000003</v>
      </c>
      <c r="G1214">
        <v>1336.4407959</v>
      </c>
      <c r="H1214">
        <v>1334.8200684000001</v>
      </c>
      <c r="I1214">
        <v>1328.5729980000001</v>
      </c>
      <c r="J1214">
        <v>1327.6630858999999</v>
      </c>
      <c r="K1214">
        <v>2400</v>
      </c>
      <c r="L1214">
        <v>0</v>
      </c>
      <c r="M1214">
        <v>0</v>
      </c>
      <c r="N1214">
        <v>2400</v>
      </c>
    </row>
    <row r="1215" spans="1:14" x14ac:dyDescent="0.25">
      <c r="A1215">
        <v>388.58482400000003</v>
      </c>
      <c r="B1215" s="1">
        <f>DATE(2011,5,24) + TIME(14,2,8)</f>
        <v>40687.584814814814</v>
      </c>
      <c r="C1215">
        <v>80</v>
      </c>
      <c r="D1215">
        <v>79.971931458</v>
      </c>
      <c r="E1215">
        <v>50</v>
      </c>
      <c r="F1215">
        <v>48.341808319000002</v>
      </c>
      <c r="G1215">
        <v>1336.4367675999999</v>
      </c>
      <c r="H1215">
        <v>1334.8197021000001</v>
      </c>
      <c r="I1215">
        <v>1328.5635986</v>
      </c>
      <c r="J1215">
        <v>1327.6500243999999</v>
      </c>
      <c r="K1215">
        <v>2400</v>
      </c>
      <c r="L1215">
        <v>0</v>
      </c>
      <c r="M1215">
        <v>0</v>
      </c>
      <c r="N1215">
        <v>2400</v>
      </c>
    </row>
    <row r="1216" spans="1:14" x14ac:dyDescent="0.25">
      <c r="A1216">
        <v>389.13110499999999</v>
      </c>
      <c r="B1216" s="1">
        <f>DATE(2011,5,25) + TIME(3,8,47)</f>
        <v>40688.131099537037</v>
      </c>
      <c r="C1216">
        <v>80</v>
      </c>
      <c r="D1216">
        <v>79.971893311000002</v>
      </c>
      <c r="E1216">
        <v>50</v>
      </c>
      <c r="F1216">
        <v>48.313739777000002</v>
      </c>
      <c r="G1216">
        <v>1336.4328613</v>
      </c>
      <c r="H1216">
        <v>1334.8192139</v>
      </c>
      <c r="I1216">
        <v>1328.5540771000001</v>
      </c>
      <c r="J1216">
        <v>1327.6367187999999</v>
      </c>
      <c r="K1216">
        <v>2400</v>
      </c>
      <c r="L1216">
        <v>0</v>
      </c>
      <c r="M1216">
        <v>0</v>
      </c>
      <c r="N1216">
        <v>2400</v>
      </c>
    </row>
    <row r="1217" spans="1:14" x14ac:dyDescent="0.25">
      <c r="A1217">
        <v>389.681442</v>
      </c>
      <c r="B1217" s="1">
        <f>DATE(2011,5,25) + TIME(16,21,16)</f>
        <v>40688.681435185186</v>
      </c>
      <c r="C1217">
        <v>80</v>
      </c>
      <c r="D1217">
        <v>79.971847534000005</v>
      </c>
      <c r="E1217">
        <v>50</v>
      </c>
      <c r="F1217">
        <v>48.285610198999997</v>
      </c>
      <c r="G1217">
        <v>1336.4289550999999</v>
      </c>
      <c r="H1217">
        <v>1334.8188477000001</v>
      </c>
      <c r="I1217">
        <v>1328.5445557</v>
      </c>
      <c r="J1217">
        <v>1327.6232910000001</v>
      </c>
      <c r="K1217">
        <v>2400</v>
      </c>
      <c r="L1217">
        <v>0</v>
      </c>
      <c r="M1217">
        <v>0</v>
      </c>
      <c r="N1217">
        <v>2400</v>
      </c>
    </row>
    <row r="1218" spans="1:14" x14ac:dyDescent="0.25">
      <c r="A1218">
        <v>390.23811599999999</v>
      </c>
      <c r="B1218" s="1">
        <f>DATE(2011,5,26) + TIME(5,42,53)</f>
        <v>40689.238113425927</v>
      </c>
      <c r="C1218">
        <v>80</v>
      </c>
      <c r="D1218">
        <v>79.971801757999998</v>
      </c>
      <c r="E1218">
        <v>50</v>
      </c>
      <c r="F1218">
        <v>48.257392883000001</v>
      </c>
      <c r="G1218">
        <v>1336.425293</v>
      </c>
      <c r="H1218">
        <v>1334.8184814000001</v>
      </c>
      <c r="I1218">
        <v>1328.5349120999999</v>
      </c>
      <c r="J1218">
        <v>1327.6098632999999</v>
      </c>
      <c r="K1218">
        <v>2400</v>
      </c>
      <c r="L1218">
        <v>0</v>
      </c>
      <c r="M1218">
        <v>0</v>
      </c>
      <c r="N1218">
        <v>2400</v>
      </c>
    </row>
    <row r="1219" spans="1:14" x14ac:dyDescent="0.25">
      <c r="A1219">
        <v>390.80345</v>
      </c>
      <c r="B1219" s="1">
        <f>DATE(2011,5,26) + TIME(19,16,58)</f>
        <v>40689.803449074076</v>
      </c>
      <c r="C1219">
        <v>80</v>
      </c>
      <c r="D1219">
        <v>79.971763611</v>
      </c>
      <c r="E1219">
        <v>50</v>
      </c>
      <c r="F1219">
        <v>48.229026793999999</v>
      </c>
      <c r="G1219">
        <v>1336.4216309000001</v>
      </c>
      <c r="H1219">
        <v>1334.8181152</v>
      </c>
      <c r="I1219">
        <v>1328.5252685999999</v>
      </c>
      <c r="J1219">
        <v>1327.5963135</v>
      </c>
      <c r="K1219">
        <v>2400</v>
      </c>
      <c r="L1219">
        <v>0</v>
      </c>
      <c r="M1219">
        <v>0</v>
      </c>
      <c r="N1219">
        <v>2400</v>
      </c>
    </row>
    <row r="1220" spans="1:14" x14ac:dyDescent="0.25">
      <c r="A1220">
        <v>391.37995599999999</v>
      </c>
      <c r="B1220" s="1">
        <f>DATE(2011,5,27) + TIME(9,7,8)</f>
        <v>40690.379953703705</v>
      </c>
      <c r="C1220">
        <v>80</v>
      </c>
      <c r="D1220">
        <v>79.971717834000003</v>
      </c>
      <c r="E1220">
        <v>50</v>
      </c>
      <c r="F1220">
        <v>48.200428008999999</v>
      </c>
      <c r="G1220">
        <v>1336.4179687999999</v>
      </c>
      <c r="H1220">
        <v>1334.817749</v>
      </c>
      <c r="I1220">
        <v>1328.515625</v>
      </c>
      <c r="J1220">
        <v>1327.5826416</v>
      </c>
      <c r="K1220">
        <v>2400</v>
      </c>
      <c r="L1220">
        <v>0</v>
      </c>
      <c r="M1220">
        <v>0</v>
      </c>
      <c r="N1220">
        <v>2400</v>
      </c>
    </row>
    <row r="1221" spans="1:14" x14ac:dyDescent="0.25">
      <c r="A1221">
        <v>391.96637500000003</v>
      </c>
      <c r="B1221" s="1">
        <f>DATE(2011,5,27) + TIME(23,11,34)</f>
        <v>40690.966365740744</v>
      </c>
      <c r="C1221">
        <v>80</v>
      </c>
      <c r="D1221">
        <v>79.971679687999995</v>
      </c>
      <c r="E1221">
        <v>50</v>
      </c>
      <c r="F1221">
        <v>48.171615600999999</v>
      </c>
      <c r="G1221">
        <v>1336.4143065999999</v>
      </c>
      <c r="H1221">
        <v>1334.8173827999999</v>
      </c>
      <c r="I1221">
        <v>1328.5057373</v>
      </c>
      <c r="J1221">
        <v>1327.5687256000001</v>
      </c>
      <c r="K1221">
        <v>2400</v>
      </c>
      <c r="L1221">
        <v>0</v>
      </c>
      <c r="M1221">
        <v>0</v>
      </c>
      <c r="N1221">
        <v>2400</v>
      </c>
    </row>
    <row r="1222" spans="1:14" x14ac:dyDescent="0.25">
      <c r="A1222">
        <v>392.56440500000002</v>
      </c>
      <c r="B1222" s="1">
        <f>DATE(2011,5,28) + TIME(13,32,44)</f>
        <v>40691.564398148148</v>
      </c>
      <c r="C1222">
        <v>80</v>
      </c>
      <c r="D1222">
        <v>79.971641540999997</v>
      </c>
      <c r="E1222">
        <v>50</v>
      </c>
      <c r="F1222">
        <v>48.142539978000002</v>
      </c>
      <c r="G1222">
        <v>1336.4107666</v>
      </c>
      <c r="H1222">
        <v>1334.8170166</v>
      </c>
      <c r="I1222">
        <v>1328.4957274999999</v>
      </c>
      <c r="J1222">
        <v>1327.5548096</v>
      </c>
      <c r="K1222">
        <v>2400</v>
      </c>
      <c r="L1222">
        <v>0</v>
      </c>
      <c r="M1222">
        <v>0</v>
      </c>
      <c r="N1222">
        <v>2400</v>
      </c>
    </row>
    <row r="1223" spans="1:14" x14ac:dyDescent="0.25">
      <c r="A1223">
        <v>393.169895</v>
      </c>
      <c r="B1223" s="1">
        <f>DATE(2011,5,29) + TIME(4,4,38)</f>
        <v>40692.16988425926</v>
      </c>
      <c r="C1223">
        <v>80</v>
      </c>
      <c r="D1223">
        <v>79.971603393999999</v>
      </c>
      <c r="E1223">
        <v>50</v>
      </c>
      <c r="F1223">
        <v>48.113311768000003</v>
      </c>
      <c r="G1223">
        <v>1336.4073486</v>
      </c>
      <c r="H1223">
        <v>1334.8167725000001</v>
      </c>
      <c r="I1223">
        <v>1328.4855957</v>
      </c>
      <c r="J1223">
        <v>1327.5406493999999</v>
      </c>
      <c r="K1223">
        <v>2400</v>
      </c>
      <c r="L1223">
        <v>0</v>
      </c>
      <c r="M1223">
        <v>0</v>
      </c>
      <c r="N1223">
        <v>2400</v>
      </c>
    </row>
    <row r="1224" spans="1:14" x14ac:dyDescent="0.25">
      <c r="A1224">
        <v>393.78393699999998</v>
      </c>
      <c r="B1224" s="1">
        <f>DATE(2011,5,29) + TIME(18,48,52)</f>
        <v>40692.783935185187</v>
      </c>
      <c r="C1224">
        <v>80</v>
      </c>
      <c r="D1224">
        <v>79.971565247000001</v>
      </c>
      <c r="E1224">
        <v>50</v>
      </c>
      <c r="F1224">
        <v>48.083919524999999</v>
      </c>
      <c r="G1224">
        <v>1336.4038086</v>
      </c>
      <c r="H1224">
        <v>1334.8164062000001</v>
      </c>
      <c r="I1224">
        <v>1328.4754639</v>
      </c>
      <c r="J1224">
        <v>1327.5263672000001</v>
      </c>
      <c r="K1224">
        <v>2400</v>
      </c>
      <c r="L1224">
        <v>0</v>
      </c>
      <c r="M1224">
        <v>0</v>
      </c>
      <c r="N1224">
        <v>2400</v>
      </c>
    </row>
    <row r="1225" spans="1:14" x14ac:dyDescent="0.25">
      <c r="A1225">
        <v>394.40654999999998</v>
      </c>
      <c r="B1225" s="1">
        <f>DATE(2011,5,30) + TIME(9,45,25)</f>
        <v>40693.406539351854</v>
      </c>
      <c r="C1225">
        <v>80</v>
      </c>
      <c r="D1225">
        <v>79.971534728999998</v>
      </c>
      <c r="E1225">
        <v>50</v>
      </c>
      <c r="F1225">
        <v>48.05437088</v>
      </c>
      <c r="G1225">
        <v>1336.4003906</v>
      </c>
      <c r="H1225">
        <v>1334.8160399999999</v>
      </c>
      <c r="I1225">
        <v>1328.4652100000001</v>
      </c>
      <c r="J1225">
        <v>1327.5119629000001</v>
      </c>
      <c r="K1225">
        <v>2400</v>
      </c>
      <c r="L1225">
        <v>0</v>
      </c>
      <c r="M1225">
        <v>0</v>
      </c>
      <c r="N1225">
        <v>2400</v>
      </c>
    </row>
    <row r="1226" spans="1:14" x14ac:dyDescent="0.25">
      <c r="A1226">
        <v>395.036562</v>
      </c>
      <c r="B1226" s="1">
        <f>DATE(2011,5,31) + TIME(0,52,38)</f>
        <v>40694.036550925928</v>
      </c>
      <c r="C1226">
        <v>80</v>
      </c>
      <c r="D1226">
        <v>79.971496582</v>
      </c>
      <c r="E1226">
        <v>50</v>
      </c>
      <c r="F1226">
        <v>48.024711609000001</v>
      </c>
      <c r="G1226">
        <v>1336.3970947</v>
      </c>
      <c r="H1226">
        <v>1334.8156738</v>
      </c>
      <c r="I1226">
        <v>1328.4549560999999</v>
      </c>
      <c r="J1226">
        <v>1327.4975586</v>
      </c>
      <c r="K1226">
        <v>2400</v>
      </c>
      <c r="L1226">
        <v>0</v>
      </c>
      <c r="M1226">
        <v>0</v>
      </c>
      <c r="N1226">
        <v>2400</v>
      </c>
    </row>
    <row r="1227" spans="1:14" x14ac:dyDescent="0.25">
      <c r="A1227">
        <v>395.66957200000002</v>
      </c>
      <c r="B1227" s="1">
        <f>DATE(2011,5,31) + TIME(16,4,11)</f>
        <v>40694.669571759259</v>
      </c>
      <c r="C1227">
        <v>80</v>
      </c>
      <c r="D1227">
        <v>79.971466063999998</v>
      </c>
      <c r="E1227">
        <v>50</v>
      </c>
      <c r="F1227">
        <v>47.995067595999998</v>
      </c>
      <c r="G1227">
        <v>1336.3937988</v>
      </c>
      <c r="H1227">
        <v>1334.8153076000001</v>
      </c>
      <c r="I1227">
        <v>1328.4445800999999</v>
      </c>
      <c r="J1227">
        <v>1327.4830322</v>
      </c>
      <c r="K1227">
        <v>2400</v>
      </c>
      <c r="L1227">
        <v>0</v>
      </c>
      <c r="M1227">
        <v>0</v>
      </c>
      <c r="N1227">
        <v>2400</v>
      </c>
    </row>
    <row r="1228" spans="1:14" x14ac:dyDescent="0.25">
      <c r="A1228">
        <v>396</v>
      </c>
      <c r="B1228" s="1">
        <f>DATE(2011,6,1) + TIME(0,0,0)</f>
        <v>40695</v>
      </c>
      <c r="C1228">
        <v>80</v>
      </c>
      <c r="D1228">
        <v>79.971435546999999</v>
      </c>
      <c r="E1228">
        <v>50</v>
      </c>
      <c r="F1228">
        <v>47.975757598999998</v>
      </c>
      <c r="G1228">
        <v>1336.390625</v>
      </c>
      <c r="H1228">
        <v>1334.8150635</v>
      </c>
      <c r="I1228">
        <v>1328.4348144999999</v>
      </c>
      <c r="J1228">
        <v>1327.4694824000001</v>
      </c>
      <c r="K1228">
        <v>2400</v>
      </c>
      <c r="L1228">
        <v>0</v>
      </c>
      <c r="M1228">
        <v>0</v>
      </c>
      <c r="N1228">
        <v>2400</v>
      </c>
    </row>
    <row r="1229" spans="1:14" x14ac:dyDescent="0.25">
      <c r="A1229">
        <v>396.641774</v>
      </c>
      <c r="B1229" s="1">
        <f>DATE(2011,6,1) + TIME(15,24,9)</f>
        <v>40695.641770833332</v>
      </c>
      <c r="C1229">
        <v>80</v>
      </c>
      <c r="D1229">
        <v>79.971412658999995</v>
      </c>
      <c r="E1229">
        <v>50</v>
      </c>
      <c r="F1229">
        <v>47.947772980000003</v>
      </c>
      <c r="G1229">
        <v>1336.3889160000001</v>
      </c>
      <c r="H1229">
        <v>1334.8148193</v>
      </c>
      <c r="I1229">
        <v>1328.4281006000001</v>
      </c>
      <c r="J1229">
        <v>1327.4595947</v>
      </c>
      <c r="K1229">
        <v>2400</v>
      </c>
      <c r="L1229">
        <v>0</v>
      </c>
      <c r="M1229">
        <v>0</v>
      </c>
      <c r="N1229">
        <v>2400</v>
      </c>
    </row>
    <row r="1230" spans="1:14" x14ac:dyDescent="0.25">
      <c r="A1230">
        <v>397.30558600000001</v>
      </c>
      <c r="B1230" s="1">
        <f>DATE(2011,6,2) + TIME(7,20,2)</f>
        <v>40696.305578703701</v>
      </c>
      <c r="C1230">
        <v>80</v>
      </c>
      <c r="D1230">
        <v>79.971382141000007</v>
      </c>
      <c r="E1230">
        <v>50</v>
      </c>
      <c r="F1230">
        <v>47.918647765999999</v>
      </c>
      <c r="G1230">
        <v>1336.3857422000001</v>
      </c>
      <c r="H1230">
        <v>1334.8144531</v>
      </c>
      <c r="I1230">
        <v>1328.4179687999999</v>
      </c>
      <c r="J1230">
        <v>1327.4455565999999</v>
      </c>
      <c r="K1230">
        <v>2400</v>
      </c>
      <c r="L1230">
        <v>0</v>
      </c>
      <c r="M1230">
        <v>0</v>
      </c>
      <c r="N1230">
        <v>2400</v>
      </c>
    </row>
    <row r="1231" spans="1:14" x14ac:dyDescent="0.25">
      <c r="A1231">
        <v>397.97466900000001</v>
      </c>
      <c r="B1231" s="1">
        <f>DATE(2011,6,2) + TIME(23,23,31)</f>
        <v>40696.974664351852</v>
      </c>
      <c r="C1231">
        <v>80</v>
      </c>
      <c r="D1231">
        <v>79.971351623999993</v>
      </c>
      <c r="E1231">
        <v>50</v>
      </c>
      <c r="F1231">
        <v>47.888957976999997</v>
      </c>
      <c r="G1231">
        <v>1336.3825684000001</v>
      </c>
      <c r="H1231">
        <v>1334.8142089999999</v>
      </c>
      <c r="I1231">
        <v>1328.4074707</v>
      </c>
      <c r="J1231">
        <v>1327.4309082</v>
      </c>
      <c r="K1231">
        <v>2400</v>
      </c>
      <c r="L1231">
        <v>0</v>
      </c>
      <c r="M1231">
        <v>0</v>
      </c>
      <c r="N1231">
        <v>2400</v>
      </c>
    </row>
    <row r="1232" spans="1:14" x14ac:dyDescent="0.25">
      <c r="A1232">
        <v>398.64616699999999</v>
      </c>
      <c r="B1232" s="1">
        <f>DATE(2011,6,3) + TIME(15,30,28)</f>
        <v>40697.646157407406</v>
      </c>
      <c r="C1232">
        <v>80</v>
      </c>
      <c r="D1232">
        <v>79.971321106000005</v>
      </c>
      <c r="E1232">
        <v>50</v>
      </c>
      <c r="F1232">
        <v>47.859020233000003</v>
      </c>
      <c r="G1232">
        <v>1336.3795166</v>
      </c>
      <c r="H1232">
        <v>1334.8138428</v>
      </c>
      <c r="I1232">
        <v>1328.3969727000001</v>
      </c>
      <c r="J1232">
        <v>1327.4161377</v>
      </c>
      <c r="K1232">
        <v>2400</v>
      </c>
      <c r="L1232">
        <v>0</v>
      </c>
      <c r="M1232">
        <v>0</v>
      </c>
      <c r="N1232">
        <v>2400</v>
      </c>
    </row>
    <row r="1233" spans="1:14" x14ac:dyDescent="0.25">
      <c r="A1233">
        <v>399.32744500000001</v>
      </c>
      <c r="B1233" s="1">
        <f>DATE(2011,6,4) + TIME(7,51,31)</f>
        <v>40698.32744212963</v>
      </c>
      <c r="C1233">
        <v>80</v>
      </c>
      <c r="D1233">
        <v>79.971298218000001</v>
      </c>
      <c r="E1233">
        <v>50</v>
      </c>
      <c r="F1233">
        <v>47.828819275000001</v>
      </c>
      <c r="G1233">
        <v>1336.3764647999999</v>
      </c>
      <c r="H1233">
        <v>1334.8134766000001</v>
      </c>
      <c r="I1233">
        <v>1328.3863524999999</v>
      </c>
      <c r="J1233">
        <v>1327.4012451000001</v>
      </c>
      <c r="K1233">
        <v>2400</v>
      </c>
      <c r="L1233">
        <v>0</v>
      </c>
      <c r="M1233">
        <v>0</v>
      </c>
      <c r="N1233">
        <v>2400</v>
      </c>
    </row>
    <row r="1234" spans="1:14" x14ac:dyDescent="0.25">
      <c r="A1234">
        <v>400.01587899999998</v>
      </c>
      <c r="B1234" s="1">
        <f>DATE(2011,6,5) + TIME(0,22,51)</f>
        <v>40699.015868055554</v>
      </c>
      <c r="C1234">
        <v>80</v>
      </c>
      <c r="D1234">
        <v>79.971267699999999</v>
      </c>
      <c r="E1234">
        <v>50</v>
      </c>
      <c r="F1234">
        <v>47.798442841000004</v>
      </c>
      <c r="G1234">
        <v>1336.3735352000001</v>
      </c>
      <c r="H1234">
        <v>1334.8132324000001</v>
      </c>
      <c r="I1234">
        <v>1328.3756103999999</v>
      </c>
      <c r="J1234">
        <v>1327.3862305</v>
      </c>
      <c r="K1234">
        <v>2400</v>
      </c>
      <c r="L1234">
        <v>0</v>
      </c>
      <c r="M1234">
        <v>0</v>
      </c>
      <c r="N1234">
        <v>2400</v>
      </c>
    </row>
    <row r="1235" spans="1:14" x14ac:dyDescent="0.25">
      <c r="A1235">
        <v>400.71232500000002</v>
      </c>
      <c r="B1235" s="1">
        <f>DATE(2011,6,5) + TIME(17,5,44)</f>
        <v>40699.712314814817</v>
      </c>
      <c r="C1235">
        <v>80</v>
      </c>
      <c r="D1235">
        <v>79.971244811999995</v>
      </c>
      <c r="E1235">
        <v>50</v>
      </c>
      <c r="F1235">
        <v>47.767917633000003</v>
      </c>
      <c r="G1235">
        <v>1336.3706055</v>
      </c>
      <c r="H1235">
        <v>1334.8129882999999</v>
      </c>
      <c r="I1235">
        <v>1328.3648682</v>
      </c>
      <c r="J1235">
        <v>1327.3712158000001</v>
      </c>
      <c r="K1235">
        <v>2400</v>
      </c>
      <c r="L1235">
        <v>0</v>
      </c>
      <c r="M1235">
        <v>0</v>
      </c>
      <c r="N1235">
        <v>2400</v>
      </c>
    </row>
    <row r="1236" spans="1:14" x14ac:dyDescent="0.25">
      <c r="A1236">
        <v>401.42382199999997</v>
      </c>
      <c r="B1236" s="1">
        <f>DATE(2011,6,6) + TIME(10,10,18)</f>
        <v>40700.423819444448</v>
      </c>
      <c r="C1236">
        <v>80</v>
      </c>
      <c r="D1236">
        <v>79.971214294000006</v>
      </c>
      <c r="E1236">
        <v>50</v>
      </c>
      <c r="F1236">
        <v>47.737083435000002</v>
      </c>
      <c r="G1236">
        <v>1336.3676757999999</v>
      </c>
      <c r="H1236">
        <v>1334.8126221</v>
      </c>
      <c r="I1236">
        <v>1328.354126</v>
      </c>
      <c r="J1236">
        <v>1327.355957</v>
      </c>
      <c r="K1236">
        <v>2400</v>
      </c>
      <c r="L1236">
        <v>0</v>
      </c>
      <c r="M1236">
        <v>0</v>
      </c>
      <c r="N1236">
        <v>2400</v>
      </c>
    </row>
    <row r="1237" spans="1:14" x14ac:dyDescent="0.25">
      <c r="A1237">
        <v>402.14466499999997</v>
      </c>
      <c r="B1237" s="1">
        <f>DATE(2011,6,7) + TIME(3,28,19)</f>
        <v>40701.14466435185</v>
      </c>
      <c r="C1237">
        <v>80</v>
      </c>
      <c r="D1237">
        <v>79.971191406000003</v>
      </c>
      <c r="E1237">
        <v>50</v>
      </c>
      <c r="F1237">
        <v>47.706020355</v>
      </c>
      <c r="G1237">
        <v>1336.3648682</v>
      </c>
      <c r="H1237">
        <v>1334.8123779</v>
      </c>
      <c r="I1237">
        <v>1328.3431396000001</v>
      </c>
      <c r="J1237">
        <v>1327.3405762</v>
      </c>
      <c r="K1237">
        <v>2400</v>
      </c>
      <c r="L1237">
        <v>0</v>
      </c>
      <c r="M1237">
        <v>0</v>
      </c>
      <c r="N1237">
        <v>2400</v>
      </c>
    </row>
    <row r="1238" spans="1:14" x14ac:dyDescent="0.25">
      <c r="A1238">
        <v>402.86571500000002</v>
      </c>
      <c r="B1238" s="1">
        <f>DATE(2011,6,7) + TIME(20,46,37)</f>
        <v>40701.865706018521</v>
      </c>
      <c r="C1238">
        <v>80</v>
      </c>
      <c r="D1238">
        <v>79.971168517999999</v>
      </c>
      <c r="E1238">
        <v>50</v>
      </c>
      <c r="F1238">
        <v>47.674964905000003</v>
      </c>
      <c r="G1238">
        <v>1336.3619385</v>
      </c>
      <c r="H1238">
        <v>1334.8121338000001</v>
      </c>
      <c r="I1238">
        <v>1328.3321533000001</v>
      </c>
      <c r="J1238">
        <v>1327.3251952999999</v>
      </c>
      <c r="K1238">
        <v>2400</v>
      </c>
      <c r="L1238">
        <v>0</v>
      </c>
      <c r="M1238">
        <v>0</v>
      </c>
      <c r="N1238">
        <v>2400</v>
      </c>
    </row>
    <row r="1239" spans="1:14" x14ac:dyDescent="0.25">
      <c r="A1239">
        <v>403.59464400000002</v>
      </c>
      <c r="B1239" s="1">
        <f>DATE(2011,6,8) + TIME(14,16,17)</f>
        <v>40702.594641203701</v>
      </c>
      <c r="C1239">
        <v>80</v>
      </c>
      <c r="D1239">
        <v>79.971145629999995</v>
      </c>
      <c r="E1239">
        <v>50</v>
      </c>
      <c r="F1239">
        <v>47.643821715999998</v>
      </c>
      <c r="G1239">
        <v>1336.3592529</v>
      </c>
      <c r="H1239">
        <v>1334.8117675999999</v>
      </c>
      <c r="I1239">
        <v>1328.3211670000001</v>
      </c>
      <c r="J1239">
        <v>1327.3098144999999</v>
      </c>
      <c r="K1239">
        <v>2400</v>
      </c>
      <c r="L1239">
        <v>0</v>
      </c>
      <c r="M1239">
        <v>0</v>
      </c>
      <c r="N1239">
        <v>2400</v>
      </c>
    </row>
    <row r="1240" spans="1:14" x14ac:dyDescent="0.25">
      <c r="A1240">
        <v>404.33919200000003</v>
      </c>
      <c r="B1240" s="1">
        <f>DATE(2011,6,9) + TIME(8,8,26)</f>
        <v>40703.339189814818</v>
      </c>
      <c r="C1240">
        <v>80</v>
      </c>
      <c r="D1240">
        <v>79.971122742000006</v>
      </c>
      <c r="E1240">
        <v>50</v>
      </c>
      <c r="F1240">
        <v>47.612400055000002</v>
      </c>
      <c r="G1240">
        <v>1336.3565673999999</v>
      </c>
      <c r="H1240">
        <v>1334.8115233999999</v>
      </c>
      <c r="I1240">
        <v>1328.3101807</v>
      </c>
      <c r="J1240">
        <v>1327.2944336</v>
      </c>
      <c r="K1240">
        <v>2400</v>
      </c>
      <c r="L1240">
        <v>0</v>
      </c>
      <c r="M1240">
        <v>0</v>
      </c>
      <c r="N1240">
        <v>2400</v>
      </c>
    </row>
    <row r="1241" spans="1:14" x14ac:dyDescent="0.25">
      <c r="A1241">
        <v>405.08979299999999</v>
      </c>
      <c r="B1241" s="1">
        <f>DATE(2011,6,10) + TIME(2,9,18)</f>
        <v>40704.089791666665</v>
      </c>
      <c r="C1241">
        <v>80</v>
      </c>
      <c r="D1241">
        <v>79.971099854000002</v>
      </c>
      <c r="E1241">
        <v>50</v>
      </c>
      <c r="F1241">
        <v>47.580829620000003</v>
      </c>
      <c r="G1241">
        <v>1336.3538818</v>
      </c>
      <c r="H1241">
        <v>1334.8112793</v>
      </c>
      <c r="I1241">
        <v>1328.2991943</v>
      </c>
      <c r="J1241">
        <v>1327.2788086</v>
      </c>
      <c r="K1241">
        <v>2400</v>
      </c>
      <c r="L1241">
        <v>0</v>
      </c>
      <c r="M1241">
        <v>0</v>
      </c>
      <c r="N1241">
        <v>2400</v>
      </c>
    </row>
    <row r="1242" spans="1:14" x14ac:dyDescent="0.25">
      <c r="A1242">
        <v>405.85133200000001</v>
      </c>
      <c r="B1242" s="1">
        <f>DATE(2011,6,10) + TIME(20,25,55)</f>
        <v>40704.851331018515</v>
      </c>
      <c r="C1242">
        <v>80</v>
      </c>
      <c r="D1242">
        <v>79.971084594999994</v>
      </c>
      <c r="E1242">
        <v>50</v>
      </c>
      <c r="F1242">
        <v>47.549037933000001</v>
      </c>
      <c r="G1242">
        <v>1336.3511963000001</v>
      </c>
      <c r="H1242">
        <v>1334.8110352000001</v>
      </c>
      <c r="I1242">
        <v>1328.2880858999999</v>
      </c>
      <c r="J1242">
        <v>1327.2631836</v>
      </c>
      <c r="K1242">
        <v>2400</v>
      </c>
      <c r="L1242">
        <v>0</v>
      </c>
      <c r="M1242">
        <v>0</v>
      </c>
      <c r="N1242">
        <v>2400</v>
      </c>
    </row>
    <row r="1243" spans="1:14" x14ac:dyDescent="0.25">
      <c r="A1243">
        <v>406.61941400000001</v>
      </c>
      <c r="B1243" s="1">
        <f>DATE(2011,6,11) + TIME(14,51,57)</f>
        <v>40705.619409722225</v>
      </c>
      <c r="C1243">
        <v>80</v>
      </c>
      <c r="D1243">
        <v>79.971061707000004</v>
      </c>
      <c r="E1243">
        <v>50</v>
      </c>
      <c r="F1243">
        <v>47.517093658</v>
      </c>
      <c r="G1243">
        <v>1336.3485106999999</v>
      </c>
      <c r="H1243">
        <v>1334.8106689000001</v>
      </c>
      <c r="I1243">
        <v>1328.2768555</v>
      </c>
      <c r="J1243">
        <v>1327.2474365</v>
      </c>
      <c r="K1243">
        <v>2400</v>
      </c>
      <c r="L1243">
        <v>0</v>
      </c>
      <c r="M1243">
        <v>0</v>
      </c>
      <c r="N1243">
        <v>2400</v>
      </c>
    </row>
    <row r="1244" spans="1:14" x14ac:dyDescent="0.25">
      <c r="A1244">
        <v>407.39557400000001</v>
      </c>
      <c r="B1244" s="1">
        <f>DATE(2011,6,12) + TIME(9,29,37)</f>
        <v>40706.395567129628</v>
      </c>
      <c r="C1244">
        <v>80</v>
      </c>
      <c r="D1244">
        <v>79.971046447999996</v>
      </c>
      <c r="E1244">
        <v>50</v>
      </c>
      <c r="F1244">
        <v>47.484992980999998</v>
      </c>
      <c r="G1244">
        <v>1336.3459473</v>
      </c>
      <c r="H1244">
        <v>1334.8104248</v>
      </c>
      <c r="I1244">
        <v>1328.2657471</v>
      </c>
      <c r="J1244">
        <v>1327.2318115</v>
      </c>
      <c r="K1244">
        <v>2400</v>
      </c>
      <c r="L1244">
        <v>0</v>
      </c>
      <c r="M1244">
        <v>0</v>
      </c>
      <c r="N1244">
        <v>2400</v>
      </c>
    </row>
    <row r="1245" spans="1:14" x14ac:dyDescent="0.25">
      <c r="A1245">
        <v>408.17726599999997</v>
      </c>
      <c r="B1245" s="1">
        <f>DATE(2011,6,13) + TIME(4,15,15)</f>
        <v>40707.177256944444</v>
      </c>
      <c r="C1245">
        <v>80</v>
      </c>
      <c r="D1245">
        <v>79.971031189000001</v>
      </c>
      <c r="E1245">
        <v>50</v>
      </c>
      <c r="F1245">
        <v>47.452781676999997</v>
      </c>
      <c r="G1245">
        <v>1336.3433838000001</v>
      </c>
      <c r="H1245">
        <v>1334.8101807</v>
      </c>
      <c r="I1245">
        <v>1328.2545166</v>
      </c>
      <c r="J1245">
        <v>1327.2159423999999</v>
      </c>
      <c r="K1245">
        <v>2400</v>
      </c>
      <c r="L1245">
        <v>0</v>
      </c>
      <c r="M1245">
        <v>0</v>
      </c>
      <c r="N1245">
        <v>2400</v>
      </c>
    </row>
    <row r="1246" spans="1:14" x14ac:dyDescent="0.25">
      <c r="A1246">
        <v>408.97267799999997</v>
      </c>
      <c r="B1246" s="1">
        <f>DATE(2011,6,13) + TIME(23,20,39)</f>
        <v>40707.972673611112</v>
      </c>
      <c r="C1246">
        <v>80</v>
      </c>
      <c r="D1246">
        <v>79.971008300999998</v>
      </c>
      <c r="E1246">
        <v>50</v>
      </c>
      <c r="F1246">
        <v>47.420307158999996</v>
      </c>
      <c r="G1246">
        <v>1336.3408202999999</v>
      </c>
      <c r="H1246">
        <v>1334.8099365</v>
      </c>
      <c r="I1246">
        <v>1328.2432861</v>
      </c>
      <c r="J1246">
        <v>1327.2001952999999</v>
      </c>
      <c r="K1246">
        <v>2400</v>
      </c>
      <c r="L1246">
        <v>0</v>
      </c>
      <c r="M1246">
        <v>0</v>
      </c>
      <c r="N1246">
        <v>2400</v>
      </c>
    </row>
    <row r="1247" spans="1:14" x14ac:dyDescent="0.25">
      <c r="A1247">
        <v>409.78555299999999</v>
      </c>
      <c r="B1247" s="1">
        <f>DATE(2011,6,14) + TIME(18,51,11)</f>
        <v>40708.785543981481</v>
      </c>
      <c r="C1247">
        <v>80</v>
      </c>
      <c r="D1247">
        <v>79.970993042000003</v>
      </c>
      <c r="E1247">
        <v>50</v>
      </c>
      <c r="F1247">
        <v>47.38741684</v>
      </c>
      <c r="G1247">
        <v>1336.3383789</v>
      </c>
      <c r="H1247">
        <v>1334.8096923999999</v>
      </c>
      <c r="I1247">
        <v>1328.2320557</v>
      </c>
      <c r="J1247">
        <v>1327.1843262</v>
      </c>
      <c r="K1247">
        <v>2400</v>
      </c>
      <c r="L1247">
        <v>0</v>
      </c>
      <c r="M1247">
        <v>0</v>
      </c>
      <c r="N1247">
        <v>2400</v>
      </c>
    </row>
    <row r="1248" spans="1:14" x14ac:dyDescent="0.25">
      <c r="A1248">
        <v>410.60074800000001</v>
      </c>
      <c r="B1248" s="1">
        <f>DATE(2011,6,15) + TIME(14,25,4)</f>
        <v>40709.600740740738</v>
      </c>
      <c r="C1248">
        <v>80</v>
      </c>
      <c r="D1248">
        <v>79.970977782999995</v>
      </c>
      <c r="E1248">
        <v>50</v>
      </c>
      <c r="F1248">
        <v>47.354339600000003</v>
      </c>
      <c r="G1248">
        <v>1336.3359375</v>
      </c>
      <c r="H1248">
        <v>1334.8093262</v>
      </c>
      <c r="I1248">
        <v>1328.2207031</v>
      </c>
      <c r="J1248">
        <v>1327.1683350000001</v>
      </c>
      <c r="K1248">
        <v>2400</v>
      </c>
      <c r="L1248">
        <v>0</v>
      </c>
      <c r="M1248">
        <v>0</v>
      </c>
      <c r="N1248">
        <v>2400</v>
      </c>
    </row>
    <row r="1249" spans="1:14" x14ac:dyDescent="0.25">
      <c r="A1249">
        <v>411.42087400000003</v>
      </c>
      <c r="B1249" s="1">
        <f>DATE(2011,6,16) + TIME(10,6,3)</f>
        <v>40710.420868055553</v>
      </c>
      <c r="C1249">
        <v>80</v>
      </c>
      <c r="D1249">
        <v>79.970970154</v>
      </c>
      <c r="E1249">
        <v>50</v>
      </c>
      <c r="F1249">
        <v>47.321128844999997</v>
      </c>
      <c r="G1249">
        <v>1336.3334961</v>
      </c>
      <c r="H1249">
        <v>1334.809082</v>
      </c>
      <c r="I1249">
        <v>1328.2093506000001</v>
      </c>
      <c r="J1249">
        <v>1327.1523437999999</v>
      </c>
      <c r="K1249">
        <v>2400</v>
      </c>
      <c r="L1249">
        <v>0</v>
      </c>
      <c r="M1249">
        <v>0</v>
      </c>
      <c r="N1249">
        <v>2400</v>
      </c>
    </row>
    <row r="1250" spans="1:14" x14ac:dyDescent="0.25">
      <c r="A1250">
        <v>412.25483700000001</v>
      </c>
      <c r="B1250" s="1">
        <f>DATE(2011,6,17) + TIME(6,6,57)</f>
        <v>40711.254826388889</v>
      </c>
      <c r="C1250">
        <v>80</v>
      </c>
      <c r="D1250">
        <v>79.970954895000006</v>
      </c>
      <c r="E1250">
        <v>50</v>
      </c>
      <c r="F1250">
        <v>47.287635803000001</v>
      </c>
      <c r="G1250">
        <v>1336.3310547000001</v>
      </c>
      <c r="H1250">
        <v>1334.8088379000001</v>
      </c>
      <c r="I1250">
        <v>1328.1979980000001</v>
      </c>
      <c r="J1250">
        <v>1327.1363524999999</v>
      </c>
      <c r="K1250">
        <v>2400</v>
      </c>
      <c r="L1250">
        <v>0</v>
      </c>
      <c r="M1250">
        <v>0</v>
      </c>
      <c r="N1250">
        <v>2400</v>
      </c>
    </row>
    <row r="1251" spans="1:14" x14ac:dyDescent="0.25">
      <c r="A1251">
        <v>413.09553499999998</v>
      </c>
      <c r="B1251" s="1">
        <f>DATE(2011,6,18) + TIME(2,17,34)</f>
        <v>40712.095532407409</v>
      </c>
      <c r="C1251">
        <v>80</v>
      </c>
      <c r="D1251">
        <v>79.970939635999997</v>
      </c>
      <c r="E1251">
        <v>50</v>
      </c>
      <c r="F1251">
        <v>47.253910064999999</v>
      </c>
      <c r="G1251">
        <v>1336.3287353999999</v>
      </c>
      <c r="H1251">
        <v>1334.8085937999999</v>
      </c>
      <c r="I1251">
        <v>1328.1866454999999</v>
      </c>
      <c r="J1251">
        <v>1327.1203613</v>
      </c>
      <c r="K1251">
        <v>2400</v>
      </c>
      <c r="L1251">
        <v>0</v>
      </c>
      <c r="M1251">
        <v>0</v>
      </c>
      <c r="N1251">
        <v>2400</v>
      </c>
    </row>
    <row r="1252" spans="1:14" x14ac:dyDescent="0.25">
      <c r="A1252">
        <v>413.94781399999999</v>
      </c>
      <c r="B1252" s="1">
        <f>DATE(2011,6,18) + TIME(22,44,51)</f>
        <v>40712.947812500002</v>
      </c>
      <c r="C1252">
        <v>80</v>
      </c>
      <c r="D1252">
        <v>79.970932007000002</v>
      </c>
      <c r="E1252">
        <v>50</v>
      </c>
      <c r="F1252">
        <v>47.219879149999997</v>
      </c>
      <c r="G1252">
        <v>1336.3262939000001</v>
      </c>
      <c r="H1252">
        <v>1334.8083495999999</v>
      </c>
      <c r="I1252">
        <v>1328.175293</v>
      </c>
      <c r="J1252">
        <v>1327.1042480000001</v>
      </c>
      <c r="K1252">
        <v>2400</v>
      </c>
      <c r="L1252">
        <v>0</v>
      </c>
      <c r="M1252">
        <v>0</v>
      </c>
      <c r="N1252">
        <v>2400</v>
      </c>
    </row>
    <row r="1253" spans="1:14" x14ac:dyDescent="0.25">
      <c r="A1253">
        <v>414.815224</v>
      </c>
      <c r="B1253" s="1">
        <f>DATE(2011,6,19) + TIME(19,33,55)</f>
        <v>40713.81521990741</v>
      </c>
      <c r="C1253">
        <v>80</v>
      </c>
      <c r="D1253">
        <v>79.970916747999993</v>
      </c>
      <c r="E1253">
        <v>50</v>
      </c>
      <c r="F1253">
        <v>47.185440063000001</v>
      </c>
      <c r="G1253">
        <v>1336.3239745999999</v>
      </c>
      <c r="H1253">
        <v>1334.8081055</v>
      </c>
      <c r="I1253">
        <v>1328.1638184000001</v>
      </c>
      <c r="J1253">
        <v>1327.0881348</v>
      </c>
      <c r="K1253">
        <v>2400</v>
      </c>
      <c r="L1253">
        <v>0</v>
      </c>
      <c r="M1253">
        <v>0</v>
      </c>
      <c r="N1253">
        <v>2400</v>
      </c>
    </row>
    <row r="1254" spans="1:14" x14ac:dyDescent="0.25">
      <c r="A1254">
        <v>415.68804599999999</v>
      </c>
      <c r="B1254" s="1">
        <f>DATE(2011,6,20) + TIME(16,30,47)</f>
        <v>40714.688043981485</v>
      </c>
      <c r="C1254">
        <v>80</v>
      </c>
      <c r="D1254">
        <v>79.970909118999998</v>
      </c>
      <c r="E1254">
        <v>50</v>
      </c>
      <c r="F1254">
        <v>47.150707245</v>
      </c>
      <c r="G1254">
        <v>1336.3217772999999</v>
      </c>
      <c r="H1254">
        <v>1334.8077393000001</v>
      </c>
      <c r="I1254">
        <v>1328.1523437999999</v>
      </c>
      <c r="J1254">
        <v>1327.0718993999999</v>
      </c>
      <c r="K1254">
        <v>2400</v>
      </c>
      <c r="L1254">
        <v>0</v>
      </c>
      <c r="M1254">
        <v>0</v>
      </c>
      <c r="N1254">
        <v>2400</v>
      </c>
    </row>
    <row r="1255" spans="1:14" x14ac:dyDescent="0.25">
      <c r="A1255">
        <v>416.56566099999998</v>
      </c>
      <c r="B1255" s="1">
        <f>DATE(2011,6,21) + TIME(13,34,33)</f>
        <v>40715.565659722219</v>
      </c>
      <c r="C1255">
        <v>80</v>
      </c>
      <c r="D1255">
        <v>79.970901488999999</v>
      </c>
      <c r="E1255">
        <v>50</v>
      </c>
      <c r="F1255">
        <v>47.115753173999998</v>
      </c>
      <c r="G1255">
        <v>1336.3194579999999</v>
      </c>
      <c r="H1255">
        <v>1334.8074951000001</v>
      </c>
      <c r="I1255">
        <v>1328.1408690999999</v>
      </c>
      <c r="J1255">
        <v>1327.0557861</v>
      </c>
      <c r="K1255">
        <v>2400</v>
      </c>
      <c r="L1255">
        <v>0</v>
      </c>
      <c r="M1255">
        <v>0</v>
      </c>
      <c r="N1255">
        <v>2400</v>
      </c>
    </row>
    <row r="1256" spans="1:14" x14ac:dyDescent="0.25">
      <c r="A1256">
        <v>417.45749799999999</v>
      </c>
      <c r="B1256" s="1">
        <f>DATE(2011,6,22) + TIME(10,58,47)</f>
        <v>40716.457488425927</v>
      </c>
      <c r="C1256">
        <v>80</v>
      </c>
      <c r="D1256">
        <v>79.970886230000005</v>
      </c>
      <c r="E1256">
        <v>50</v>
      </c>
      <c r="F1256">
        <v>47.080444335999999</v>
      </c>
      <c r="G1256">
        <v>1336.3172606999999</v>
      </c>
      <c r="H1256">
        <v>1334.807251</v>
      </c>
      <c r="I1256">
        <v>1328.1295166</v>
      </c>
      <c r="J1256">
        <v>1327.0395507999999</v>
      </c>
      <c r="K1256">
        <v>2400</v>
      </c>
      <c r="L1256">
        <v>0</v>
      </c>
      <c r="M1256">
        <v>0</v>
      </c>
      <c r="N1256">
        <v>2400</v>
      </c>
    </row>
    <row r="1257" spans="1:14" x14ac:dyDescent="0.25">
      <c r="A1257">
        <v>418.36388399999998</v>
      </c>
      <c r="B1257" s="1">
        <f>DATE(2011,6,23) + TIME(8,43,59)</f>
        <v>40717.363877314812</v>
      </c>
      <c r="C1257">
        <v>80</v>
      </c>
      <c r="D1257">
        <v>79.970878600999995</v>
      </c>
      <c r="E1257">
        <v>50</v>
      </c>
      <c r="F1257">
        <v>47.044670105000002</v>
      </c>
      <c r="G1257">
        <v>1336.3150635</v>
      </c>
      <c r="H1257">
        <v>1334.8070068</v>
      </c>
      <c r="I1257">
        <v>1328.1180420000001</v>
      </c>
      <c r="J1257">
        <v>1327.0233154</v>
      </c>
      <c r="K1257">
        <v>2400</v>
      </c>
      <c r="L1257">
        <v>0</v>
      </c>
      <c r="M1257">
        <v>0</v>
      </c>
      <c r="N1257">
        <v>2400</v>
      </c>
    </row>
    <row r="1258" spans="1:14" x14ac:dyDescent="0.25">
      <c r="A1258">
        <v>419.27981299999999</v>
      </c>
      <c r="B1258" s="1">
        <f>DATE(2011,6,24) + TIME(6,42,55)</f>
        <v>40718.279803240737</v>
      </c>
      <c r="C1258">
        <v>80</v>
      </c>
      <c r="D1258">
        <v>79.970870972</v>
      </c>
      <c r="E1258">
        <v>50</v>
      </c>
      <c r="F1258">
        <v>47.008464813000003</v>
      </c>
      <c r="G1258">
        <v>1336.3128661999999</v>
      </c>
      <c r="H1258">
        <v>1334.8067627</v>
      </c>
      <c r="I1258">
        <v>1328.1065673999999</v>
      </c>
      <c r="J1258">
        <v>1327.0070800999999</v>
      </c>
      <c r="K1258">
        <v>2400</v>
      </c>
      <c r="L1258">
        <v>0</v>
      </c>
      <c r="M1258">
        <v>0</v>
      </c>
      <c r="N1258">
        <v>2400</v>
      </c>
    </row>
    <row r="1259" spans="1:14" x14ac:dyDescent="0.25">
      <c r="A1259">
        <v>420.20286700000003</v>
      </c>
      <c r="B1259" s="1">
        <f>DATE(2011,6,25) + TIME(4,52,7)</f>
        <v>40719.2028587963</v>
      </c>
      <c r="C1259">
        <v>80</v>
      </c>
      <c r="D1259">
        <v>79.970863342000001</v>
      </c>
      <c r="E1259">
        <v>50</v>
      </c>
      <c r="F1259">
        <v>46.971893311000002</v>
      </c>
      <c r="G1259">
        <v>1336.3105469</v>
      </c>
      <c r="H1259">
        <v>1334.8063964999999</v>
      </c>
      <c r="I1259">
        <v>1328.0950928</v>
      </c>
      <c r="J1259">
        <v>1326.9907227000001</v>
      </c>
      <c r="K1259">
        <v>2400</v>
      </c>
      <c r="L1259">
        <v>0</v>
      </c>
      <c r="M1259">
        <v>0</v>
      </c>
      <c r="N1259">
        <v>2400</v>
      </c>
    </row>
    <row r="1260" spans="1:14" x14ac:dyDescent="0.25">
      <c r="A1260">
        <v>421.13966199999999</v>
      </c>
      <c r="B1260" s="1">
        <f>DATE(2011,6,26) + TIME(3,21,6)</f>
        <v>40720.139652777776</v>
      </c>
      <c r="C1260">
        <v>80</v>
      </c>
      <c r="D1260">
        <v>79.970863342000001</v>
      </c>
      <c r="E1260">
        <v>50</v>
      </c>
      <c r="F1260">
        <v>46.934871674</v>
      </c>
      <c r="G1260">
        <v>1336.3081055</v>
      </c>
      <c r="H1260">
        <v>1334.8060303</v>
      </c>
      <c r="I1260">
        <v>1328.0836182</v>
      </c>
      <c r="J1260">
        <v>1326.9744873</v>
      </c>
      <c r="K1260">
        <v>2400</v>
      </c>
      <c r="L1260">
        <v>0</v>
      </c>
      <c r="M1260">
        <v>0</v>
      </c>
      <c r="N1260">
        <v>2400</v>
      </c>
    </row>
    <row r="1261" spans="1:14" x14ac:dyDescent="0.25">
      <c r="A1261">
        <v>422.08116100000001</v>
      </c>
      <c r="B1261" s="1">
        <f>DATE(2011,6,27) + TIME(1,56,52)</f>
        <v>40721.081157407411</v>
      </c>
      <c r="C1261">
        <v>80</v>
      </c>
      <c r="D1261">
        <v>79.970855713000006</v>
      </c>
      <c r="E1261">
        <v>50</v>
      </c>
      <c r="F1261">
        <v>46.897476196</v>
      </c>
      <c r="G1261">
        <v>1336.3056641000001</v>
      </c>
      <c r="H1261">
        <v>1334.8055420000001</v>
      </c>
      <c r="I1261">
        <v>1328.0721435999999</v>
      </c>
      <c r="J1261">
        <v>1326.9581298999999</v>
      </c>
      <c r="K1261">
        <v>2400</v>
      </c>
      <c r="L1261">
        <v>0</v>
      </c>
      <c r="M1261">
        <v>0</v>
      </c>
      <c r="N1261">
        <v>2400</v>
      </c>
    </row>
    <row r="1262" spans="1:14" x14ac:dyDescent="0.25">
      <c r="A1262">
        <v>423.03754099999998</v>
      </c>
      <c r="B1262" s="1">
        <f>DATE(2011,6,28) + TIME(0,54,3)</f>
        <v>40722.037534722222</v>
      </c>
      <c r="C1262">
        <v>80</v>
      </c>
      <c r="D1262">
        <v>79.970848083000007</v>
      </c>
      <c r="E1262">
        <v>50</v>
      </c>
      <c r="F1262">
        <v>46.859600067000002</v>
      </c>
      <c r="G1262">
        <v>1336.3033447</v>
      </c>
      <c r="H1262">
        <v>1334.8051757999999</v>
      </c>
      <c r="I1262">
        <v>1328.0606689000001</v>
      </c>
      <c r="J1262">
        <v>1326.9418945</v>
      </c>
      <c r="K1262">
        <v>2400</v>
      </c>
      <c r="L1262">
        <v>0</v>
      </c>
      <c r="M1262">
        <v>0</v>
      </c>
      <c r="N1262">
        <v>2400</v>
      </c>
    </row>
    <row r="1263" spans="1:14" x14ac:dyDescent="0.25">
      <c r="A1263">
        <v>424.01625100000001</v>
      </c>
      <c r="B1263" s="1">
        <f>DATE(2011,6,29) + TIME(0,23,24)</f>
        <v>40723.016250000001</v>
      </c>
      <c r="C1263">
        <v>80</v>
      </c>
      <c r="D1263">
        <v>79.970840453999998</v>
      </c>
      <c r="E1263">
        <v>50</v>
      </c>
      <c r="F1263">
        <v>46.821006775000001</v>
      </c>
      <c r="G1263">
        <v>1336.3011475000001</v>
      </c>
      <c r="H1263">
        <v>1334.8048096</v>
      </c>
      <c r="I1263">
        <v>1328.0493164</v>
      </c>
      <c r="J1263">
        <v>1326.9255370999999</v>
      </c>
      <c r="K1263">
        <v>2400</v>
      </c>
      <c r="L1263">
        <v>0</v>
      </c>
      <c r="M1263">
        <v>0</v>
      </c>
      <c r="N1263">
        <v>2400</v>
      </c>
    </row>
    <row r="1264" spans="1:14" x14ac:dyDescent="0.25">
      <c r="A1264">
        <v>424.99561699999998</v>
      </c>
      <c r="B1264" s="1">
        <f>DATE(2011,6,29) + TIME(23,53,41)</f>
        <v>40723.995613425926</v>
      </c>
      <c r="C1264">
        <v>80</v>
      </c>
      <c r="D1264">
        <v>79.970840453999998</v>
      </c>
      <c r="E1264">
        <v>50</v>
      </c>
      <c r="F1264">
        <v>46.781909943000002</v>
      </c>
      <c r="G1264">
        <v>1336.2988281</v>
      </c>
      <c r="H1264">
        <v>1334.8044434000001</v>
      </c>
      <c r="I1264">
        <v>1328.0377197</v>
      </c>
      <c r="J1264">
        <v>1326.9091797000001</v>
      </c>
      <c r="K1264">
        <v>2400</v>
      </c>
      <c r="L1264">
        <v>0</v>
      </c>
      <c r="M1264">
        <v>0</v>
      </c>
      <c r="N1264">
        <v>2400</v>
      </c>
    </row>
    <row r="1265" spans="1:14" x14ac:dyDescent="0.25">
      <c r="A1265">
        <v>425.49780900000002</v>
      </c>
      <c r="B1265" s="1">
        <f>DATE(2011,6,30) + TIME(11,56,50)</f>
        <v>40724.497800925928</v>
      </c>
      <c r="C1265">
        <v>80</v>
      </c>
      <c r="D1265">
        <v>79.970825195000003</v>
      </c>
      <c r="E1265">
        <v>50</v>
      </c>
      <c r="F1265">
        <v>46.754047393999997</v>
      </c>
      <c r="G1265">
        <v>1336.2966309000001</v>
      </c>
      <c r="H1265">
        <v>1334.8040771000001</v>
      </c>
      <c r="I1265">
        <v>1328.0267334</v>
      </c>
      <c r="J1265">
        <v>1326.8937988</v>
      </c>
      <c r="K1265">
        <v>2400</v>
      </c>
      <c r="L1265">
        <v>0</v>
      </c>
      <c r="M1265">
        <v>0</v>
      </c>
      <c r="N1265">
        <v>2400</v>
      </c>
    </row>
    <row r="1266" spans="1:14" x14ac:dyDescent="0.25">
      <c r="A1266">
        <v>426</v>
      </c>
      <c r="B1266" s="1">
        <f>DATE(2011,7,1) + TIME(0,0,0)</f>
        <v>40725</v>
      </c>
      <c r="C1266">
        <v>80</v>
      </c>
      <c r="D1266">
        <v>79.970817565999994</v>
      </c>
      <c r="E1266">
        <v>50</v>
      </c>
      <c r="F1266">
        <v>46.729164124</v>
      </c>
      <c r="G1266">
        <v>1336.2956543</v>
      </c>
      <c r="H1266">
        <v>1334.8038329999999</v>
      </c>
      <c r="I1266">
        <v>1328.0197754000001</v>
      </c>
      <c r="J1266">
        <v>1326.8835449000001</v>
      </c>
      <c r="K1266">
        <v>2400</v>
      </c>
      <c r="L1266">
        <v>0</v>
      </c>
      <c r="M1266">
        <v>0</v>
      </c>
      <c r="N1266">
        <v>2400</v>
      </c>
    </row>
    <row r="1267" spans="1:14" x14ac:dyDescent="0.25">
      <c r="A1267">
        <v>427.00438300000002</v>
      </c>
      <c r="B1267" s="1">
        <f>DATE(2011,7,2) + TIME(0,6,18)</f>
        <v>40726.004374999997</v>
      </c>
      <c r="C1267">
        <v>80</v>
      </c>
      <c r="D1267">
        <v>79.970825195000003</v>
      </c>
      <c r="E1267">
        <v>50</v>
      </c>
      <c r="F1267">
        <v>46.696178435999997</v>
      </c>
      <c r="G1267">
        <v>1336.2945557</v>
      </c>
      <c r="H1267">
        <v>1334.8037108999999</v>
      </c>
      <c r="I1267">
        <v>1328.0129394999999</v>
      </c>
      <c r="J1267">
        <v>1326.8731689000001</v>
      </c>
      <c r="K1267">
        <v>2400</v>
      </c>
      <c r="L1267">
        <v>0</v>
      </c>
      <c r="M1267">
        <v>0</v>
      </c>
      <c r="N1267">
        <v>2400</v>
      </c>
    </row>
    <row r="1268" spans="1:14" x14ac:dyDescent="0.25">
      <c r="A1268">
        <v>428.01954499999999</v>
      </c>
      <c r="B1268" s="1">
        <f>DATE(2011,7,3) + TIME(0,28,8)</f>
        <v>40727.019537037035</v>
      </c>
      <c r="C1268">
        <v>80</v>
      </c>
      <c r="D1268">
        <v>79.970832825000002</v>
      </c>
      <c r="E1268">
        <v>50</v>
      </c>
      <c r="F1268">
        <v>46.658489226999997</v>
      </c>
      <c r="G1268">
        <v>1336.2924805</v>
      </c>
      <c r="H1268">
        <v>1334.8033447</v>
      </c>
      <c r="I1268">
        <v>1328.0025635</v>
      </c>
      <c r="J1268">
        <v>1326.8585204999999</v>
      </c>
      <c r="K1268">
        <v>2400</v>
      </c>
      <c r="L1268">
        <v>0</v>
      </c>
      <c r="M1268">
        <v>0</v>
      </c>
      <c r="N1268">
        <v>2400</v>
      </c>
    </row>
    <row r="1269" spans="1:14" x14ac:dyDescent="0.25">
      <c r="A1269">
        <v>429.05085100000002</v>
      </c>
      <c r="B1269" s="1">
        <f>DATE(2011,7,4) + TIME(1,13,13)</f>
        <v>40728.050844907404</v>
      </c>
      <c r="C1269">
        <v>80</v>
      </c>
      <c r="D1269">
        <v>79.970832825000002</v>
      </c>
      <c r="E1269">
        <v>50</v>
      </c>
      <c r="F1269">
        <v>46.618320464999996</v>
      </c>
      <c r="G1269">
        <v>1336.2904053</v>
      </c>
      <c r="H1269">
        <v>1334.8031006000001</v>
      </c>
      <c r="I1269">
        <v>1327.9915771000001</v>
      </c>
      <c r="J1269">
        <v>1326.8430175999999</v>
      </c>
      <c r="K1269">
        <v>2400</v>
      </c>
      <c r="L1269">
        <v>0</v>
      </c>
      <c r="M1269">
        <v>0</v>
      </c>
      <c r="N1269">
        <v>2400</v>
      </c>
    </row>
    <row r="1270" spans="1:14" x14ac:dyDescent="0.25">
      <c r="A1270">
        <v>430.09608100000003</v>
      </c>
      <c r="B1270" s="1">
        <f>DATE(2011,7,5) + TIME(2,18,21)</f>
        <v>40729.096076388887</v>
      </c>
      <c r="C1270">
        <v>80</v>
      </c>
      <c r="D1270">
        <v>79.970832825000002</v>
      </c>
      <c r="E1270">
        <v>50</v>
      </c>
      <c r="F1270">
        <v>46.576633452999999</v>
      </c>
      <c r="G1270">
        <v>1336.2883300999999</v>
      </c>
      <c r="H1270">
        <v>1334.8027344</v>
      </c>
      <c r="I1270">
        <v>1327.9804687999999</v>
      </c>
      <c r="J1270">
        <v>1326.8269043</v>
      </c>
      <c r="K1270">
        <v>2400</v>
      </c>
      <c r="L1270">
        <v>0</v>
      </c>
      <c r="M1270">
        <v>0</v>
      </c>
      <c r="N1270">
        <v>2400</v>
      </c>
    </row>
    <row r="1271" spans="1:14" x14ac:dyDescent="0.25">
      <c r="A1271">
        <v>431.14975099999998</v>
      </c>
      <c r="B1271" s="1">
        <f>DATE(2011,7,6) + TIME(3,35,38)</f>
        <v>40730.149745370371</v>
      </c>
      <c r="C1271">
        <v>80</v>
      </c>
      <c r="D1271">
        <v>79.970832825000002</v>
      </c>
      <c r="E1271">
        <v>50</v>
      </c>
      <c r="F1271">
        <v>46.533939361999998</v>
      </c>
      <c r="G1271">
        <v>1336.2862548999999</v>
      </c>
      <c r="H1271">
        <v>1334.8023682</v>
      </c>
      <c r="I1271">
        <v>1327.9691161999999</v>
      </c>
      <c r="J1271">
        <v>1326.8107910000001</v>
      </c>
      <c r="K1271">
        <v>2400</v>
      </c>
      <c r="L1271">
        <v>0</v>
      </c>
      <c r="M1271">
        <v>0</v>
      </c>
      <c r="N1271">
        <v>2400</v>
      </c>
    </row>
    <row r="1272" spans="1:14" x14ac:dyDescent="0.25">
      <c r="A1272">
        <v>432.21233000000001</v>
      </c>
      <c r="B1272" s="1">
        <f>DATE(2011,7,7) + TIME(5,5,45)</f>
        <v>40731.212326388886</v>
      </c>
      <c r="C1272">
        <v>80</v>
      </c>
      <c r="D1272">
        <v>79.970832825000002</v>
      </c>
      <c r="E1272">
        <v>50</v>
      </c>
      <c r="F1272">
        <v>46.490489959999998</v>
      </c>
      <c r="G1272">
        <v>1336.2843018000001</v>
      </c>
      <c r="H1272">
        <v>1334.802124</v>
      </c>
      <c r="I1272">
        <v>1327.9578856999999</v>
      </c>
      <c r="J1272">
        <v>1326.7944336</v>
      </c>
      <c r="K1272">
        <v>2400</v>
      </c>
      <c r="L1272">
        <v>0</v>
      </c>
      <c r="M1272">
        <v>0</v>
      </c>
      <c r="N1272">
        <v>2400</v>
      </c>
    </row>
    <row r="1273" spans="1:14" x14ac:dyDescent="0.25">
      <c r="A1273">
        <v>433.29629399999999</v>
      </c>
      <c r="B1273" s="1">
        <f>DATE(2011,7,8) + TIME(7,6,39)</f>
        <v>40732.296284722222</v>
      </c>
      <c r="C1273">
        <v>80</v>
      </c>
      <c r="D1273">
        <v>79.970832825000002</v>
      </c>
      <c r="E1273">
        <v>50</v>
      </c>
      <c r="F1273">
        <v>46.446170807000001</v>
      </c>
      <c r="G1273">
        <v>1336.2823486</v>
      </c>
      <c r="H1273">
        <v>1334.8017577999999</v>
      </c>
      <c r="I1273">
        <v>1327.9466553</v>
      </c>
      <c r="J1273">
        <v>1326.7783202999999</v>
      </c>
      <c r="K1273">
        <v>2400</v>
      </c>
      <c r="L1273">
        <v>0</v>
      </c>
      <c r="M1273">
        <v>0</v>
      </c>
      <c r="N1273">
        <v>2400</v>
      </c>
    </row>
    <row r="1274" spans="1:14" x14ac:dyDescent="0.25">
      <c r="A1274">
        <v>434.38993299999998</v>
      </c>
      <c r="B1274" s="1">
        <f>DATE(2011,7,9) + TIME(9,21,30)</f>
        <v>40733.389930555553</v>
      </c>
      <c r="C1274">
        <v>80</v>
      </c>
      <c r="D1274">
        <v>79.970840453999998</v>
      </c>
      <c r="E1274">
        <v>50</v>
      </c>
      <c r="F1274">
        <v>46.401039124</v>
      </c>
      <c r="G1274">
        <v>1336.2803954999999</v>
      </c>
      <c r="H1274">
        <v>1334.8015137</v>
      </c>
      <c r="I1274">
        <v>1327.9355469</v>
      </c>
      <c r="J1274">
        <v>1326.7619629000001</v>
      </c>
      <c r="K1274">
        <v>2400</v>
      </c>
      <c r="L1274">
        <v>0</v>
      </c>
      <c r="M1274">
        <v>0</v>
      </c>
      <c r="N1274">
        <v>2400</v>
      </c>
    </row>
    <row r="1275" spans="1:14" x14ac:dyDescent="0.25">
      <c r="A1275">
        <v>435.49272300000001</v>
      </c>
      <c r="B1275" s="1">
        <f>DATE(2011,7,10) + TIME(11,49,31)</f>
        <v>40734.492719907408</v>
      </c>
      <c r="C1275">
        <v>80</v>
      </c>
      <c r="D1275">
        <v>79.970840453999998</v>
      </c>
      <c r="E1275">
        <v>50</v>
      </c>
      <c r="F1275">
        <v>46.355236052999999</v>
      </c>
      <c r="G1275">
        <v>1336.2784423999999</v>
      </c>
      <c r="H1275">
        <v>1334.8011475000001</v>
      </c>
      <c r="I1275">
        <v>1327.9243164</v>
      </c>
      <c r="J1275">
        <v>1326.7457274999999</v>
      </c>
      <c r="K1275">
        <v>2400</v>
      </c>
      <c r="L1275">
        <v>0</v>
      </c>
      <c r="M1275">
        <v>0</v>
      </c>
      <c r="N1275">
        <v>2400</v>
      </c>
    </row>
    <row r="1276" spans="1:14" x14ac:dyDescent="0.25">
      <c r="A1276">
        <v>436.60864199999997</v>
      </c>
      <c r="B1276" s="1">
        <f>DATE(2011,7,11) + TIME(14,36,26)</f>
        <v>40735.608634259261</v>
      </c>
      <c r="C1276">
        <v>80</v>
      </c>
      <c r="D1276">
        <v>79.970848083000007</v>
      </c>
      <c r="E1276">
        <v>50</v>
      </c>
      <c r="F1276">
        <v>46.308776854999998</v>
      </c>
      <c r="G1276">
        <v>1336.2764893000001</v>
      </c>
      <c r="H1276">
        <v>1334.8009033000001</v>
      </c>
      <c r="I1276">
        <v>1327.9133300999999</v>
      </c>
      <c r="J1276">
        <v>1326.7296143000001</v>
      </c>
      <c r="K1276">
        <v>2400</v>
      </c>
      <c r="L1276">
        <v>0</v>
      </c>
      <c r="M1276">
        <v>0</v>
      </c>
      <c r="N1276">
        <v>2400</v>
      </c>
    </row>
    <row r="1277" spans="1:14" x14ac:dyDescent="0.25">
      <c r="A1277">
        <v>437.73640599999999</v>
      </c>
      <c r="B1277" s="1">
        <f>DATE(2011,7,12) + TIME(17,40,25)</f>
        <v>40736.736400462964</v>
      </c>
      <c r="C1277">
        <v>80</v>
      </c>
      <c r="D1277">
        <v>79.970855713000006</v>
      </c>
      <c r="E1277">
        <v>50</v>
      </c>
      <c r="F1277">
        <v>46.261711120999998</v>
      </c>
      <c r="G1277">
        <v>1336.2746582</v>
      </c>
      <c r="H1277">
        <v>1334.8005370999999</v>
      </c>
      <c r="I1277">
        <v>1327.9023437999999</v>
      </c>
      <c r="J1277">
        <v>1326.713501</v>
      </c>
      <c r="K1277">
        <v>2400</v>
      </c>
      <c r="L1277">
        <v>0</v>
      </c>
      <c r="M1277">
        <v>0</v>
      </c>
      <c r="N1277">
        <v>2400</v>
      </c>
    </row>
    <row r="1278" spans="1:14" x14ac:dyDescent="0.25">
      <c r="A1278">
        <v>438.87914599999999</v>
      </c>
      <c r="B1278" s="1">
        <f>DATE(2011,7,13) + TIME(21,5,58)</f>
        <v>40737.879143518519</v>
      </c>
      <c r="C1278">
        <v>80</v>
      </c>
      <c r="D1278">
        <v>79.970863342000001</v>
      </c>
      <c r="E1278">
        <v>50</v>
      </c>
      <c r="F1278">
        <v>46.214069365999997</v>
      </c>
      <c r="G1278">
        <v>1336.2728271000001</v>
      </c>
      <c r="H1278">
        <v>1334.800293</v>
      </c>
      <c r="I1278">
        <v>1327.8913574000001</v>
      </c>
      <c r="J1278">
        <v>1326.6975098</v>
      </c>
      <c r="K1278">
        <v>2400</v>
      </c>
      <c r="L1278">
        <v>0</v>
      </c>
      <c r="M1278">
        <v>0</v>
      </c>
      <c r="N1278">
        <v>2400</v>
      </c>
    </row>
    <row r="1279" spans="1:14" x14ac:dyDescent="0.25">
      <c r="A1279">
        <v>440.044398</v>
      </c>
      <c r="B1279" s="1">
        <f>DATE(2011,7,15) + TIME(1,3,56)</f>
        <v>40739.044398148151</v>
      </c>
      <c r="C1279">
        <v>80</v>
      </c>
      <c r="D1279">
        <v>79.970863342000001</v>
      </c>
      <c r="E1279">
        <v>50</v>
      </c>
      <c r="F1279">
        <v>46.165828705000003</v>
      </c>
      <c r="G1279">
        <v>1336.270874</v>
      </c>
      <c r="H1279">
        <v>1334.7999268000001</v>
      </c>
      <c r="I1279">
        <v>1327.8806152</v>
      </c>
      <c r="J1279">
        <v>1326.6815185999999</v>
      </c>
      <c r="K1279">
        <v>2400</v>
      </c>
      <c r="L1279">
        <v>0</v>
      </c>
      <c r="M1279">
        <v>0</v>
      </c>
      <c r="N1279">
        <v>2400</v>
      </c>
    </row>
    <row r="1280" spans="1:14" x14ac:dyDescent="0.25">
      <c r="A1280">
        <v>441.21749299999999</v>
      </c>
      <c r="B1280" s="1">
        <f>DATE(2011,7,16) + TIME(5,13,11)</f>
        <v>40740.217488425929</v>
      </c>
      <c r="C1280">
        <v>80</v>
      </c>
      <c r="D1280">
        <v>79.970870972</v>
      </c>
      <c r="E1280">
        <v>50</v>
      </c>
      <c r="F1280">
        <v>46.117271422999998</v>
      </c>
      <c r="G1280">
        <v>1336.269043</v>
      </c>
      <c r="H1280">
        <v>1334.7996826000001</v>
      </c>
      <c r="I1280">
        <v>1327.8698730000001</v>
      </c>
      <c r="J1280">
        <v>1326.6655272999999</v>
      </c>
      <c r="K1280">
        <v>2400</v>
      </c>
      <c r="L1280">
        <v>0</v>
      </c>
      <c r="M1280">
        <v>0</v>
      </c>
      <c r="N1280">
        <v>2400</v>
      </c>
    </row>
    <row r="1281" spans="1:14" x14ac:dyDescent="0.25">
      <c r="A1281">
        <v>442.39799399999998</v>
      </c>
      <c r="B1281" s="1">
        <f>DATE(2011,7,17) + TIME(9,33,6)</f>
        <v>40741.397986111115</v>
      </c>
      <c r="C1281">
        <v>80</v>
      </c>
      <c r="D1281">
        <v>79.970886230000005</v>
      </c>
      <c r="E1281">
        <v>50</v>
      </c>
      <c r="F1281">
        <v>46.068855286000002</v>
      </c>
      <c r="G1281">
        <v>1336.2672118999999</v>
      </c>
      <c r="H1281">
        <v>1334.7993164</v>
      </c>
      <c r="I1281">
        <v>1327.8592529</v>
      </c>
      <c r="J1281">
        <v>1326.6496582</v>
      </c>
      <c r="K1281">
        <v>2400</v>
      </c>
      <c r="L1281">
        <v>0</v>
      </c>
      <c r="M1281">
        <v>0</v>
      </c>
      <c r="N1281">
        <v>2400</v>
      </c>
    </row>
    <row r="1282" spans="1:14" x14ac:dyDescent="0.25">
      <c r="A1282">
        <v>443.60011100000003</v>
      </c>
      <c r="B1282" s="1">
        <f>DATE(2011,7,18) + TIME(14,24,9)</f>
        <v>40742.600104166668</v>
      </c>
      <c r="C1282">
        <v>80</v>
      </c>
      <c r="D1282">
        <v>79.970893860000004</v>
      </c>
      <c r="E1282">
        <v>50</v>
      </c>
      <c r="F1282">
        <v>46.020801544000001</v>
      </c>
      <c r="G1282">
        <v>1336.2653809000001</v>
      </c>
      <c r="H1282">
        <v>1334.7989502</v>
      </c>
      <c r="I1282">
        <v>1327.8487548999999</v>
      </c>
      <c r="J1282">
        <v>1326.6339111</v>
      </c>
      <c r="K1282">
        <v>2400</v>
      </c>
      <c r="L1282">
        <v>0</v>
      </c>
      <c r="M1282">
        <v>0</v>
      </c>
      <c r="N1282">
        <v>2400</v>
      </c>
    </row>
    <row r="1283" spans="1:14" x14ac:dyDescent="0.25">
      <c r="A1283">
        <v>444.81514299999998</v>
      </c>
      <c r="B1283" s="1">
        <f>DATE(2011,7,19) + TIME(19,33,48)</f>
        <v>40743.815138888887</v>
      </c>
      <c r="C1283">
        <v>80</v>
      </c>
      <c r="D1283">
        <v>79.970901488999999</v>
      </c>
      <c r="E1283">
        <v>50</v>
      </c>
      <c r="F1283">
        <v>45.973541259999998</v>
      </c>
      <c r="G1283">
        <v>1336.2635498</v>
      </c>
      <c r="H1283">
        <v>1334.7985839999999</v>
      </c>
      <c r="I1283">
        <v>1327.8383789</v>
      </c>
      <c r="J1283">
        <v>1326.6182861</v>
      </c>
      <c r="K1283">
        <v>2400</v>
      </c>
      <c r="L1283">
        <v>0</v>
      </c>
      <c r="M1283">
        <v>0</v>
      </c>
      <c r="N1283">
        <v>2400</v>
      </c>
    </row>
    <row r="1284" spans="1:14" x14ac:dyDescent="0.25">
      <c r="A1284">
        <v>446.04878000000002</v>
      </c>
      <c r="B1284" s="1">
        <f>DATE(2011,7,21) + TIME(1,10,14)</f>
        <v>40745.048773148148</v>
      </c>
      <c r="C1284">
        <v>80</v>
      </c>
      <c r="D1284">
        <v>79.970909118999998</v>
      </c>
      <c r="E1284">
        <v>50</v>
      </c>
      <c r="F1284">
        <v>45.927715302000003</v>
      </c>
      <c r="G1284">
        <v>1336.2618408000001</v>
      </c>
      <c r="H1284">
        <v>1334.7983397999999</v>
      </c>
      <c r="I1284">
        <v>1327.828125</v>
      </c>
      <c r="J1284">
        <v>1326.6026611</v>
      </c>
      <c r="K1284">
        <v>2400</v>
      </c>
      <c r="L1284">
        <v>0</v>
      </c>
      <c r="M1284">
        <v>0</v>
      </c>
      <c r="N1284">
        <v>2400</v>
      </c>
    </row>
    <row r="1285" spans="1:14" x14ac:dyDescent="0.25">
      <c r="A1285">
        <v>447.29319600000002</v>
      </c>
      <c r="B1285" s="1">
        <f>DATE(2011,7,22) + TIME(7,2,12)</f>
        <v>40746.293194444443</v>
      </c>
      <c r="C1285">
        <v>80</v>
      </c>
      <c r="D1285">
        <v>79.970924377000003</v>
      </c>
      <c r="E1285">
        <v>50</v>
      </c>
      <c r="F1285">
        <v>45.884204865000001</v>
      </c>
      <c r="G1285">
        <v>1336.2600098</v>
      </c>
      <c r="H1285">
        <v>1334.7979736</v>
      </c>
      <c r="I1285">
        <v>1327.8181152</v>
      </c>
      <c r="J1285">
        <v>1326.5872803</v>
      </c>
      <c r="K1285">
        <v>2400</v>
      </c>
      <c r="L1285">
        <v>0</v>
      </c>
      <c r="M1285">
        <v>0</v>
      </c>
      <c r="N1285">
        <v>2400</v>
      </c>
    </row>
    <row r="1286" spans="1:14" x14ac:dyDescent="0.25">
      <c r="A1286">
        <v>448.55059699999998</v>
      </c>
      <c r="B1286" s="1">
        <f>DATE(2011,7,23) + TIME(13,12,51)</f>
        <v>40747.55059027778</v>
      </c>
      <c r="C1286">
        <v>80</v>
      </c>
      <c r="D1286">
        <v>79.970932007000002</v>
      </c>
      <c r="E1286">
        <v>50</v>
      </c>
      <c r="F1286">
        <v>45.844108581999997</v>
      </c>
      <c r="G1286">
        <v>1336.2581786999999</v>
      </c>
      <c r="H1286">
        <v>1334.7976074000001</v>
      </c>
      <c r="I1286">
        <v>1327.8083495999999</v>
      </c>
      <c r="J1286">
        <v>1326.5718993999999</v>
      </c>
      <c r="K1286">
        <v>2400</v>
      </c>
      <c r="L1286">
        <v>0</v>
      </c>
      <c r="M1286">
        <v>0</v>
      </c>
      <c r="N1286">
        <v>2400</v>
      </c>
    </row>
    <row r="1287" spans="1:14" x14ac:dyDescent="0.25">
      <c r="A1287">
        <v>449.82467000000003</v>
      </c>
      <c r="B1287" s="1">
        <f>DATE(2011,7,24) + TIME(19,47,31)</f>
        <v>40748.824664351851</v>
      </c>
      <c r="C1287">
        <v>80</v>
      </c>
      <c r="D1287">
        <v>79.970947265999996</v>
      </c>
      <c r="E1287">
        <v>50</v>
      </c>
      <c r="F1287">
        <v>45.808723450000002</v>
      </c>
      <c r="G1287">
        <v>1336.2564697</v>
      </c>
      <c r="H1287">
        <v>1334.7972411999999</v>
      </c>
      <c r="I1287">
        <v>1327.7987060999999</v>
      </c>
      <c r="J1287">
        <v>1326.5568848</v>
      </c>
      <c r="K1287">
        <v>2400</v>
      </c>
      <c r="L1287">
        <v>0</v>
      </c>
      <c r="M1287">
        <v>0</v>
      </c>
      <c r="N1287">
        <v>2400</v>
      </c>
    </row>
    <row r="1288" spans="1:14" x14ac:dyDescent="0.25">
      <c r="A1288">
        <v>451.12551400000001</v>
      </c>
      <c r="B1288" s="1">
        <f>DATE(2011,7,26) + TIME(3,0,44)</f>
        <v>40750.125509259262</v>
      </c>
      <c r="C1288">
        <v>80</v>
      </c>
      <c r="D1288">
        <v>79.970962524000001</v>
      </c>
      <c r="E1288">
        <v>50</v>
      </c>
      <c r="F1288">
        <v>45.779563904</v>
      </c>
      <c r="G1288">
        <v>1336.2546387</v>
      </c>
      <c r="H1288">
        <v>1334.796875</v>
      </c>
      <c r="I1288">
        <v>1327.7893065999999</v>
      </c>
      <c r="J1288">
        <v>1326.5419922000001</v>
      </c>
      <c r="K1288">
        <v>2400</v>
      </c>
      <c r="L1288">
        <v>0</v>
      </c>
      <c r="M1288">
        <v>0</v>
      </c>
      <c r="N1288">
        <v>2400</v>
      </c>
    </row>
    <row r="1289" spans="1:14" x14ac:dyDescent="0.25">
      <c r="A1289">
        <v>452.43925400000001</v>
      </c>
      <c r="B1289" s="1">
        <f>DATE(2011,7,27) + TIME(10,32,31)</f>
        <v>40751.439247685186</v>
      </c>
      <c r="C1289">
        <v>80</v>
      </c>
      <c r="D1289">
        <v>79.970970154</v>
      </c>
      <c r="E1289">
        <v>50</v>
      </c>
      <c r="F1289">
        <v>45.758640288999999</v>
      </c>
      <c r="G1289">
        <v>1336.2529297000001</v>
      </c>
      <c r="H1289">
        <v>1334.7965088000001</v>
      </c>
      <c r="I1289">
        <v>1327.7801514</v>
      </c>
      <c r="J1289">
        <v>1326.5273437999999</v>
      </c>
      <c r="K1289">
        <v>2400</v>
      </c>
      <c r="L1289">
        <v>0</v>
      </c>
      <c r="M1289">
        <v>0</v>
      </c>
      <c r="N1289">
        <v>2400</v>
      </c>
    </row>
    <row r="1290" spans="1:14" x14ac:dyDescent="0.25">
      <c r="A1290">
        <v>453.76039400000002</v>
      </c>
      <c r="B1290" s="1">
        <f>DATE(2011,7,28) + TIME(18,14,58)</f>
        <v>40752.760393518518</v>
      </c>
      <c r="C1290">
        <v>80</v>
      </c>
      <c r="D1290">
        <v>79.970985412999994</v>
      </c>
      <c r="E1290">
        <v>50</v>
      </c>
      <c r="F1290">
        <v>45.748348235999998</v>
      </c>
      <c r="G1290">
        <v>1336.2510986</v>
      </c>
      <c r="H1290">
        <v>1334.7961425999999</v>
      </c>
      <c r="I1290">
        <v>1327.7712402</v>
      </c>
      <c r="J1290">
        <v>1326.5129394999999</v>
      </c>
      <c r="K1290">
        <v>2400</v>
      </c>
      <c r="L1290">
        <v>0</v>
      </c>
      <c r="M1290">
        <v>0</v>
      </c>
      <c r="N1290">
        <v>2400</v>
      </c>
    </row>
    <row r="1291" spans="1:14" x14ac:dyDescent="0.25">
      <c r="A1291">
        <v>455.10569400000003</v>
      </c>
      <c r="B1291" s="1">
        <f>DATE(2011,7,30) + TIME(2,32,11)</f>
        <v>40754.105682870373</v>
      </c>
      <c r="C1291">
        <v>80</v>
      </c>
      <c r="D1291">
        <v>79.971000670999999</v>
      </c>
      <c r="E1291">
        <v>50</v>
      </c>
      <c r="F1291">
        <v>45.751384735000002</v>
      </c>
      <c r="G1291">
        <v>1336.2493896000001</v>
      </c>
      <c r="H1291">
        <v>1334.7957764</v>
      </c>
      <c r="I1291">
        <v>1327.7628173999999</v>
      </c>
      <c r="J1291">
        <v>1326.4989014</v>
      </c>
      <c r="K1291">
        <v>2400</v>
      </c>
      <c r="L1291">
        <v>0</v>
      </c>
      <c r="M1291">
        <v>0</v>
      </c>
      <c r="N1291">
        <v>2400</v>
      </c>
    </row>
    <row r="1292" spans="1:14" x14ac:dyDescent="0.25">
      <c r="A1292">
        <v>456.46481499999999</v>
      </c>
      <c r="B1292" s="1">
        <f>DATE(2011,7,31) + TIME(11,9,20)</f>
        <v>40755.464814814812</v>
      </c>
      <c r="C1292">
        <v>80</v>
      </c>
      <c r="D1292">
        <v>79.971015929999993</v>
      </c>
      <c r="E1292">
        <v>50</v>
      </c>
      <c r="F1292">
        <v>45.770874022999998</v>
      </c>
      <c r="G1292">
        <v>1336.2475586</v>
      </c>
      <c r="H1292">
        <v>1334.7954102000001</v>
      </c>
      <c r="I1292">
        <v>1327.7546387</v>
      </c>
      <c r="J1292">
        <v>1326.4853516000001</v>
      </c>
      <c r="K1292">
        <v>2400</v>
      </c>
      <c r="L1292">
        <v>0</v>
      </c>
      <c r="M1292">
        <v>0</v>
      </c>
      <c r="N1292">
        <v>2400</v>
      </c>
    </row>
    <row r="1293" spans="1:14" x14ac:dyDescent="0.25">
      <c r="A1293">
        <v>457</v>
      </c>
      <c r="B1293" s="1">
        <f>DATE(2011,8,1) + TIME(0,0,0)</f>
        <v>40756</v>
      </c>
      <c r="C1293">
        <v>80</v>
      </c>
      <c r="D1293">
        <v>79.971015929999993</v>
      </c>
      <c r="E1293">
        <v>50</v>
      </c>
      <c r="F1293">
        <v>45.796691895000002</v>
      </c>
      <c r="G1293">
        <v>1336.2458495999999</v>
      </c>
      <c r="H1293">
        <v>1334.7949219</v>
      </c>
      <c r="I1293">
        <v>1327.7475586</v>
      </c>
      <c r="J1293">
        <v>1326.4731445</v>
      </c>
      <c r="K1293">
        <v>2400</v>
      </c>
      <c r="L1293">
        <v>0</v>
      </c>
      <c r="M1293">
        <v>0</v>
      </c>
      <c r="N1293">
        <v>2400</v>
      </c>
    </row>
    <row r="1294" spans="1:14" x14ac:dyDescent="0.25">
      <c r="A1294">
        <v>458.38560100000001</v>
      </c>
      <c r="B1294" s="1">
        <f>DATE(2011,8,2) + TIME(9,15,15)</f>
        <v>40757.38559027778</v>
      </c>
      <c r="C1294">
        <v>80</v>
      </c>
      <c r="D1294">
        <v>79.971038817999997</v>
      </c>
      <c r="E1294">
        <v>50</v>
      </c>
      <c r="F1294">
        <v>45.837890625</v>
      </c>
      <c r="G1294">
        <v>1336.2451172000001</v>
      </c>
      <c r="H1294">
        <v>1334.7947998</v>
      </c>
      <c r="I1294">
        <v>1327.7427978999999</v>
      </c>
      <c r="J1294">
        <v>1326.4652100000001</v>
      </c>
      <c r="K1294">
        <v>2400</v>
      </c>
      <c r="L1294">
        <v>0</v>
      </c>
      <c r="M1294">
        <v>0</v>
      </c>
      <c r="N1294">
        <v>2400</v>
      </c>
    </row>
    <row r="1295" spans="1:14" x14ac:dyDescent="0.25">
      <c r="A1295">
        <v>459.79371600000002</v>
      </c>
      <c r="B1295" s="1">
        <f>DATE(2011,8,3) + TIME(19,2,57)</f>
        <v>40758.793715277781</v>
      </c>
      <c r="C1295">
        <v>80</v>
      </c>
      <c r="D1295">
        <v>79.971054077000005</v>
      </c>
      <c r="E1295">
        <v>50</v>
      </c>
      <c r="F1295">
        <v>45.908927917</v>
      </c>
      <c r="G1295">
        <v>1336.2434082</v>
      </c>
      <c r="H1295">
        <v>1334.7944336</v>
      </c>
      <c r="I1295">
        <v>1327.7363281</v>
      </c>
      <c r="J1295">
        <v>1326.4541016000001</v>
      </c>
      <c r="K1295">
        <v>2400</v>
      </c>
      <c r="L1295">
        <v>0</v>
      </c>
      <c r="M1295">
        <v>0</v>
      </c>
      <c r="N1295">
        <v>2400</v>
      </c>
    </row>
    <row r="1296" spans="1:14" x14ac:dyDescent="0.25">
      <c r="A1296">
        <v>461.212874</v>
      </c>
      <c r="B1296" s="1">
        <f>DATE(2011,8,5) + TIME(5,6,32)</f>
        <v>40760.212870370371</v>
      </c>
      <c r="C1296">
        <v>80</v>
      </c>
      <c r="D1296">
        <v>79.971076964999995</v>
      </c>
      <c r="E1296">
        <v>50</v>
      </c>
      <c r="F1296">
        <v>46.010597228999998</v>
      </c>
      <c r="G1296">
        <v>1336.2415771000001</v>
      </c>
      <c r="H1296">
        <v>1334.7939452999999</v>
      </c>
      <c r="I1296">
        <v>1327.7297363</v>
      </c>
      <c r="J1296">
        <v>1326.4426269999999</v>
      </c>
      <c r="K1296">
        <v>2400</v>
      </c>
      <c r="L1296">
        <v>0</v>
      </c>
      <c r="M1296">
        <v>0</v>
      </c>
      <c r="N1296">
        <v>2400</v>
      </c>
    </row>
    <row r="1297" spans="1:14" x14ac:dyDescent="0.25">
      <c r="A1297">
        <v>462.66143499999998</v>
      </c>
      <c r="B1297" s="1">
        <f>DATE(2011,8,6) + TIME(15,52,27)</f>
        <v>40761.661423611113</v>
      </c>
      <c r="C1297">
        <v>80</v>
      </c>
      <c r="D1297">
        <v>79.971092224000003</v>
      </c>
      <c r="E1297">
        <v>50</v>
      </c>
      <c r="F1297">
        <v>46.145633697999997</v>
      </c>
      <c r="G1297">
        <v>1336.2398682</v>
      </c>
      <c r="H1297">
        <v>1334.793457</v>
      </c>
      <c r="I1297">
        <v>1327.7236327999999</v>
      </c>
      <c r="J1297">
        <v>1326.4316406</v>
      </c>
      <c r="K1297">
        <v>2400</v>
      </c>
      <c r="L1297">
        <v>0</v>
      </c>
      <c r="M1297">
        <v>0</v>
      </c>
      <c r="N1297">
        <v>2400</v>
      </c>
    </row>
    <row r="1298" spans="1:14" x14ac:dyDescent="0.25">
      <c r="A1298">
        <v>464.12953700000003</v>
      </c>
      <c r="B1298" s="1">
        <f>DATE(2011,8,8) + TIME(3,6,32)</f>
        <v>40763.129537037035</v>
      </c>
      <c r="C1298">
        <v>80</v>
      </c>
      <c r="D1298">
        <v>79.971115112000007</v>
      </c>
      <c r="E1298">
        <v>50</v>
      </c>
      <c r="F1298">
        <v>46.317848206000001</v>
      </c>
      <c r="G1298">
        <v>1336.2380370999999</v>
      </c>
      <c r="H1298">
        <v>1334.7930908000001</v>
      </c>
      <c r="I1298">
        <v>1327.7177733999999</v>
      </c>
      <c r="J1298">
        <v>1326.4212646000001</v>
      </c>
      <c r="K1298">
        <v>2400</v>
      </c>
      <c r="L1298">
        <v>0</v>
      </c>
      <c r="M1298">
        <v>0</v>
      </c>
      <c r="N1298">
        <v>2400</v>
      </c>
    </row>
    <row r="1299" spans="1:14" x14ac:dyDescent="0.25">
      <c r="A1299">
        <v>465.610681</v>
      </c>
      <c r="B1299" s="1">
        <f>DATE(2011,8,9) + TIME(14,39,22)</f>
        <v>40764.610671296294</v>
      </c>
      <c r="C1299">
        <v>80</v>
      </c>
      <c r="D1299">
        <v>79.971130371000001</v>
      </c>
      <c r="E1299">
        <v>50</v>
      </c>
      <c r="F1299">
        <v>46.529659271</v>
      </c>
      <c r="G1299">
        <v>1336.2362060999999</v>
      </c>
      <c r="H1299">
        <v>1334.7926024999999</v>
      </c>
      <c r="I1299">
        <v>1327.7124022999999</v>
      </c>
      <c r="J1299">
        <v>1326.4117432</v>
      </c>
      <c r="K1299">
        <v>2400</v>
      </c>
      <c r="L1299">
        <v>0</v>
      </c>
      <c r="M1299">
        <v>0</v>
      </c>
      <c r="N1299">
        <v>2400</v>
      </c>
    </row>
    <row r="1300" spans="1:14" x14ac:dyDescent="0.25">
      <c r="A1300">
        <v>467.11166600000001</v>
      </c>
      <c r="B1300" s="1">
        <f>DATE(2011,8,11) + TIME(2,40,47)</f>
        <v>40766.111655092594</v>
      </c>
      <c r="C1300">
        <v>80</v>
      </c>
      <c r="D1300">
        <v>79.971153259000005</v>
      </c>
      <c r="E1300">
        <v>50</v>
      </c>
      <c r="F1300">
        <v>46.782623291</v>
      </c>
      <c r="G1300">
        <v>1336.2344971</v>
      </c>
      <c r="H1300">
        <v>1334.7921143000001</v>
      </c>
      <c r="I1300">
        <v>1327.7075195</v>
      </c>
      <c r="J1300">
        <v>1326.4029541</v>
      </c>
      <c r="K1300">
        <v>2400</v>
      </c>
      <c r="L1300">
        <v>0</v>
      </c>
      <c r="M1300">
        <v>0</v>
      </c>
      <c r="N1300">
        <v>2400</v>
      </c>
    </row>
    <row r="1301" spans="1:14" x14ac:dyDescent="0.25">
      <c r="A1301">
        <v>468.63388600000002</v>
      </c>
      <c r="B1301" s="1">
        <f>DATE(2011,8,12) + TIME(15,12,47)</f>
        <v>40767.633877314816</v>
      </c>
      <c r="C1301">
        <v>80</v>
      </c>
      <c r="D1301">
        <v>79.971176146999994</v>
      </c>
      <c r="E1301">
        <v>50</v>
      </c>
      <c r="F1301">
        <v>47.077606201000002</v>
      </c>
      <c r="G1301">
        <v>1336.2327881000001</v>
      </c>
      <c r="H1301">
        <v>1334.791626</v>
      </c>
      <c r="I1301">
        <v>1327.7030029</v>
      </c>
      <c r="J1301">
        <v>1326.3950195</v>
      </c>
      <c r="K1301">
        <v>2400</v>
      </c>
      <c r="L1301">
        <v>0</v>
      </c>
      <c r="M1301">
        <v>0</v>
      </c>
      <c r="N1301">
        <v>2400</v>
      </c>
    </row>
    <row r="1302" spans="1:14" x14ac:dyDescent="0.25">
      <c r="A1302">
        <v>470.185428</v>
      </c>
      <c r="B1302" s="1">
        <f>DATE(2011,8,14) + TIME(4,27,0)</f>
        <v>40769.185416666667</v>
      </c>
      <c r="C1302">
        <v>80</v>
      </c>
      <c r="D1302">
        <v>79.971191406000003</v>
      </c>
      <c r="E1302">
        <v>50</v>
      </c>
      <c r="F1302">
        <v>47.414237976000003</v>
      </c>
      <c r="G1302">
        <v>1336.230957</v>
      </c>
      <c r="H1302">
        <v>1334.7911377</v>
      </c>
      <c r="I1302">
        <v>1327.6989745999999</v>
      </c>
      <c r="J1302">
        <v>1326.3880615</v>
      </c>
      <c r="K1302">
        <v>2400</v>
      </c>
      <c r="L1302">
        <v>0</v>
      </c>
      <c r="M1302">
        <v>0</v>
      </c>
      <c r="N1302">
        <v>2400</v>
      </c>
    </row>
    <row r="1303" spans="1:14" x14ac:dyDescent="0.25">
      <c r="A1303">
        <v>471.75476300000003</v>
      </c>
      <c r="B1303" s="1">
        <f>DATE(2011,8,15) + TIME(18,6,51)</f>
        <v>40770.754756944443</v>
      </c>
      <c r="C1303">
        <v>80</v>
      </c>
      <c r="D1303">
        <v>79.971214294000006</v>
      </c>
      <c r="E1303">
        <v>50</v>
      </c>
      <c r="F1303">
        <v>47.789203643999997</v>
      </c>
      <c r="G1303">
        <v>1336.2292480000001</v>
      </c>
      <c r="H1303">
        <v>1334.7906493999999</v>
      </c>
      <c r="I1303">
        <v>1327.6953125</v>
      </c>
      <c r="J1303">
        <v>1326.3818358999999</v>
      </c>
      <c r="K1303">
        <v>2400</v>
      </c>
      <c r="L1303">
        <v>0</v>
      </c>
      <c r="M1303">
        <v>0</v>
      </c>
      <c r="N1303">
        <v>2400</v>
      </c>
    </row>
    <row r="1304" spans="1:14" x14ac:dyDescent="0.25">
      <c r="A1304">
        <v>473.34199100000001</v>
      </c>
      <c r="B1304" s="1">
        <f>DATE(2011,8,17) + TIME(8,12,28)</f>
        <v>40772.341990740744</v>
      </c>
      <c r="C1304">
        <v>80</v>
      </c>
      <c r="D1304">
        <v>79.971237183</v>
      </c>
      <c r="E1304">
        <v>50</v>
      </c>
      <c r="F1304">
        <v>48.195571899000001</v>
      </c>
      <c r="G1304">
        <v>1336.2274170000001</v>
      </c>
      <c r="H1304">
        <v>1334.7901611</v>
      </c>
      <c r="I1304">
        <v>1327.6918945</v>
      </c>
      <c r="J1304">
        <v>1326.3763428</v>
      </c>
      <c r="K1304">
        <v>2400</v>
      </c>
      <c r="L1304">
        <v>0</v>
      </c>
      <c r="M1304">
        <v>0</v>
      </c>
      <c r="N1304">
        <v>2400</v>
      </c>
    </row>
    <row r="1305" spans="1:14" x14ac:dyDescent="0.25">
      <c r="A1305">
        <v>474.950941</v>
      </c>
      <c r="B1305" s="1">
        <f>DATE(2011,8,18) + TIME(22,49,21)</f>
        <v>40773.950937499998</v>
      </c>
      <c r="C1305">
        <v>80</v>
      </c>
      <c r="D1305">
        <v>79.971260071000003</v>
      </c>
      <c r="E1305">
        <v>50</v>
      </c>
      <c r="F1305">
        <v>48.626468658</v>
      </c>
      <c r="G1305">
        <v>1336.2257079999999</v>
      </c>
      <c r="H1305">
        <v>1334.7896728999999</v>
      </c>
      <c r="I1305">
        <v>1327.6889647999999</v>
      </c>
      <c r="J1305">
        <v>1326.371582</v>
      </c>
      <c r="K1305">
        <v>2400</v>
      </c>
      <c r="L1305">
        <v>0</v>
      </c>
      <c r="M1305">
        <v>0</v>
      </c>
      <c r="N1305">
        <v>2400</v>
      </c>
    </row>
    <row r="1306" spans="1:14" x14ac:dyDescent="0.25">
      <c r="A1306">
        <v>476.59290900000002</v>
      </c>
      <c r="B1306" s="1">
        <f>DATE(2011,8,20) + TIME(14,13,47)</f>
        <v>40775.592905092592</v>
      </c>
      <c r="C1306">
        <v>80</v>
      </c>
      <c r="D1306">
        <v>79.971290588000002</v>
      </c>
      <c r="E1306">
        <v>50</v>
      </c>
      <c r="F1306">
        <v>49.076229095000002</v>
      </c>
      <c r="G1306">
        <v>1336.223999</v>
      </c>
      <c r="H1306">
        <v>1334.7890625</v>
      </c>
      <c r="I1306">
        <v>1327.6861572</v>
      </c>
      <c r="J1306">
        <v>1326.3674315999999</v>
      </c>
      <c r="K1306">
        <v>2400</v>
      </c>
      <c r="L1306">
        <v>0</v>
      </c>
      <c r="M1306">
        <v>0</v>
      </c>
      <c r="N1306">
        <v>2400</v>
      </c>
    </row>
    <row r="1307" spans="1:14" x14ac:dyDescent="0.25">
      <c r="A1307">
        <v>478.26152000000002</v>
      </c>
      <c r="B1307" s="1">
        <f>DATE(2011,8,22) + TIME(6,16,35)</f>
        <v>40777.261516203704</v>
      </c>
      <c r="C1307">
        <v>80</v>
      </c>
      <c r="D1307">
        <v>79.971313476999995</v>
      </c>
      <c r="E1307">
        <v>50</v>
      </c>
      <c r="F1307">
        <v>49.539745330999999</v>
      </c>
      <c r="G1307">
        <v>1336.222168</v>
      </c>
      <c r="H1307">
        <v>1334.7885742000001</v>
      </c>
      <c r="I1307">
        <v>1327.6837158000001</v>
      </c>
      <c r="J1307">
        <v>1326.3637695</v>
      </c>
      <c r="K1307">
        <v>2400</v>
      </c>
      <c r="L1307">
        <v>0</v>
      </c>
      <c r="M1307">
        <v>0</v>
      </c>
      <c r="N1307">
        <v>2400</v>
      </c>
    </row>
    <row r="1308" spans="1:14" x14ac:dyDescent="0.25">
      <c r="A1308">
        <v>479.94038699999999</v>
      </c>
      <c r="B1308" s="1">
        <f>DATE(2011,8,23) + TIME(22,34,9)</f>
        <v>40778.940381944441</v>
      </c>
      <c r="C1308">
        <v>80</v>
      </c>
      <c r="D1308">
        <v>79.971336364999999</v>
      </c>
      <c r="E1308">
        <v>50</v>
      </c>
      <c r="F1308">
        <v>50.009048462000003</v>
      </c>
      <c r="G1308">
        <v>1336.2204589999999</v>
      </c>
      <c r="H1308">
        <v>1334.7880858999999</v>
      </c>
      <c r="I1308">
        <v>1327.6813964999999</v>
      </c>
      <c r="J1308">
        <v>1326.3604736</v>
      </c>
      <c r="K1308">
        <v>2400</v>
      </c>
      <c r="L1308">
        <v>0</v>
      </c>
      <c r="M1308">
        <v>0</v>
      </c>
      <c r="N1308">
        <v>2400</v>
      </c>
    </row>
    <row r="1309" spans="1:14" x14ac:dyDescent="0.25">
      <c r="A1309">
        <v>481.65141799999998</v>
      </c>
      <c r="B1309" s="1">
        <f>DATE(2011,8,25) + TIME(15,38,2)</f>
        <v>40780.651412037034</v>
      </c>
      <c r="C1309">
        <v>80</v>
      </c>
      <c r="D1309">
        <v>79.971366881999998</v>
      </c>
      <c r="E1309">
        <v>50</v>
      </c>
      <c r="F1309">
        <v>50.476535796999997</v>
      </c>
      <c r="G1309">
        <v>1336.21875</v>
      </c>
      <c r="H1309">
        <v>1334.7875977000001</v>
      </c>
      <c r="I1309">
        <v>1327.6791992000001</v>
      </c>
      <c r="J1309">
        <v>1326.3576660000001</v>
      </c>
      <c r="K1309">
        <v>2400</v>
      </c>
      <c r="L1309">
        <v>0</v>
      </c>
      <c r="M1309">
        <v>0</v>
      </c>
      <c r="N1309">
        <v>2400</v>
      </c>
    </row>
    <row r="1310" spans="1:14" x14ac:dyDescent="0.25">
      <c r="A1310">
        <v>483.38719700000001</v>
      </c>
      <c r="B1310" s="1">
        <f>DATE(2011,8,27) + TIME(9,17,33)</f>
        <v>40782.387187499997</v>
      </c>
      <c r="C1310">
        <v>80</v>
      </c>
      <c r="D1310">
        <v>79.971389771000005</v>
      </c>
      <c r="E1310">
        <v>50</v>
      </c>
      <c r="F1310">
        <v>50.938770294000001</v>
      </c>
      <c r="G1310">
        <v>1336.2170410000001</v>
      </c>
      <c r="H1310">
        <v>1334.7871094</v>
      </c>
      <c r="I1310">
        <v>1327.6772461</v>
      </c>
      <c r="J1310">
        <v>1326.3549805</v>
      </c>
      <c r="K1310">
        <v>2400</v>
      </c>
      <c r="L1310">
        <v>0</v>
      </c>
      <c r="M1310">
        <v>0</v>
      </c>
      <c r="N1310">
        <v>2400</v>
      </c>
    </row>
    <row r="1311" spans="1:14" x14ac:dyDescent="0.25">
      <c r="A1311">
        <v>485.15439900000001</v>
      </c>
      <c r="B1311" s="1">
        <f>DATE(2011,8,29) + TIME(3,42,20)</f>
        <v>40784.154398148145</v>
      </c>
      <c r="C1311">
        <v>80</v>
      </c>
      <c r="D1311">
        <v>79.971420288000004</v>
      </c>
      <c r="E1311">
        <v>50</v>
      </c>
      <c r="F1311">
        <v>51.391284943000002</v>
      </c>
      <c r="G1311">
        <v>1336.215332</v>
      </c>
      <c r="H1311">
        <v>1334.7866211</v>
      </c>
      <c r="I1311">
        <v>1327.6755370999999</v>
      </c>
      <c r="J1311">
        <v>1326.3524170000001</v>
      </c>
      <c r="K1311">
        <v>2400</v>
      </c>
      <c r="L1311">
        <v>0</v>
      </c>
      <c r="M1311">
        <v>0</v>
      </c>
      <c r="N1311">
        <v>2400</v>
      </c>
    </row>
    <row r="1312" spans="1:14" x14ac:dyDescent="0.25">
      <c r="A1312">
        <v>486.94246600000002</v>
      </c>
      <c r="B1312" s="1">
        <f>DATE(2011,8,30) + TIME(22,37,9)</f>
        <v>40785.942465277774</v>
      </c>
      <c r="C1312">
        <v>80</v>
      </c>
      <c r="D1312">
        <v>79.971450806000007</v>
      </c>
      <c r="E1312">
        <v>50</v>
      </c>
      <c r="F1312">
        <v>51.832939148000001</v>
      </c>
      <c r="G1312">
        <v>1336.2136230000001</v>
      </c>
      <c r="H1312">
        <v>1334.7860106999999</v>
      </c>
      <c r="I1312">
        <v>1327.6739502</v>
      </c>
      <c r="J1312">
        <v>1326.3502197</v>
      </c>
      <c r="K1312">
        <v>2400</v>
      </c>
      <c r="L1312">
        <v>0</v>
      </c>
      <c r="M1312">
        <v>0</v>
      </c>
      <c r="N1312">
        <v>2400</v>
      </c>
    </row>
    <row r="1313" spans="1:14" x14ac:dyDescent="0.25">
      <c r="A1313">
        <v>488</v>
      </c>
      <c r="B1313" s="1">
        <f>DATE(2011,9,1) + TIME(0,0,0)</f>
        <v>40787</v>
      </c>
      <c r="C1313">
        <v>80</v>
      </c>
      <c r="D1313">
        <v>79.971458435000002</v>
      </c>
      <c r="E1313">
        <v>50</v>
      </c>
      <c r="F1313">
        <v>52.199050903</v>
      </c>
      <c r="G1313">
        <v>1336.2119141000001</v>
      </c>
      <c r="H1313">
        <v>1334.7855225000001</v>
      </c>
      <c r="I1313">
        <v>1327.6732178</v>
      </c>
      <c r="J1313">
        <v>1326.3482666</v>
      </c>
      <c r="K1313">
        <v>2400</v>
      </c>
      <c r="L1313">
        <v>0</v>
      </c>
      <c r="M1313">
        <v>0</v>
      </c>
      <c r="N1313">
        <v>2400</v>
      </c>
    </row>
    <row r="1314" spans="1:14" x14ac:dyDescent="0.25">
      <c r="A1314">
        <v>489.80908499999998</v>
      </c>
      <c r="B1314" s="1">
        <f>DATE(2011,9,2) + TIME(19,25,4)</f>
        <v>40788.809074074074</v>
      </c>
      <c r="C1314">
        <v>80</v>
      </c>
      <c r="D1314">
        <v>79.971496582</v>
      </c>
      <c r="E1314">
        <v>50</v>
      </c>
      <c r="F1314">
        <v>52.532276154000002</v>
      </c>
      <c r="G1314">
        <v>1336.2109375</v>
      </c>
      <c r="H1314">
        <v>1334.7852783000001</v>
      </c>
      <c r="I1314">
        <v>1327.6713867000001</v>
      </c>
      <c r="J1314">
        <v>1326.3470459</v>
      </c>
      <c r="K1314">
        <v>2400</v>
      </c>
      <c r="L1314">
        <v>0</v>
      </c>
      <c r="M1314">
        <v>0</v>
      </c>
      <c r="N1314">
        <v>2400</v>
      </c>
    </row>
    <row r="1315" spans="1:14" x14ac:dyDescent="0.25">
      <c r="A1315">
        <v>491.68160599999999</v>
      </c>
      <c r="B1315" s="1">
        <f>DATE(2011,9,4) + TIME(16,21,30)</f>
        <v>40790.681597222225</v>
      </c>
      <c r="C1315">
        <v>80</v>
      </c>
      <c r="D1315">
        <v>79.971527100000003</v>
      </c>
      <c r="E1315">
        <v>50</v>
      </c>
      <c r="F1315">
        <v>52.918010711999997</v>
      </c>
      <c r="G1315">
        <v>1336.2092285000001</v>
      </c>
      <c r="H1315">
        <v>1334.7847899999999</v>
      </c>
      <c r="I1315">
        <v>1327.6702881000001</v>
      </c>
      <c r="J1315">
        <v>1326.3450928</v>
      </c>
      <c r="K1315">
        <v>2400</v>
      </c>
      <c r="L1315">
        <v>0</v>
      </c>
      <c r="M1315">
        <v>0</v>
      </c>
      <c r="N1315">
        <v>2400</v>
      </c>
    </row>
    <row r="1316" spans="1:14" x14ac:dyDescent="0.25">
      <c r="A1316">
        <v>493.57580100000001</v>
      </c>
      <c r="B1316" s="1">
        <f>DATE(2011,9,6) + TIME(13,49,9)</f>
        <v>40792.575798611113</v>
      </c>
      <c r="C1316">
        <v>80</v>
      </c>
      <c r="D1316">
        <v>79.971557617000002</v>
      </c>
      <c r="E1316">
        <v>50</v>
      </c>
      <c r="F1316">
        <v>53.311164855999998</v>
      </c>
      <c r="G1316">
        <v>1336.2075195</v>
      </c>
      <c r="H1316">
        <v>1334.7841797000001</v>
      </c>
      <c r="I1316">
        <v>1327.6693115</v>
      </c>
      <c r="J1316">
        <v>1326.3433838000001</v>
      </c>
      <c r="K1316">
        <v>2400</v>
      </c>
      <c r="L1316">
        <v>0</v>
      </c>
      <c r="M1316">
        <v>0</v>
      </c>
      <c r="N1316">
        <v>2400</v>
      </c>
    </row>
    <row r="1317" spans="1:14" x14ac:dyDescent="0.25">
      <c r="A1317">
        <v>495.49080600000002</v>
      </c>
      <c r="B1317" s="1">
        <f>DATE(2011,9,8) + TIME(11,46,45)</f>
        <v>40794.490798611114</v>
      </c>
      <c r="C1317">
        <v>80</v>
      </c>
      <c r="D1317">
        <v>79.971588135000005</v>
      </c>
      <c r="E1317">
        <v>50</v>
      </c>
      <c r="F1317">
        <v>53.695053100999999</v>
      </c>
      <c r="G1317">
        <v>1336.2058105000001</v>
      </c>
      <c r="H1317">
        <v>1334.7836914</v>
      </c>
      <c r="I1317">
        <v>1327.6683350000001</v>
      </c>
      <c r="J1317">
        <v>1326.3417969</v>
      </c>
      <c r="K1317">
        <v>2400</v>
      </c>
      <c r="L1317">
        <v>0</v>
      </c>
      <c r="M1317">
        <v>0</v>
      </c>
      <c r="N1317">
        <v>2400</v>
      </c>
    </row>
    <row r="1318" spans="1:14" x14ac:dyDescent="0.25">
      <c r="A1318">
        <v>497.44411600000001</v>
      </c>
      <c r="B1318" s="1">
        <f>DATE(2011,9,10) + TIME(10,39,31)</f>
        <v>40796.444108796299</v>
      </c>
      <c r="C1318">
        <v>80</v>
      </c>
      <c r="D1318">
        <v>79.971626282000003</v>
      </c>
      <c r="E1318">
        <v>50</v>
      </c>
      <c r="F1318">
        <v>54.067073821999998</v>
      </c>
      <c r="G1318">
        <v>1336.2042236</v>
      </c>
      <c r="H1318">
        <v>1334.7832031</v>
      </c>
      <c r="I1318">
        <v>1327.6676024999999</v>
      </c>
      <c r="J1318">
        <v>1326.3404541</v>
      </c>
      <c r="K1318">
        <v>2400</v>
      </c>
      <c r="L1318">
        <v>0</v>
      </c>
      <c r="M1318">
        <v>0</v>
      </c>
      <c r="N1318">
        <v>2400</v>
      </c>
    </row>
    <row r="1319" spans="1:14" x14ac:dyDescent="0.25">
      <c r="A1319">
        <v>499.43860899999999</v>
      </c>
      <c r="B1319" s="1">
        <f>DATE(2011,9,12) + TIME(10,31,35)</f>
        <v>40798.438599537039</v>
      </c>
      <c r="C1319">
        <v>80</v>
      </c>
      <c r="D1319">
        <v>79.971656799000002</v>
      </c>
      <c r="E1319">
        <v>50</v>
      </c>
      <c r="F1319">
        <v>54.428234099999997</v>
      </c>
      <c r="G1319">
        <v>1336.2025146000001</v>
      </c>
      <c r="H1319">
        <v>1334.7825928</v>
      </c>
      <c r="I1319">
        <v>1327.6668701000001</v>
      </c>
      <c r="J1319">
        <v>1326.3391113</v>
      </c>
      <c r="K1319">
        <v>2400</v>
      </c>
      <c r="L1319">
        <v>0</v>
      </c>
      <c r="M1319">
        <v>0</v>
      </c>
      <c r="N1319">
        <v>2400</v>
      </c>
    </row>
    <row r="1320" spans="1:14" x14ac:dyDescent="0.25">
      <c r="A1320">
        <v>501.45102500000002</v>
      </c>
      <c r="B1320" s="1">
        <f>DATE(2011,9,14) + TIME(10,49,28)</f>
        <v>40800.451018518521</v>
      </c>
      <c r="C1320">
        <v>80</v>
      </c>
      <c r="D1320">
        <v>79.971694946</v>
      </c>
      <c r="E1320">
        <v>50</v>
      </c>
      <c r="F1320">
        <v>54.778099060000002</v>
      </c>
      <c r="G1320">
        <v>1336.2008057</v>
      </c>
      <c r="H1320">
        <v>1334.7821045000001</v>
      </c>
      <c r="I1320">
        <v>1327.6662598</v>
      </c>
      <c r="J1320">
        <v>1326.3380127</v>
      </c>
      <c r="K1320">
        <v>2400</v>
      </c>
      <c r="L1320">
        <v>0</v>
      </c>
      <c r="M1320">
        <v>0</v>
      </c>
      <c r="N1320">
        <v>2400</v>
      </c>
    </row>
    <row r="1321" spans="1:14" x14ac:dyDescent="0.25">
      <c r="A1321">
        <v>503.496285</v>
      </c>
      <c r="B1321" s="1">
        <f>DATE(2011,9,16) + TIME(11,54,39)</f>
        <v>40802.49628472222</v>
      </c>
      <c r="C1321">
        <v>80</v>
      </c>
      <c r="D1321">
        <v>79.971725464000002</v>
      </c>
      <c r="E1321">
        <v>50</v>
      </c>
      <c r="F1321">
        <v>55.116401672000002</v>
      </c>
      <c r="G1321">
        <v>1336.1990966999999</v>
      </c>
      <c r="H1321">
        <v>1334.7816161999999</v>
      </c>
      <c r="I1321">
        <v>1327.6658935999999</v>
      </c>
      <c r="J1321">
        <v>1326.3370361</v>
      </c>
      <c r="K1321">
        <v>2400</v>
      </c>
      <c r="L1321">
        <v>0</v>
      </c>
      <c r="M1321">
        <v>0</v>
      </c>
      <c r="N1321">
        <v>2400</v>
      </c>
    </row>
    <row r="1322" spans="1:14" x14ac:dyDescent="0.25">
      <c r="A1322">
        <v>505.57712299999997</v>
      </c>
      <c r="B1322" s="1">
        <f>DATE(2011,9,18) + TIME(13,51,3)</f>
        <v>40804.577118055553</v>
      </c>
      <c r="C1322">
        <v>80</v>
      </c>
      <c r="D1322">
        <v>79.971763611</v>
      </c>
      <c r="E1322">
        <v>50</v>
      </c>
      <c r="F1322">
        <v>55.445129395000002</v>
      </c>
      <c r="G1322">
        <v>1336.1975098</v>
      </c>
      <c r="H1322">
        <v>1334.7810059000001</v>
      </c>
      <c r="I1322">
        <v>1327.6655272999999</v>
      </c>
      <c r="J1322">
        <v>1326.3361815999999</v>
      </c>
      <c r="K1322">
        <v>2400</v>
      </c>
      <c r="L1322">
        <v>0</v>
      </c>
      <c r="M1322">
        <v>0</v>
      </c>
      <c r="N1322">
        <v>2400</v>
      </c>
    </row>
    <row r="1323" spans="1:14" x14ac:dyDescent="0.25">
      <c r="A1323">
        <v>507.70754399999998</v>
      </c>
      <c r="B1323" s="1">
        <f>DATE(2011,9,20) + TIME(16,58,51)</f>
        <v>40806.70753472222</v>
      </c>
      <c r="C1323">
        <v>80</v>
      </c>
      <c r="D1323">
        <v>79.971801757999998</v>
      </c>
      <c r="E1323">
        <v>50</v>
      </c>
      <c r="F1323">
        <v>55.765426636000001</v>
      </c>
      <c r="G1323">
        <v>1336.1958007999999</v>
      </c>
      <c r="H1323">
        <v>1334.7805175999999</v>
      </c>
      <c r="I1323">
        <v>1327.6652832</v>
      </c>
      <c r="J1323">
        <v>1326.3353271000001</v>
      </c>
      <c r="K1323">
        <v>2400</v>
      </c>
      <c r="L1323">
        <v>0</v>
      </c>
      <c r="M1323">
        <v>0</v>
      </c>
      <c r="N1323">
        <v>2400</v>
      </c>
    </row>
    <row r="1324" spans="1:14" x14ac:dyDescent="0.25">
      <c r="A1324">
        <v>509.85895399999998</v>
      </c>
      <c r="B1324" s="1">
        <f>DATE(2011,9,22) + TIME(20,36,53)</f>
        <v>40808.858946759261</v>
      </c>
      <c r="C1324">
        <v>80</v>
      </c>
      <c r="D1324">
        <v>79.971839904999996</v>
      </c>
      <c r="E1324">
        <v>50</v>
      </c>
      <c r="F1324">
        <v>56.078075409</v>
      </c>
      <c r="G1324">
        <v>1336.1940918</v>
      </c>
      <c r="H1324">
        <v>1334.7799072</v>
      </c>
      <c r="I1324">
        <v>1327.6651611</v>
      </c>
      <c r="J1324">
        <v>1326.3347168</v>
      </c>
      <c r="K1324">
        <v>2400</v>
      </c>
      <c r="L1324">
        <v>0</v>
      </c>
      <c r="M1324">
        <v>0</v>
      </c>
      <c r="N1324">
        <v>2400</v>
      </c>
    </row>
    <row r="1325" spans="1:14" x14ac:dyDescent="0.25">
      <c r="A1325">
        <v>512.03781100000003</v>
      </c>
      <c r="B1325" s="1">
        <f>DATE(2011,9,25) + TIME(0,54,26)</f>
        <v>40811.037800925929</v>
      </c>
      <c r="C1325">
        <v>80</v>
      </c>
      <c r="D1325">
        <v>79.971878051999994</v>
      </c>
      <c r="E1325">
        <v>50</v>
      </c>
      <c r="F1325">
        <v>56.381359099999997</v>
      </c>
      <c r="G1325">
        <v>1336.1925048999999</v>
      </c>
      <c r="H1325">
        <v>1334.7794189000001</v>
      </c>
      <c r="I1325">
        <v>1327.6650391000001</v>
      </c>
      <c r="J1325">
        <v>1326.3341064000001</v>
      </c>
      <c r="K1325">
        <v>2400</v>
      </c>
      <c r="L1325">
        <v>0</v>
      </c>
      <c r="M1325">
        <v>0</v>
      </c>
      <c r="N1325">
        <v>2400</v>
      </c>
    </row>
    <row r="1326" spans="1:14" x14ac:dyDescent="0.25">
      <c r="A1326">
        <v>514.26802399999997</v>
      </c>
      <c r="B1326" s="1">
        <f>DATE(2011,9,27) + TIME(6,25,57)</f>
        <v>40813.268020833333</v>
      </c>
      <c r="C1326">
        <v>80</v>
      </c>
      <c r="D1326">
        <v>79.971916199000006</v>
      </c>
      <c r="E1326">
        <v>50</v>
      </c>
      <c r="F1326">
        <v>56.675132751</v>
      </c>
      <c r="G1326">
        <v>1336.1907959</v>
      </c>
      <c r="H1326">
        <v>1334.7788086</v>
      </c>
      <c r="I1326">
        <v>1327.6649170000001</v>
      </c>
      <c r="J1326">
        <v>1326.3334961</v>
      </c>
      <c r="K1326">
        <v>2400</v>
      </c>
      <c r="L1326">
        <v>0</v>
      </c>
      <c r="M1326">
        <v>0</v>
      </c>
      <c r="N1326">
        <v>2400</v>
      </c>
    </row>
    <row r="1327" spans="1:14" x14ac:dyDescent="0.25">
      <c r="A1327">
        <v>516.54218800000001</v>
      </c>
      <c r="B1327" s="1">
        <f>DATE(2011,9,29) + TIME(13,0,45)</f>
        <v>40815.542187500003</v>
      </c>
      <c r="C1327">
        <v>80</v>
      </c>
      <c r="D1327">
        <v>79.971961974999999</v>
      </c>
      <c r="E1327">
        <v>50</v>
      </c>
      <c r="F1327">
        <v>56.961532593000001</v>
      </c>
      <c r="G1327">
        <v>1336.1892089999999</v>
      </c>
      <c r="H1327">
        <v>1334.7783202999999</v>
      </c>
      <c r="I1327">
        <v>1327.6649170000001</v>
      </c>
      <c r="J1327">
        <v>1326.3330077999999</v>
      </c>
      <c r="K1327">
        <v>2400</v>
      </c>
      <c r="L1327">
        <v>0</v>
      </c>
      <c r="M1327">
        <v>0</v>
      </c>
      <c r="N1327">
        <v>2400</v>
      </c>
    </row>
    <row r="1328" spans="1:14" x14ac:dyDescent="0.25">
      <c r="A1328">
        <v>518</v>
      </c>
      <c r="B1328" s="1">
        <f>DATE(2011,10,1) + TIME(0,0,0)</f>
        <v>40817</v>
      </c>
      <c r="C1328">
        <v>80</v>
      </c>
      <c r="D1328">
        <v>79.971977233999993</v>
      </c>
      <c r="E1328">
        <v>50</v>
      </c>
      <c r="F1328">
        <v>57.213180542000003</v>
      </c>
      <c r="G1328">
        <v>1336.1875</v>
      </c>
      <c r="H1328">
        <v>1334.7777100000001</v>
      </c>
      <c r="I1328">
        <v>1327.6652832</v>
      </c>
      <c r="J1328">
        <v>1326.3326416</v>
      </c>
      <c r="K1328">
        <v>2400</v>
      </c>
      <c r="L1328">
        <v>0</v>
      </c>
      <c r="M1328">
        <v>0</v>
      </c>
      <c r="N1328">
        <v>2400</v>
      </c>
    </row>
    <row r="1329" spans="1:14" x14ac:dyDescent="0.25">
      <c r="A1329">
        <v>520.29123300000003</v>
      </c>
      <c r="B1329" s="1">
        <f>DATE(2011,10,3) + TIME(6,59,22)</f>
        <v>40819.291226851848</v>
      </c>
      <c r="C1329">
        <v>80</v>
      </c>
      <c r="D1329">
        <v>79.972023010000001</v>
      </c>
      <c r="E1329">
        <v>50</v>
      </c>
      <c r="F1329">
        <v>57.425266266000001</v>
      </c>
      <c r="G1329">
        <v>1336.1865233999999</v>
      </c>
      <c r="H1329">
        <v>1334.7773437999999</v>
      </c>
      <c r="I1329">
        <v>1327.6650391000001</v>
      </c>
      <c r="J1329">
        <v>1326.3326416</v>
      </c>
      <c r="K1329">
        <v>2400</v>
      </c>
      <c r="L1329">
        <v>0</v>
      </c>
      <c r="M1329">
        <v>0</v>
      </c>
      <c r="N1329">
        <v>2400</v>
      </c>
    </row>
    <row r="1330" spans="1:14" x14ac:dyDescent="0.25">
      <c r="A1330">
        <v>522.661879</v>
      </c>
      <c r="B1330" s="1">
        <f>DATE(2011,10,5) + TIME(15,53,6)</f>
        <v>40821.661874999998</v>
      </c>
      <c r="C1330">
        <v>80</v>
      </c>
      <c r="D1330">
        <v>79.972068786999998</v>
      </c>
      <c r="E1330">
        <v>50</v>
      </c>
      <c r="F1330">
        <v>57.676597594999997</v>
      </c>
      <c r="G1330">
        <v>1336.1848144999999</v>
      </c>
      <c r="H1330">
        <v>1334.7768555</v>
      </c>
      <c r="I1330">
        <v>1327.6651611</v>
      </c>
      <c r="J1330">
        <v>1326.3317870999999</v>
      </c>
      <c r="K1330">
        <v>2400</v>
      </c>
      <c r="L1330">
        <v>0</v>
      </c>
      <c r="M1330">
        <v>0</v>
      </c>
      <c r="N1330">
        <v>2400</v>
      </c>
    </row>
    <row r="1331" spans="1:14" x14ac:dyDescent="0.25">
      <c r="A1331">
        <v>525.08055400000001</v>
      </c>
      <c r="B1331" s="1">
        <f>DATE(2011,10,8) + TIME(1,55,59)</f>
        <v>40824.080543981479</v>
      </c>
      <c r="C1331">
        <v>80</v>
      </c>
      <c r="D1331">
        <v>79.972114563000005</v>
      </c>
      <c r="E1331">
        <v>50</v>
      </c>
      <c r="F1331">
        <v>57.932388306</v>
      </c>
      <c r="G1331">
        <v>1336.1831055</v>
      </c>
      <c r="H1331">
        <v>1334.7762451000001</v>
      </c>
      <c r="I1331">
        <v>1327.6652832</v>
      </c>
      <c r="J1331">
        <v>1326.3312988</v>
      </c>
      <c r="K1331">
        <v>2400</v>
      </c>
      <c r="L1331">
        <v>0</v>
      </c>
      <c r="M1331">
        <v>0</v>
      </c>
      <c r="N1331">
        <v>2400</v>
      </c>
    </row>
    <row r="1332" spans="1:14" x14ac:dyDescent="0.25">
      <c r="A1332">
        <v>527.52880800000003</v>
      </c>
      <c r="B1332" s="1">
        <f>DATE(2011,10,10) + TIME(12,41,28)</f>
        <v>40826.528796296298</v>
      </c>
      <c r="C1332">
        <v>80</v>
      </c>
      <c r="D1332">
        <v>79.972160338999998</v>
      </c>
      <c r="E1332">
        <v>50</v>
      </c>
      <c r="F1332">
        <v>58.184005737</v>
      </c>
      <c r="G1332">
        <v>1336.1815185999999</v>
      </c>
      <c r="H1332">
        <v>1334.7756348</v>
      </c>
      <c r="I1332">
        <v>1327.6655272999999</v>
      </c>
      <c r="J1332">
        <v>1326.3308105000001</v>
      </c>
      <c r="K1332">
        <v>2400</v>
      </c>
      <c r="L1332">
        <v>0</v>
      </c>
      <c r="M1332">
        <v>0</v>
      </c>
      <c r="N1332">
        <v>2400</v>
      </c>
    </row>
    <row r="1333" spans="1:14" x14ac:dyDescent="0.25">
      <c r="A1333">
        <v>530.01679899999999</v>
      </c>
      <c r="B1333" s="1">
        <f>DATE(2011,10,13) + TIME(0,24,11)</f>
        <v>40829.016793981478</v>
      </c>
      <c r="C1333">
        <v>80</v>
      </c>
      <c r="D1333">
        <v>79.972198485999996</v>
      </c>
      <c r="E1333">
        <v>50</v>
      </c>
      <c r="F1333">
        <v>58.428615569999998</v>
      </c>
      <c r="G1333">
        <v>1336.1798096</v>
      </c>
      <c r="H1333">
        <v>1334.7750243999999</v>
      </c>
      <c r="I1333">
        <v>1327.6656493999999</v>
      </c>
      <c r="J1333">
        <v>1326.3304443</v>
      </c>
      <c r="K1333">
        <v>2400</v>
      </c>
      <c r="L1333">
        <v>0</v>
      </c>
      <c r="M1333">
        <v>0</v>
      </c>
      <c r="N1333">
        <v>2400</v>
      </c>
    </row>
    <row r="1334" spans="1:14" x14ac:dyDescent="0.25">
      <c r="A1334">
        <v>532.57462499999997</v>
      </c>
      <c r="B1334" s="1">
        <f>DATE(2011,10,15) + TIME(13,47,27)</f>
        <v>40831.574618055558</v>
      </c>
      <c r="C1334">
        <v>80</v>
      </c>
      <c r="D1334">
        <v>79.972251892000003</v>
      </c>
      <c r="E1334">
        <v>50</v>
      </c>
      <c r="F1334">
        <v>58.66570282</v>
      </c>
      <c r="G1334">
        <v>1336.1781006000001</v>
      </c>
      <c r="H1334">
        <v>1334.7744141000001</v>
      </c>
      <c r="I1334">
        <v>1327.6658935999999</v>
      </c>
      <c r="J1334">
        <v>1326.3300781</v>
      </c>
      <c r="K1334">
        <v>2400</v>
      </c>
      <c r="L1334">
        <v>0</v>
      </c>
      <c r="M1334">
        <v>0</v>
      </c>
      <c r="N1334">
        <v>2400</v>
      </c>
    </row>
    <row r="1335" spans="1:14" x14ac:dyDescent="0.25">
      <c r="A1335">
        <v>535.16160100000002</v>
      </c>
      <c r="B1335" s="1">
        <f>DATE(2011,10,18) + TIME(3,52,42)</f>
        <v>40834.161597222221</v>
      </c>
      <c r="C1335">
        <v>80</v>
      </c>
      <c r="D1335">
        <v>79.972297667999996</v>
      </c>
      <c r="E1335">
        <v>50</v>
      </c>
      <c r="F1335">
        <v>58.897823334000002</v>
      </c>
      <c r="G1335">
        <v>1336.1765137</v>
      </c>
      <c r="H1335">
        <v>1334.7738036999999</v>
      </c>
      <c r="I1335">
        <v>1327.6661377</v>
      </c>
      <c r="J1335">
        <v>1326.3295897999999</v>
      </c>
      <c r="K1335">
        <v>2400</v>
      </c>
      <c r="L1335">
        <v>0</v>
      </c>
      <c r="M1335">
        <v>0</v>
      </c>
      <c r="N1335">
        <v>2400</v>
      </c>
    </row>
    <row r="1336" spans="1:14" x14ac:dyDescent="0.25">
      <c r="A1336">
        <v>537.77951099999996</v>
      </c>
      <c r="B1336" s="1">
        <f>DATE(2011,10,20) + TIME(18,42,29)</f>
        <v>40836.779502314814</v>
      </c>
      <c r="C1336">
        <v>80</v>
      </c>
      <c r="D1336">
        <v>79.972343445000007</v>
      </c>
      <c r="E1336">
        <v>50</v>
      </c>
      <c r="F1336">
        <v>59.122394561999997</v>
      </c>
      <c r="G1336">
        <v>1336.1748047000001</v>
      </c>
      <c r="H1336">
        <v>1334.7731934000001</v>
      </c>
      <c r="I1336">
        <v>1327.6665039</v>
      </c>
      <c r="J1336">
        <v>1326.3293457</v>
      </c>
      <c r="K1336">
        <v>2400</v>
      </c>
      <c r="L1336">
        <v>0</v>
      </c>
      <c r="M1336">
        <v>0</v>
      </c>
      <c r="N1336">
        <v>2400</v>
      </c>
    </row>
    <row r="1337" spans="1:14" x14ac:dyDescent="0.25">
      <c r="A1337">
        <v>540.46266400000002</v>
      </c>
      <c r="B1337" s="1">
        <f>DATE(2011,10,23) + TIME(11,6,14)</f>
        <v>40839.46266203704</v>
      </c>
      <c r="C1337">
        <v>80</v>
      </c>
      <c r="D1337">
        <v>79.972396850999999</v>
      </c>
      <c r="E1337">
        <v>50</v>
      </c>
      <c r="F1337">
        <v>59.340579986999998</v>
      </c>
      <c r="G1337">
        <v>1336.1730957</v>
      </c>
      <c r="H1337">
        <v>1334.7725829999999</v>
      </c>
      <c r="I1337">
        <v>1327.6668701000001</v>
      </c>
      <c r="J1337">
        <v>1326.3289795000001</v>
      </c>
      <c r="K1337">
        <v>2400</v>
      </c>
      <c r="L1337">
        <v>0</v>
      </c>
      <c r="M1337">
        <v>0</v>
      </c>
      <c r="N1337">
        <v>2400</v>
      </c>
    </row>
    <row r="1338" spans="1:14" x14ac:dyDescent="0.25">
      <c r="A1338">
        <v>543.20286699999997</v>
      </c>
      <c r="B1338" s="1">
        <f>DATE(2011,10,26) + TIME(4,52,7)</f>
        <v>40842.2028587963</v>
      </c>
      <c r="C1338">
        <v>80</v>
      </c>
      <c r="D1338">
        <v>79.972442627000007</v>
      </c>
      <c r="E1338">
        <v>50</v>
      </c>
      <c r="F1338">
        <v>59.553981780999997</v>
      </c>
      <c r="G1338">
        <v>1336.1713867000001</v>
      </c>
      <c r="H1338">
        <v>1334.7719727000001</v>
      </c>
      <c r="I1338">
        <v>1327.6672363</v>
      </c>
      <c r="J1338">
        <v>1326.3286132999999</v>
      </c>
      <c r="K1338">
        <v>2400</v>
      </c>
      <c r="L1338">
        <v>0</v>
      </c>
      <c r="M1338">
        <v>0</v>
      </c>
      <c r="N1338">
        <v>2400</v>
      </c>
    </row>
    <row r="1339" spans="1:14" x14ac:dyDescent="0.25">
      <c r="A1339">
        <v>545.96460300000001</v>
      </c>
      <c r="B1339" s="1">
        <f>DATE(2011,10,28) + TIME(23,9,1)</f>
        <v>40844.964594907404</v>
      </c>
      <c r="C1339">
        <v>80</v>
      </c>
      <c r="D1339">
        <v>79.972496032999999</v>
      </c>
      <c r="E1339">
        <v>50</v>
      </c>
      <c r="F1339">
        <v>59.762184142999999</v>
      </c>
      <c r="G1339">
        <v>1336.1697998</v>
      </c>
      <c r="H1339">
        <v>1334.7713623</v>
      </c>
      <c r="I1339">
        <v>1327.6676024999999</v>
      </c>
      <c r="J1339">
        <v>1326.3283690999999</v>
      </c>
      <c r="K1339">
        <v>2400</v>
      </c>
      <c r="L1339">
        <v>0</v>
      </c>
      <c r="M1339">
        <v>0</v>
      </c>
      <c r="N1339">
        <v>2400</v>
      </c>
    </row>
    <row r="1340" spans="1:14" x14ac:dyDescent="0.25">
      <c r="A1340">
        <v>548.78554599999995</v>
      </c>
      <c r="B1340" s="1">
        <f>DATE(2011,10,31) + TIME(18,51,11)</f>
        <v>40847.785543981481</v>
      </c>
      <c r="C1340">
        <v>80</v>
      </c>
      <c r="D1340">
        <v>79.972541809000006</v>
      </c>
      <c r="E1340">
        <v>50</v>
      </c>
      <c r="F1340">
        <v>59.963062286000003</v>
      </c>
      <c r="G1340">
        <v>1336.1680908000001</v>
      </c>
      <c r="H1340">
        <v>1334.7706298999999</v>
      </c>
      <c r="I1340">
        <v>1327.6679687999999</v>
      </c>
      <c r="J1340">
        <v>1326.328125</v>
      </c>
      <c r="K1340">
        <v>2400</v>
      </c>
      <c r="L1340">
        <v>0</v>
      </c>
      <c r="M1340">
        <v>0</v>
      </c>
      <c r="N1340">
        <v>2400</v>
      </c>
    </row>
    <row r="1341" spans="1:14" x14ac:dyDescent="0.25">
      <c r="A1341">
        <v>549</v>
      </c>
      <c r="B1341" s="1">
        <f>DATE(2011,11,1) + TIME(0,0,0)</f>
        <v>40848</v>
      </c>
      <c r="C1341">
        <v>80</v>
      </c>
      <c r="D1341">
        <v>79.972541809000006</v>
      </c>
      <c r="E1341">
        <v>50</v>
      </c>
      <c r="F1341">
        <v>60.0325737</v>
      </c>
      <c r="G1341">
        <v>1336.1663818</v>
      </c>
      <c r="H1341">
        <v>1334.7700195</v>
      </c>
      <c r="I1341">
        <v>1327.6699219</v>
      </c>
      <c r="J1341">
        <v>1326.3282471</v>
      </c>
      <c r="K1341">
        <v>2400</v>
      </c>
      <c r="L1341">
        <v>0</v>
      </c>
      <c r="M1341">
        <v>0</v>
      </c>
      <c r="N1341">
        <v>2400</v>
      </c>
    </row>
    <row r="1342" spans="1:14" x14ac:dyDescent="0.25">
      <c r="A1342">
        <v>549.000001</v>
      </c>
      <c r="B1342" s="1">
        <f>DATE(2011,11,1) + TIME(0,0,0)</f>
        <v>40848</v>
      </c>
      <c r="C1342">
        <v>80</v>
      </c>
      <c r="D1342">
        <v>79.972457886000001</v>
      </c>
      <c r="E1342">
        <v>50</v>
      </c>
      <c r="F1342">
        <v>60.032661437999998</v>
      </c>
      <c r="G1342">
        <v>1334.2064209</v>
      </c>
      <c r="H1342">
        <v>1334.0109863</v>
      </c>
      <c r="I1342">
        <v>1329.7164307</v>
      </c>
      <c r="J1342">
        <v>1328.4588623</v>
      </c>
      <c r="K1342">
        <v>0</v>
      </c>
      <c r="L1342">
        <v>2400</v>
      </c>
      <c r="M1342">
        <v>2400</v>
      </c>
      <c r="N1342">
        <v>0</v>
      </c>
    </row>
    <row r="1343" spans="1:14" x14ac:dyDescent="0.25">
      <c r="A1343">
        <v>549.00000399999999</v>
      </c>
      <c r="B1343" s="1">
        <f>DATE(2011,11,1) + TIME(0,0,0)</f>
        <v>40848</v>
      </c>
      <c r="C1343">
        <v>80</v>
      </c>
      <c r="D1343">
        <v>79.972381592000005</v>
      </c>
      <c r="E1343">
        <v>50</v>
      </c>
      <c r="F1343">
        <v>60.032718658</v>
      </c>
      <c r="G1343">
        <v>1333.6262207</v>
      </c>
      <c r="H1343">
        <v>1333.4168701000001</v>
      </c>
      <c r="I1343">
        <v>1330.5430908000001</v>
      </c>
      <c r="J1343">
        <v>1329.3226318</v>
      </c>
      <c r="K1343">
        <v>0</v>
      </c>
      <c r="L1343">
        <v>2400</v>
      </c>
      <c r="M1343">
        <v>2400</v>
      </c>
      <c r="N1343">
        <v>0</v>
      </c>
    </row>
    <row r="1344" spans="1:14" x14ac:dyDescent="0.25">
      <c r="A1344">
        <v>549.00001299999997</v>
      </c>
      <c r="B1344" s="1">
        <f>DATE(2011,11,1) + TIME(0,0,1)</f>
        <v>40848.000011574077</v>
      </c>
      <c r="C1344">
        <v>80</v>
      </c>
      <c r="D1344">
        <v>79.972297667999996</v>
      </c>
      <c r="E1344">
        <v>50</v>
      </c>
      <c r="F1344">
        <v>60.032661437999998</v>
      </c>
      <c r="G1344">
        <v>1333.0838623</v>
      </c>
      <c r="H1344">
        <v>1332.8410644999999</v>
      </c>
      <c r="I1344">
        <v>1331.4031981999999</v>
      </c>
      <c r="J1344">
        <v>1330.1520995999999</v>
      </c>
      <c r="K1344">
        <v>0</v>
      </c>
      <c r="L1344">
        <v>2400</v>
      </c>
      <c r="M1344">
        <v>2400</v>
      </c>
      <c r="N1344">
        <v>0</v>
      </c>
    </row>
    <row r="1345" spans="1:14" x14ac:dyDescent="0.25">
      <c r="A1345">
        <v>549.00004000000001</v>
      </c>
      <c r="B1345" s="1">
        <f>DATE(2011,11,1) + TIME(0,0,3)</f>
        <v>40848.000034722223</v>
      </c>
      <c r="C1345">
        <v>80</v>
      </c>
      <c r="D1345">
        <v>79.972221375000004</v>
      </c>
      <c r="E1345">
        <v>50</v>
      </c>
      <c r="F1345">
        <v>60.032253265000001</v>
      </c>
      <c r="G1345">
        <v>1332.5485839999999</v>
      </c>
      <c r="H1345">
        <v>1332.2714844</v>
      </c>
      <c r="I1345">
        <v>1332.2299805</v>
      </c>
      <c r="J1345">
        <v>1330.9453125</v>
      </c>
      <c r="K1345">
        <v>0</v>
      </c>
      <c r="L1345">
        <v>2400</v>
      </c>
      <c r="M1345">
        <v>2400</v>
      </c>
      <c r="N1345">
        <v>0</v>
      </c>
    </row>
    <row r="1346" spans="1:14" x14ac:dyDescent="0.25">
      <c r="A1346">
        <v>549.00012100000004</v>
      </c>
      <c r="B1346" s="1">
        <f>DATE(2011,11,1) + TIME(0,0,10)</f>
        <v>40848.000115740739</v>
      </c>
      <c r="C1346">
        <v>80</v>
      </c>
      <c r="D1346">
        <v>79.972129821999999</v>
      </c>
      <c r="E1346">
        <v>50</v>
      </c>
      <c r="F1346">
        <v>60.030773162999999</v>
      </c>
      <c r="G1346">
        <v>1331.9937743999999</v>
      </c>
      <c r="H1346">
        <v>1331.684082</v>
      </c>
      <c r="I1346">
        <v>1333.034668</v>
      </c>
      <c r="J1346">
        <v>1331.7158202999999</v>
      </c>
      <c r="K1346">
        <v>0</v>
      </c>
      <c r="L1346">
        <v>2400</v>
      </c>
      <c r="M1346">
        <v>2400</v>
      </c>
      <c r="N1346">
        <v>0</v>
      </c>
    </row>
    <row r="1347" spans="1:14" x14ac:dyDescent="0.25">
      <c r="A1347">
        <v>549.00036399999999</v>
      </c>
      <c r="B1347" s="1">
        <f>DATE(2011,11,1) + TIME(0,0,31)</f>
        <v>40848.000358796293</v>
      </c>
      <c r="C1347">
        <v>80</v>
      </c>
      <c r="D1347">
        <v>79.972023010000001</v>
      </c>
      <c r="E1347">
        <v>50</v>
      </c>
      <c r="F1347">
        <v>60.025989531999997</v>
      </c>
      <c r="G1347">
        <v>1331.4450684000001</v>
      </c>
      <c r="H1347">
        <v>1331.1047363</v>
      </c>
      <c r="I1347">
        <v>1333.7954102000001</v>
      </c>
      <c r="J1347">
        <v>1332.4385986</v>
      </c>
      <c r="K1347">
        <v>0</v>
      </c>
      <c r="L1347">
        <v>2400</v>
      </c>
      <c r="M1347">
        <v>2400</v>
      </c>
      <c r="N1347">
        <v>0</v>
      </c>
    </row>
    <row r="1348" spans="1:14" x14ac:dyDescent="0.25">
      <c r="A1348">
        <v>549.00109299999997</v>
      </c>
      <c r="B1348" s="1">
        <f>DATE(2011,11,1) + TIME(0,1,34)</f>
        <v>40848.001087962963</v>
      </c>
      <c r="C1348">
        <v>80</v>
      </c>
      <c r="D1348">
        <v>79.971862793</v>
      </c>
      <c r="E1348">
        <v>50</v>
      </c>
      <c r="F1348">
        <v>60.011100769000002</v>
      </c>
      <c r="G1348">
        <v>1331.0012207</v>
      </c>
      <c r="H1348">
        <v>1330.6369629000001</v>
      </c>
      <c r="I1348">
        <v>1334.4046631000001</v>
      </c>
      <c r="J1348">
        <v>1333.0155029</v>
      </c>
      <c r="K1348">
        <v>0</v>
      </c>
      <c r="L1348">
        <v>2400</v>
      </c>
      <c r="M1348">
        <v>2400</v>
      </c>
      <c r="N1348">
        <v>0</v>
      </c>
    </row>
    <row r="1349" spans="1:14" x14ac:dyDescent="0.25">
      <c r="A1349">
        <v>549.00328000000002</v>
      </c>
      <c r="B1349" s="1">
        <f>DATE(2011,11,1) + TIME(0,4,43)</f>
        <v>40848.003275462965</v>
      </c>
      <c r="C1349">
        <v>80</v>
      </c>
      <c r="D1349">
        <v>79.971542357999994</v>
      </c>
      <c r="E1349">
        <v>50</v>
      </c>
      <c r="F1349">
        <v>59.965946197999997</v>
      </c>
      <c r="G1349">
        <v>1330.7645264</v>
      </c>
      <c r="H1349">
        <v>1330.3890381000001</v>
      </c>
      <c r="I1349">
        <v>1334.7359618999999</v>
      </c>
      <c r="J1349">
        <v>1333.3308105000001</v>
      </c>
      <c r="K1349">
        <v>0</v>
      </c>
      <c r="L1349">
        <v>2400</v>
      </c>
      <c r="M1349">
        <v>2400</v>
      </c>
      <c r="N1349">
        <v>0</v>
      </c>
    </row>
    <row r="1350" spans="1:14" x14ac:dyDescent="0.25">
      <c r="A1350">
        <v>549.00984100000005</v>
      </c>
      <c r="B1350" s="1">
        <f>DATE(2011,11,1) + TIME(0,14,10)</f>
        <v>40848.009837962964</v>
      </c>
      <c r="C1350">
        <v>80</v>
      </c>
      <c r="D1350">
        <v>79.970664978000002</v>
      </c>
      <c r="E1350">
        <v>50</v>
      </c>
      <c r="F1350">
        <v>59.832103729000004</v>
      </c>
      <c r="G1350">
        <v>1330.7027588000001</v>
      </c>
      <c r="H1350">
        <v>1330.3244629000001</v>
      </c>
      <c r="I1350">
        <v>1334.8245850000001</v>
      </c>
      <c r="J1350">
        <v>1333.4160156</v>
      </c>
      <c r="K1350">
        <v>0</v>
      </c>
      <c r="L1350">
        <v>2400</v>
      </c>
      <c r="M1350">
        <v>2400</v>
      </c>
      <c r="N1350">
        <v>0</v>
      </c>
    </row>
    <row r="1351" spans="1:14" x14ac:dyDescent="0.25">
      <c r="A1351">
        <v>549.02952400000004</v>
      </c>
      <c r="B1351" s="1">
        <f>DATE(2011,11,1) + TIME(0,42,30)</f>
        <v>40848.029513888891</v>
      </c>
      <c r="C1351">
        <v>80</v>
      </c>
      <c r="D1351">
        <v>79.968086243000002</v>
      </c>
      <c r="E1351">
        <v>50</v>
      </c>
      <c r="F1351">
        <v>59.448894500999998</v>
      </c>
      <c r="G1351">
        <v>1330.6947021000001</v>
      </c>
      <c r="H1351">
        <v>1330.3149414</v>
      </c>
      <c r="I1351">
        <v>1334.8248291</v>
      </c>
      <c r="J1351">
        <v>1333.4178466999999</v>
      </c>
      <c r="K1351">
        <v>0</v>
      </c>
      <c r="L1351">
        <v>2400</v>
      </c>
      <c r="M1351">
        <v>2400</v>
      </c>
      <c r="N1351">
        <v>0</v>
      </c>
    </row>
    <row r="1352" spans="1:14" x14ac:dyDescent="0.25">
      <c r="A1352">
        <v>549.05864599999995</v>
      </c>
      <c r="B1352" s="1">
        <f>DATE(2011,11,1) + TIME(1,24,27)</f>
        <v>40848.058645833335</v>
      </c>
      <c r="C1352">
        <v>80</v>
      </c>
      <c r="D1352">
        <v>79.964294433999996</v>
      </c>
      <c r="E1352">
        <v>50</v>
      </c>
      <c r="F1352">
        <v>58.918621063000003</v>
      </c>
      <c r="G1352">
        <v>1330.6893310999999</v>
      </c>
      <c r="H1352">
        <v>1330.3066406</v>
      </c>
      <c r="I1352">
        <v>1334.8153076000001</v>
      </c>
      <c r="J1352">
        <v>1333.4095459</v>
      </c>
      <c r="K1352">
        <v>0</v>
      </c>
      <c r="L1352">
        <v>2400</v>
      </c>
      <c r="M1352">
        <v>2400</v>
      </c>
      <c r="N1352">
        <v>0</v>
      </c>
    </row>
    <row r="1353" spans="1:14" x14ac:dyDescent="0.25">
      <c r="A1353">
        <v>549.08928900000001</v>
      </c>
      <c r="B1353" s="1">
        <f>DATE(2011,11,1) + TIME(2,8,34)</f>
        <v>40848.089282407411</v>
      </c>
      <c r="C1353">
        <v>80</v>
      </c>
      <c r="D1353">
        <v>79.96031189</v>
      </c>
      <c r="E1353">
        <v>50</v>
      </c>
      <c r="F1353">
        <v>58.397476196</v>
      </c>
      <c r="G1353">
        <v>1330.6823730000001</v>
      </c>
      <c r="H1353">
        <v>1330.2958983999999</v>
      </c>
      <c r="I1353">
        <v>1334.8098144999999</v>
      </c>
      <c r="J1353">
        <v>1333.4039307</v>
      </c>
      <c r="K1353">
        <v>0</v>
      </c>
      <c r="L1353">
        <v>2400</v>
      </c>
      <c r="M1353">
        <v>2400</v>
      </c>
      <c r="N1353">
        <v>0</v>
      </c>
    </row>
    <row r="1354" spans="1:14" x14ac:dyDescent="0.25">
      <c r="A1354">
        <v>549.12158999999997</v>
      </c>
      <c r="B1354" s="1">
        <f>DATE(2011,11,1) + TIME(2,55,5)</f>
        <v>40848.12158564815</v>
      </c>
      <c r="C1354">
        <v>80</v>
      </c>
      <c r="D1354">
        <v>79.956130981000001</v>
      </c>
      <c r="E1354">
        <v>50</v>
      </c>
      <c r="F1354">
        <v>57.885604858000001</v>
      </c>
      <c r="G1354">
        <v>1330.675293</v>
      </c>
      <c r="H1354">
        <v>1330.2850341999999</v>
      </c>
      <c r="I1354">
        <v>1334.8051757999999</v>
      </c>
      <c r="J1354">
        <v>1333.3989257999999</v>
      </c>
      <c r="K1354">
        <v>0</v>
      </c>
      <c r="L1354">
        <v>2400</v>
      </c>
      <c r="M1354">
        <v>2400</v>
      </c>
      <c r="N1354">
        <v>0</v>
      </c>
    </row>
    <row r="1355" spans="1:14" x14ac:dyDescent="0.25">
      <c r="A1355">
        <v>549.15569700000003</v>
      </c>
      <c r="B1355" s="1">
        <f>DATE(2011,11,1) + TIME(3,44,12)</f>
        <v>40848.155694444446</v>
      </c>
      <c r="C1355">
        <v>80</v>
      </c>
      <c r="D1355">
        <v>79.951721191000004</v>
      </c>
      <c r="E1355">
        <v>50</v>
      </c>
      <c r="F1355">
        <v>57.383266448999997</v>
      </c>
      <c r="G1355">
        <v>1330.6680908000001</v>
      </c>
      <c r="H1355">
        <v>1330.2739257999999</v>
      </c>
      <c r="I1355">
        <v>1334.8016356999999</v>
      </c>
      <c r="J1355">
        <v>1333.3946533000001</v>
      </c>
      <c r="K1355">
        <v>0</v>
      </c>
      <c r="L1355">
        <v>2400</v>
      </c>
      <c r="M1355">
        <v>2400</v>
      </c>
      <c r="N1355">
        <v>0</v>
      </c>
    </row>
    <row r="1356" spans="1:14" x14ac:dyDescent="0.25">
      <c r="A1356">
        <v>549.191778</v>
      </c>
      <c r="B1356" s="1">
        <f>DATE(2011,11,1) + TIME(4,36,9)</f>
        <v>40848.191770833335</v>
      </c>
      <c r="C1356">
        <v>80</v>
      </c>
      <c r="D1356">
        <v>79.947074889999996</v>
      </c>
      <c r="E1356">
        <v>50</v>
      </c>
      <c r="F1356">
        <v>56.890766143999997</v>
      </c>
      <c r="G1356">
        <v>1330.6607666</v>
      </c>
      <c r="H1356">
        <v>1330.2626952999999</v>
      </c>
      <c r="I1356">
        <v>1334.7993164</v>
      </c>
      <c r="J1356">
        <v>1333.3912353999999</v>
      </c>
      <c r="K1356">
        <v>0</v>
      </c>
      <c r="L1356">
        <v>2400</v>
      </c>
      <c r="M1356">
        <v>2400</v>
      </c>
      <c r="N1356">
        <v>0</v>
      </c>
    </row>
    <row r="1357" spans="1:14" x14ac:dyDescent="0.25">
      <c r="A1357">
        <v>549.23002399999996</v>
      </c>
      <c r="B1357" s="1">
        <f>DATE(2011,11,1) + TIME(5,31,14)</f>
        <v>40848.230023148149</v>
      </c>
      <c r="C1357">
        <v>80</v>
      </c>
      <c r="D1357">
        <v>79.942176818999997</v>
      </c>
      <c r="E1357">
        <v>50</v>
      </c>
      <c r="F1357">
        <v>56.408432007000002</v>
      </c>
      <c r="G1357">
        <v>1330.6531981999999</v>
      </c>
      <c r="H1357">
        <v>1330.2510986</v>
      </c>
      <c r="I1357">
        <v>1334.7980957</v>
      </c>
      <c r="J1357">
        <v>1333.3884277</v>
      </c>
      <c r="K1357">
        <v>0</v>
      </c>
      <c r="L1357">
        <v>2400</v>
      </c>
      <c r="M1357">
        <v>2400</v>
      </c>
      <c r="N1357">
        <v>0</v>
      </c>
    </row>
    <row r="1358" spans="1:14" x14ac:dyDescent="0.25">
      <c r="A1358">
        <v>549.27064900000005</v>
      </c>
      <c r="B1358" s="1">
        <f>DATE(2011,11,1) + TIME(6,29,44)</f>
        <v>40848.270648148151</v>
      </c>
      <c r="C1358">
        <v>80</v>
      </c>
      <c r="D1358">
        <v>79.936988830999994</v>
      </c>
      <c r="E1358">
        <v>50</v>
      </c>
      <c r="F1358">
        <v>55.936664581000002</v>
      </c>
      <c r="G1358">
        <v>1330.6455077999999</v>
      </c>
      <c r="H1358">
        <v>1330.2392577999999</v>
      </c>
      <c r="I1358">
        <v>1334.7982178</v>
      </c>
      <c r="J1358">
        <v>1333.3865966999999</v>
      </c>
      <c r="K1358">
        <v>0</v>
      </c>
      <c r="L1358">
        <v>2400</v>
      </c>
      <c r="M1358">
        <v>2400</v>
      </c>
      <c r="N1358">
        <v>0</v>
      </c>
    </row>
    <row r="1359" spans="1:14" x14ac:dyDescent="0.25">
      <c r="A1359">
        <v>549.31390299999998</v>
      </c>
      <c r="B1359" s="1">
        <f>DATE(2011,11,1) + TIME(7,32,1)</f>
        <v>40848.313900462963</v>
      </c>
      <c r="C1359">
        <v>80</v>
      </c>
      <c r="D1359">
        <v>79.931495666999993</v>
      </c>
      <c r="E1359">
        <v>50</v>
      </c>
      <c r="F1359">
        <v>55.475952147999998</v>
      </c>
      <c r="G1359">
        <v>1330.6375731999999</v>
      </c>
      <c r="H1359">
        <v>1330.2270507999999</v>
      </c>
      <c r="I1359">
        <v>1334.7995605000001</v>
      </c>
      <c r="J1359">
        <v>1333.3856201000001</v>
      </c>
      <c r="K1359">
        <v>0</v>
      </c>
      <c r="L1359">
        <v>2400</v>
      </c>
      <c r="M1359">
        <v>2400</v>
      </c>
      <c r="N1359">
        <v>0</v>
      </c>
    </row>
    <row r="1360" spans="1:14" x14ac:dyDescent="0.25">
      <c r="A1360">
        <v>549.36008100000004</v>
      </c>
      <c r="B1360" s="1">
        <f>DATE(2011,11,1) + TIME(8,38,30)</f>
        <v>40848.360069444447</v>
      </c>
      <c r="C1360">
        <v>80</v>
      </c>
      <c r="D1360">
        <v>79.925659179999997</v>
      </c>
      <c r="E1360">
        <v>50</v>
      </c>
      <c r="F1360">
        <v>55.026752471999998</v>
      </c>
      <c r="G1360">
        <v>1330.6293945</v>
      </c>
      <c r="H1360">
        <v>1330.2145995999999</v>
      </c>
      <c r="I1360">
        <v>1334.8023682</v>
      </c>
      <c r="J1360">
        <v>1333.3856201000001</v>
      </c>
      <c r="K1360">
        <v>0</v>
      </c>
      <c r="L1360">
        <v>2400</v>
      </c>
      <c r="M1360">
        <v>2400</v>
      </c>
      <c r="N1360">
        <v>0</v>
      </c>
    </row>
    <row r="1361" spans="1:14" x14ac:dyDescent="0.25">
      <c r="A1361">
        <v>549.40833999999995</v>
      </c>
      <c r="B1361" s="1">
        <f>DATE(2011,11,1) + TIME(9,48,0)</f>
        <v>40848.408333333333</v>
      </c>
      <c r="C1361">
        <v>80</v>
      </c>
      <c r="D1361">
        <v>79.919593810999999</v>
      </c>
      <c r="E1361">
        <v>50</v>
      </c>
      <c r="F1361">
        <v>54.599117278999998</v>
      </c>
      <c r="G1361">
        <v>1330.6210937999999</v>
      </c>
      <c r="H1361">
        <v>1330.2017822</v>
      </c>
      <c r="I1361">
        <v>1334.8070068</v>
      </c>
      <c r="J1361">
        <v>1333.3869629000001</v>
      </c>
      <c r="K1361">
        <v>0</v>
      </c>
      <c r="L1361">
        <v>2400</v>
      </c>
      <c r="M1361">
        <v>2400</v>
      </c>
      <c r="N1361">
        <v>0</v>
      </c>
    </row>
    <row r="1362" spans="1:14" x14ac:dyDescent="0.25">
      <c r="A1362">
        <v>549.45853499999998</v>
      </c>
      <c r="B1362" s="1">
        <f>DATE(2011,11,1) + TIME(11,0,17)</f>
        <v>40848.45853009259</v>
      </c>
      <c r="C1362">
        <v>80</v>
      </c>
      <c r="D1362">
        <v>79.913314818999993</v>
      </c>
      <c r="E1362">
        <v>50</v>
      </c>
      <c r="F1362">
        <v>54.194908142000003</v>
      </c>
      <c r="G1362">
        <v>1330.6126709</v>
      </c>
      <c r="H1362">
        <v>1330.1889647999999</v>
      </c>
      <c r="I1362">
        <v>1334.8131103999999</v>
      </c>
      <c r="J1362">
        <v>1333.3891602000001</v>
      </c>
      <c r="K1362">
        <v>0</v>
      </c>
      <c r="L1362">
        <v>2400</v>
      </c>
      <c r="M1362">
        <v>2400</v>
      </c>
      <c r="N1362">
        <v>0</v>
      </c>
    </row>
    <row r="1363" spans="1:14" x14ac:dyDescent="0.25">
      <c r="A1363">
        <v>549.51085999999998</v>
      </c>
      <c r="B1363" s="1">
        <f>DATE(2011,11,1) + TIME(12,15,38)</f>
        <v>40848.51085648148</v>
      </c>
      <c r="C1363">
        <v>80</v>
      </c>
      <c r="D1363">
        <v>79.906806946000003</v>
      </c>
      <c r="E1363">
        <v>50</v>
      </c>
      <c r="F1363">
        <v>53.813068389999998</v>
      </c>
      <c r="G1363">
        <v>1330.604126</v>
      </c>
      <c r="H1363">
        <v>1330.1760254000001</v>
      </c>
      <c r="I1363">
        <v>1334.8204346</v>
      </c>
      <c r="J1363">
        <v>1333.3923339999999</v>
      </c>
      <c r="K1363">
        <v>0</v>
      </c>
      <c r="L1363">
        <v>2400</v>
      </c>
      <c r="M1363">
        <v>2400</v>
      </c>
      <c r="N1363">
        <v>0</v>
      </c>
    </row>
    <row r="1364" spans="1:14" x14ac:dyDescent="0.25">
      <c r="A1364">
        <v>549.56551999999999</v>
      </c>
      <c r="B1364" s="1">
        <f>DATE(2011,11,1) + TIME(13,34,20)</f>
        <v>40848.565509259257</v>
      </c>
      <c r="C1364">
        <v>80</v>
      </c>
      <c r="D1364">
        <v>79.900054932000003</v>
      </c>
      <c r="E1364">
        <v>50</v>
      </c>
      <c r="F1364">
        <v>53.452774048000002</v>
      </c>
      <c r="G1364">
        <v>1330.5955810999999</v>
      </c>
      <c r="H1364">
        <v>1330.1629639</v>
      </c>
      <c r="I1364">
        <v>1334.8289795000001</v>
      </c>
      <c r="J1364">
        <v>1333.3963623</v>
      </c>
      <c r="K1364">
        <v>0</v>
      </c>
      <c r="L1364">
        <v>2400</v>
      </c>
      <c r="M1364">
        <v>2400</v>
      </c>
      <c r="N1364">
        <v>0</v>
      </c>
    </row>
    <row r="1365" spans="1:14" x14ac:dyDescent="0.25">
      <c r="A1365">
        <v>549.62274300000001</v>
      </c>
      <c r="B1365" s="1">
        <f>DATE(2011,11,1) + TIME(14,56,44)</f>
        <v>40848.622731481482</v>
      </c>
      <c r="C1365">
        <v>80</v>
      </c>
      <c r="D1365">
        <v>79.893028259000005</v>
      </c>
      <c r="E1365">
        <v>50</v>
      </c>
      <c r="F1365">
        <v>53.113296509000001</v>
      </c>
      <c r="G1365">
        <v>1330.5870361</v>
      </c>
      <c r="H1365">
        <v>1330.1497803</v>
      </c>
      <c r="I1365">
        <v>1334.838501</v>
      </c>
      <c r="J1365">
        <v>1333.4011230000001</v>
      </c>
      <c r="K1365">
        <v>0</v>
      </c>
      <c r="L1365">
        <v>2400</v>
      </c>
      <c r="M1365">
        <v>2400</v>
      </c>
      <c r="N1365">
        <v>0</v>
      </c>
    </row>
    <row r="1366" spans="1:14" x14ac:dyDescent="0.25">
      <c r="A1366">
        <v>549.68278399999997</v>
      </c>
      <c r="B1366" s="1">
        <f>DATE(2011,11,1) + TIME(16,23,12)</f>
        <v>40848.68277777778</v>
      </c>
      <c r="C1366">
        <v>80</v>
      </c>
      <c r="D1366">
        <v>79.885711670000006</v>
      </c>
      <c r="E1366">
        <v>50</v>
      </c>
      <c r="F1366">
        <v>52.794036865000002</v>
      </c>
      <c r="G1366">
        <v>1330.5782471</v>
      </c>
      <c r="H1366">
        <v>1330.1364745999999</v>
      </c>
      <c r="I1366">
        <v>1334.8492432</v>
      </c>
      <c r="J1366">
        <v>1333.4067382999999</v>
      </c>
      <c r="K1366">
        <v>0</v>
      </c>
      <c r="L1366">
        <v>2400</v>
      </c>
      <c r="M1366">
        <v>2400</v>
      </c>
      <c r="N1366">
        <v>0</v>
      </c>
    </row>
    <row r="1367" spans="1:14" x14ac:dyDescent="0.25">
      <c r="A1367">
        <v>549.74593600000003</v>
      </c>
      <c r="B1367" s="1">
        <f>DATE(2011,11,1) + TIME(17,54,8)</f>
        <v>40848.745925925927</v>
      </c>
      <c r="C1367">
        <v>80</v>
      </c>
      <c r="D1367">
        <v>79.878067017000006</v>
      </c>
      <c r="E1367">
        <v>50</v>
      </c>
      <c r="F1367">
        <v>52.494445800999998</v>
      </c>
      <c r="G1367">
        <v>1330.5693358999999</v>
      </c>
      <c r="H1367">
        <v>1330.1230469</v>
      </c>
      <c r="I1367">
        <v>1334.8608397999999</v>
      </c>
      <c r="J1367">
        <v>1333.4129639</v>
      </c>
      <c r="K1367">
        <v>0</v>
      </c>
      <c r="L1367">
        <v>2400</v>
      </c>
      <c r="M1367">
        <v>2400</v>
      </c>
      <c r="N1367">
        <v>0</v>
      </c>
    </row>
    <row r="1368" spans="1:14" x14ac:dyDescent="0.25">
      <c r="A1368">
        <v>549.81254999999999</v>
      </c>
      <c r="B1368" s="1">
        <f>DATE(2011,11,1) + TIME(19,30,4)</f>
        <v>40848.8125462963</v>
      </c>
      <c r="C1368">
        <v>80</v>
      </c>
      <c r="D1368">
        <v>79.870071410999998</v>
      </c>
      <c r="E1368">
        <v>50</v>
      </c>
      <c r="F1368">
        <v>52.213996887</v>
      </c>
      <c r="G1368">
        <v>1330.5603027</v>
      </c>
      <c r="H1368">
        <v>1330.1092529</v>
      </c>
      <c r="I1368">
        <v>1334.8732910000001</v>
      </c>
      <c r="J1368">
        <v>1333.4197998</v>
      </c>
      <c r="K1368">
        <v>0</v>
      </c>
      <c r="L1368">
        <v>2400</v>
      </c>
      <c r="M1368">
        <v>2400</v>
      </c>
      <c r="N1368">
        <v>0</v>
      </c>
    </row>
    <row r="1369" spans="1:14" x14ac:dyDescent="0.25">
      <c r="A1369">
        <v>549.88302199999998</v>
      </c>
      <c r="B1369" s="1">
        <f>DATE(2011,11,1) + TIME(21,11,33)</f>
        <v>40848.883020833331</v>
      </c>
      <c r="C1369">
        <v>80</v>
      </c>
      <c r="D1369">
        <v>79.861679077000005</v>
      </c>
      <c r="E1369">
        <v>50</v>
      </c>
      <c r="F1369">
        <v>51.952259064000003</v>
      </c>
      <c r="G1369">
        <v>1330.5510254000001</v>
      </c>
      <c r="H1369">
        <v>1330.0952147999999</v>
      </c>
      <c r="I1369">
        <v>1334.8865966999999</v>
      </c>
      <c r="J1369">
        <v>1333.4272461</v>
      </c>
      <c r="K1369">
        <v>0</v>
      </c>
      <c r="L1369">
        <v>2400</v>
      </c>
      <c r="M1369">
        <v>2400</v>
      </c>
      <c r="N1369">
        <v>0</v>
      </c>
    </row>
    <row r="1370" spans="1:14" x14ac:dyDescent="0.25">
      <c r="A1370">
        <v>549.95781499999998</v>
      </c>
      <c r="B1370" s="1">
        <f>DATE(2011,11,1) + TIME(22,59,15)</f>
        <v>40848.957812499997</v>
      </c>
      <c r="C1370">
        <v>80</v>
      </c>
      <c r="D1370">
        <v>79.852859496999997</v>
      </c>
      <c r="E1370">
        <v>50</v>
      </c>
      <c r="F1370">
        <v>51.708847046000002</v>
      </c>
      <c r="G1370">
        <v>1330.5415039</v>
      </c>
      <c r="H1370">
        <v>1330.0809326000001</v>
      </c>
      <c r="I1370">
        <v>1334.9006348</v>
      </c>
      <c r="J1370">
        <v>1333.4353027</v>
      </c>
      <c r="K1370">
        <v>0</v>
      </c>
      <c r="L1370">
        <v>2400</v>
      </c>
      <c r="M1370">
        <v>2400</v>
      </c>
      <c r="N1370">
        <v>0</v>
      </c>
    </row>
    <row r="1371" spans="1:14" x14ac:dyDescent="0.25">
      <c r="A1371">
        <v>550.03747099999998</v>
      </c>
      <c r="B1371" s="1">
        <f>DATE(2011,11,2) + TIME(0,53,57)</f>
        <v>40849.037465277775</v>
      </c>
      <c r="C1371">
        <v>80</v>
      </c>
      <c r="D1371">
        <v>79.843551636000001</v>
      </c>
      <c r="E1371">
        <v>50</v>
      </c>
      <c r="F1371">
        <v>51.483421325999998</v>
      </c>
      <c r="G1371">
        <v>1330.5317382999999</v>
      </c>
      <c r="H1371">
        <v>1330.0661620999999</v>
      </c>
      <c r="I1371">
        <v>1334.9152832</v>
      </c>
      <c r="J1371">
        <v>1333.4438477000001</v>
      </c>
      <c r="K1371">
        <v>0</v>
      </c>
      <c r="L1371">
        <v>2400</v>
      </c>
      <c r="M1371">
        <v>2400</v>
      </c>
      <c r="N1371">
        <v>0</v>
      </c>
    </row>
    <row r="1372" spans="1:14" x14ac:dyDescent="0.25">
      <c r="A1372">
        <v>550.12263900000005</v>
      </c>
      <c r="B1372" s="1">
        <f>DATE(2011,11,2) + TIME(2,56,36)</f>
        <v>40849.12263888889</v>
      </c>
      <c r="C1372">
        <v>80</v>
      </c>
      <c r="D1372">
        <v>79.833709717000005</v>
      </c>
      <c r="E1372">
        <v>50</v>
      </c>
      <c r="F1372">
        <v>51.275661468999999</v>
      </c>
      <c r="G1372">
        <v>1330.5216064000001</v>
      </c>
      <c r="H1372">
        <v>1330.0510254000001</v>
      </c>
      <c r="I1372">
        <v>1334.9304199000001</v>
      </c>
      <c r="J1372">
        <v>1333.4527588000001</v>
      </c>
      <c r="K1372">
        <v>0</v>
      </c>
      <c r="L1372">
        <v>2400</v>
      </c>
      <c r="M1372">
        <v>2400</v>
      </c>
      <c r="N1372">
        <v>0</v>
      </c>
    </row>
    <row r="1373" spans="1:14" x14ac:dyDescent="0.25">
      <c r="A1373">
        <v>550.21409200000005</v>
      </c>
      <c r="B1373" s="1">
        <f>DATE(2011,11,2) + TIME(5,8,17)</f>
        <v>40849.214085648149</v>
      </c>
      <c r="C1373">
        <v>80</v>
      </c>
      <c r="D1373">
        <v>79.823249817000004</v>
      </c>
      <c r="E1373">
        <v>50</v>
      </c>
      <c r="F1373">
        <v>51.085262299</v>
      </c>
      <c r="G1373">
        <v>1330.5111084</v>
      </c>
      <c r="H1373">
        <v>1330.0352783000001</v>
      </c>
      <c r="I1373">
        <v>1334.9460449000001</v>
      </c>
      <c r="J1373">
        <v>1333.4621582</v>
      </c>
      <c r="K1373">
        <v>0</v>
      </c>
      <c r="L1373">
        <v>2400</v>
      </c>
      <c r="M1373">
        <v>2400</v>
      </c>
      <c r="N1373">
        <v>0</v>
      </c>
    </row>
    <row r="1374" spans="1:14" x14ac:dyDescent="0.25">
      <c r="A1374">
        <v>550.312772</v>
      </c>
      <c r="B1374" s="1">
        <f>DATE(2011,11,2) + TIME(7,30,23)</f>
        <v>40849.3127662037</v>
      </c>
      <c r="C1374">
        <v>80</v>
      </c>
      <c r="D1374">
        <v>79.812095642000003</v>
      </c>
      <c r="E1374">
        <v>50</v>
      </c>
      <c r="F1374">
        <v>50.911926270000002</v>
      </c>
      <c r="G1374">
        <v>1330.5002440999999</v>
      </c>
      <c r="H1374">
        <v>1330.019043</v>
      </c>
      <c r="I1374">
        <v>1334.9620361</v>
      </c>
      <c r="J1374">
        <v>1333.4718018000001</v>
      </c>
      <c r="K1374">
        <v>0</v>
      </c>
      <c r="L1374">
        <v>2400</v>
      </c>
      <c r="M1374">
        <v>2400</v>
      </c>
      <c r="N1374">
        <v>0</v>
      </c>
    </row>
    <row r="1375" spans="1:14" x14ac:dyDescent="0.25">
      <c r="A1375">
        <v>550.41983500000003</v>
      </c>
      <c r="B1375" s="1">
        <f>DATE(2011,11,2) + TIME(10,4,33)</f>
        <v>40849.41982638889</v>
      </c>
      <c r="C1375">
        <v>80</v>
      </c>
      <c r="D1375">
        <v>79.80015564</v>
      </c>
      <c r="E1375">
        <v>50</v>
      </c>
      <c r="F1375">
        <v>50.755340576000002</v>
      </c>
      <c r="G1375">
        <v>1330.4888916</v>
      </c>
      <c r="H1375">
        <v>1330.0019531</v>
      </c>
      <c r="I1375">
        <v>1334.9782714999999</v>
      </c>
      <c r="J1375">
        <v>1333.4816894999999</v>
      </c>
      <c r="K1375">
        <v>0</v>
      </c>
      <c r="L1375">
        <v>2400</v>
      </c>
      <c r="M1375">
        <v>2400</v>
      </c>
      <c r="N1375">
        <v>0</v>
      </c>
    </row>
    <row r="1376" spans="1:14" x14ac:dyDescent="0.25">
      <c r="A1376">
        <v>550.53672400000005</v>
      </c>
      <c r="B1376" s="1">
        <f>DATE(2011,11,2) + TIME(12,52,52)</f>
        <v>40849.536712962959</v>
      </c>
      <c r="C1376">
        <v>80</v>
      </c>
      <c r="D1376">
        <v>79.787292480000005</v>
      </c>
      <c r="E1376">
        <v>50</v>
      </c>
      <c r="F1376">
        <v>50.615169524999999</v>
      </c>
      <c r="G1376">
        <v>1330.4769286999999</v>
      </c>
      <c r="H1376">
        <v>1329.9842529</v>
      </c>
      <c r="I1376">
        <v>1334.9945068</v>
      </c>
      <c r="J1376">
        <v>1333.4918213000001</v>
      </c>
      <c r="K1376">
        <v>0</v>
      </c>
      <c r="L1376">
        <v>2400</v>
      </c>
      <c r="M1376">
        <v>2400</v>
      </c>
      <c r="N1376">
        <v>0</v>
      </c>
    </row>
    <row r="1377" spans="1:14" x14ac:dyDescent="0.25">
      <c r="A1377">
        <v>550.663816</v>
      </c>
      <c r="B1377" s="1">
        <f>DATE(2011,11,2) + TIME(15,55,53)</f>
        <v>40849.663807870369</v>
      </c>
      <c r="C1377">
        <v>80</v>
      </c>
      <c r="D1377">
        <v>79.773490906000006</v>
      </c>
      <c r="E1377">
        <v>50</v>
      </c>
      <c r="F1377">
        <v>50.492168427000003</v>
      </c>
      <c r="G1377">
        <v>1330.4643555</v>
      </c>
      <c r="H1377">
        <v>1329.9654541</v>
      </c>
      <c r="I1377">
        <v>1335.0108643000001</v>
      </c>
      <c r="J1377">
        <v>1333.5020752</v>
      </c>
      <c r="K1377">
        <v>0</v>
      </c>
      <c r="L1377">
        <v>2400</v>
      </c>
      <c r="M1377">
        <v>2400</v>
      </c>
      <c r="N1377">
        <v>0</v>
      </c>
    </row>
    <row r="1378" spans="1:14" x14ac:dyDescent="0.25">
      <c r="A1378">
        <v>550.79528800000003</v>
      </c>
      <c r="B1378" s="1">
        <f>DATE(2011,11,2) + TIME(19,5,12)</f>
        <v>40849.795277777775</v>
      </c>
      <c r="C1378">
        <v>80</v>
      </c>
      <c r="D1378">
        <v>79.759338378999999</v>
      </c>
      <c r="E1378">
        <v>50</v>
      </c>
      <c r="F1378">
        <v>50.390163422000001</v>
      </c>
      <c r="G1378">
        <v>1330.4511719</v>
      </c>
      <c r="H1378">
        <v>1329.9459228999999</v>
      </c>
      <c r="I1378">
        <v>1335.0273437999999</v>
      </c>
      <c r="J1378">
        <v>1333.5126952999999</v>
      </c>
      <c r="K1378">
        <v>0</v>
      </c>
      <c r="L1378">
        <v>2400</v>
      </c>
      <c r="M1378">
        <v>2400</v>
      </c>
      <c r="N1378">
        <v>0</v>
      </c>
    </row>
    <row r="1379" spans="1:14" x14ac:dyDescent="0.25">
      <c r="A1379">
        <v>550.93168800000001</v>
      </c>
      <c r="B1379" s="1">
        <f>DATE(2011,11,2) + TIME(22,21,37)</f>
        <v>40849.93167824074</v>
      </c>
      <c r="C1379">
        <v>80</v>
      </c>
      <c r="D1379">
        <v>79.744773864999999</v>
      </c>
      <c r="E1379">
        <v>50</v>
      </c>
      <c r="F1379">
        <v>50.305995940999999</v>
      </c>
      <c r="G1379">
        <v>1330.4378661999999</v>
      </c>
      <c r="H1379">
        <v>1329.9262695</v>
      </c>
      <c r="I1379">
        <v>1335.0426024999999</v>
      </c>
      <c r="J1379">
        <v>1333.5224608999999</v>
      </c>
      <c r="K1379">
        <v>0</v>
      </c>
      <c r="L1379">
        <v>2400</v>
      </c>
      <c r="M1379">
        <v>2400</v>
      </c>
      <c r="N1379">
        <v>0</v>
      </c>
    </row>
    <row r="1380" spans="1:14" x14ac:dyDescent="0.25">
      <c r="A1380">
        <v>551.07338900000002</v>
      </c>
      <c r="B1380" s="1">
        <f>DATE(2011,11,3) + TIME(1,45,40)</f>
        <v>40850.073379629626</v>
      </c>
      <c r="C1380">
        <v>80</v>
      </c>
      <c r="D1380">
        <v>79.729766846000004</v>
      </c>
      <c r="E1380">
        <v>50</v>
      </c>
      <c r="F1380">
        <v>50.237026215</v>
      </c>
      <c r="G1380">
        <v>1330.4244385</v>
      </c>
      <c r="H1380">
        <v>1329.9064940999999</v>
      </c>
      <c r="I1380">
        <v>1335.0565185999999</v>
      </c>
      <c r="J1380">
        <v>1333.5314940999999</v>
      </c>
      <c r="K1380">
        <v>0</v>
      </c>
      <c r="L1380">
        <v>2400</v>
      </c>
      <c r="M1380">
        <v>2400</v>
      </c>
      <c r="N1380">
        <v>0</v>
      </c>
    </row>
    <row r="1381" spans="1:14" x14ac:dyDescent="0.25">
      <c r="A1381">
        <v>551.22063100000003</v>
      </c>
      <c r="B1381" s="1">
        <f>DATE(2011,11,3) + TIME(5,17,42)</f>
        <v>40850.220625000002</v>
      </c>
      <c r="C1381">
        <v>80</v>
      </c>
      <c r="D1381">
        <v>79.714294433999996</v>
      </c>
      <c r="E1381">
        <v>50</v>
      </c>
      <c r="F1381">
        <v>50.180988311999997</v>
      </c>
      <c r="G1381">
        <v>1330.4107666</v>
      </c>
      <c r="H1381">
        <v>1329.8864745999999</v>
      </c>
      <c r="I1381">
        <v>1335.0690918</v>
      </c>
      <c r="J1381">
        <v>1333.5397949000001</v>
      </c>
      <c r="K1381">
        <v>0</v>
      </c>
      <c r="L1381">
        <v>2400</v>
      </c>
      <c r="M1381">
        <v>2400</v>
      </c>
      <c r="N1381">
        <v>0</v>
      </c>
    </row>
    <row r="1382" spans="1:14" x14ac:dyDescent="0.25">
      <c r="A1382">
        <v>551.37342999999998</v>
      </c>
      <c r="B1382" s="1">
        <f>DATE(2011,11,3) + TIME(8,57,44)</f>
        <v>40850.373425925929</v>
      </c>
      <c r="C1382">
        <v>80</v>
      </c>
      <c r="D1382">
        <v>79.698356627999999</v>
      </c>
      <c r="E1382">
        <v>50</v>
      </c>
      <c r="F1382">
        <v>50.135898589999996</v>
      </c>
      <c r="G1382">
        <v>1330.3969727000001</v>
      </c>
      <c r="H1382">
        <v>1329.8660889</v>
      </c>
      <c r="I1382">
        <v>1335.0804443</v>
      </c>
      <c r="J1382">
        <v>1333.5474853999999</v>
      </c>
      <c r="K1382">
        <v>0</v>
      </c>
      <c r="L1382">
        <v>2400</v>
      </c>
      <c r="M1382">
        <v>2400</v>
      </c>
      <c r="N1382">
        <v>0</v>
      </c>
    </row>
    <row r="1383" spans="1:14" x14ac:dyDescent="0.25">
      <c r="A1383">
        <v>551.53216499999996</v>
      </c>
      <c r="B1383" s="1">
        <f>DATE(2011,11,3) + TIME(12,46,19)</f>
        <v>40850.532164351855</v>
      </c>
      <c r="C1383">
        <v>80</v>
      </c>
      <c r="D1383">
        <v>79.681922912999994</v>
      </c>
      <c r="E1383">
        <v>50</v>
      </c>
      <c r="F1383">
        <v>50.099906920999999</v>
      </c>
      <c r="G1383">
        <v>1330.3829346</v>
      </c>
      <c r="H1383">
        <v>1329.8457031</v>
      </c>
      <c r="I1383">
        <v>1335.0904541</v>
      </c>
      <c r="J1383">
        <v>1333.5543213000001</v>
      </c>
      <c r="K1383">
        <v>0</v>
      </c>
      <c r="L1383">
        <v>2400</v>
      </c>
      <c r="M1383">
        <v>2400</v>
      </c>
      <c r="N1383">
        <v>0</v>
      </c>
    </row>
    <row r="1384" spans="1:14" x14ac:dyDescent="0.25">
      <c r="A1384">
        <v>551.69645100000002</v>
      </c>
      <c r="B1384" s="1">
        <f>DATE(2011,11,3) + TIME(16,42,53)</f>
        <v>40850.696446759262</v>
      </c>
      <c r="C1384">
        <v>80</v>
      </c>
      <c r="D1384">
        <v>79.665023804</v>
      </c>
      <c r="E1384">
        <v>50</v>
      </c>
      <c r="F1384">
        <v>50.071517944</v>
      </c>
      <c r="G1384">
        <v>1330.3687743999999</v>
      </c>
      <c r="H1384">
        <v>1329.8249512</v>
      </c>
      <c r="I1384">
        <v>1335.0992432</v>
      </c>
      <c r="J1384">
        <v>1333.5604248</v>
      </c>
      <c r="K1384">
        <v>0</v>
      </c>
      <c r="L1384">
        <v>2400</v>
      </c>
      <c r="M1384">
        <v>2400</v>
      </c>
      <c r="N1384">
        <v>0</v>
      </c>
    </row>
    <row r="1385" spans="1:14" x14ac:dyDescent="0.25">
      <c r="A1385">
        <v>551.86566700000003</v>
      </c>
      <c r="B1385" s="1">
        <f>DATE(2011,11,3) + TIME(20,46,33)</f>
        <v>40850.865659722222</v>
      </c>
      <c r="C1385">
        <v>80</v>
      </c>
      <c r="D1385">
        <v>79.647712708</v>
      </c>
      <c r="E1385">
        <v>50</v>
      </c>
      <c r="F1385">
        <v>50.049388884999999</v>
      </c>
      <c r="G1385">
        <v>1330.3543701000001</v>
      </c>
      <c r="H1385">
        <v>1329.8039550999999</v>
      </c>
      <c r="I1385">
        <v>1335.1068115</v>
      </c>
      <c r="J1385">
        <v>1333.5657959</v>
      </c>
      <c r="K1385">
        <v>0</v>
      </c>
      <c r="L1385">
        <v>2400</v>
      </c>
      <c r="M1385">
        <v>2400</v>
      </c>
      <c r="N1385">
        <v>0</v>
      </c>
    </row>
    <row r="1386" spans="1:14" x14ac:dyDescent="0.25">
      <c r="A1386">
        <v>552.04087900000002</v>
      </c>
      <c r="B1386" s="1">
        <f>DATE(2011,11,4) + TIME(0,58,51)</f>
        <v>40851.040868055556</v>
      </c>
      <c r="C1386">
        <v>80</v>
      </c>
      <c r="D1386">
        <v>79.629898071</v>
      </c>
      <c r="E1386">
        <v>50</v>
      </c>
      <c r="F1386">
        <v>50.03219223</v>
      </c>
      <c r="G1386">
        <v>1330.3398437999999</v>
      </c>
      <c r="H1386">
        <v>1329.7829589999999</v>
      </c>
      <c r="I1386">
        <v>1335.1131591999999</v>
      </c>
      <c r="J1386">
        <v>1333.5705565999999</v>
      </c>
      <c r="K1386">
        <v>0</v>
      </c>
      <c r="L1386">
        <v>2400</v>
      </c>
      <c r="M1386">
        <v>2400</v>
      </c>
      <c r="N1386">
        <v>0</v>
      </c>
    </row>
    <row r="1387" spans="1:14" x14ac:dyDescent="0.25">
      <c r="A1387">
        <v>552.22331199999996</v>
      </c>
      <c r="B1387" s="1">
        <f>DATE(2011,11,4) + TIME(5,21,34)</f>
        <v>40851.223310185182</v>
      </c>
      <c r="C1387">
        <v>80</v>
      </c>
      <c r="D1387">
        <v>79.611465453999998</v>
      </c>
      <c r="E1387">
        <v>50</v>
      </c>
      <c r="F1387">
        <v>50.018890380999999</v>
      </c>
      <c r="G1387">
        <v>1330.3251952999999</v>
      </c>
      <c r="H1387">
        <v>1329.7615966999999</v>
      </c>
      <c r="I1387">
        <v>1335.1185303</v>
      </c>
      <c r="J1387">
        <v>1333.5745850000001</v>
      </c>
      <c r="K1387">
        <v>0</v>
      </c>
      <c r="L1387">
        <v>2400</v>
      </c>
      <c r="M1387">
        <v>2400</v>
      </c>
      <c r="N1387">
        <v>0</v>
      </c>
    </row>
    <row r="1388" spans="1:14" x14ac:dyDescent="0.25">
      <c r="A1388">
        <v>552.41430300000002</v>
      </c>
      <c r="B1388" s="1">
        <f>DATE(2011,11,4) + TIME(9,56,35)</f>
        <v>40851.414293981485</v>
      </c>
      <c r="C1388">
        <v>80</v>
      </c>
      <c r="D1388">
        <v>79.592308044000006</v>
      </c>
      <c r="E1388">
        <v>50</v>
      </c>
      <c r="F1388">
        <v>50.008655548</v>
      </c>
      <c r="G1388">
        <v>1330.3101807</v>
      </c>
      <c r="H1388">
        <v>1329.7399902</v>
      </c>
      <c r="I1388">
        <v>1335.1228027</v>
      </c>
      <c r="J1388">
        <v>1333.5780029</v>
      </c>
      <c r="K1388">
        <v>0</v>
      </c>
      <c r="L1388">
        <v>2400</v>
      </c>
      <c r="M1388">
        <v>2400</v>
      </c>
      <c r="N1388">
        <v>0</v>
      </c>
    </row>
    <row r="1389" spans="1:14" x14ac:dyDescent="0.25">
      <c r="A1389">
        <v>552.61536599999999</v>
      </c>
      <c r="B1389" s="1">
        <f>DATE(2011,11,4) + TIME(14,46,7)</f>
        <v>40851.615358796298</v>
      </c>
      <c r="C1389">
        <v>80</v>
      </c>
      <c r="D1389">
        <v>79.572296143000003</v>
      </c>
      <c r="E1389">
        <v>50</v>
      </c>
      <c r="F1389">
        <v>50.000839233000001</v>
      </c>
      <c r="G1389">
        <v>1330.2949219</v>
      </c>
      <c r="H1389">
        <v>1329.7178954999999</v>
      </c>
      <c r="I1389">
        <v>1335.1263428</v>
      </c>
      <c r="J1389">
        <v>1333.5809326000001</v>
      </c>
      <c r="K1389">
        <v>0</v>
      </c>
      <c r="L1389">
        <v>2400</v>
      </c>
      <c r="M1389">
        <v>2400</v>
      </c>
      <c r="N1389">
        <v>0</v>
      </c>
    </row>
    <row r="1390" spans="1:14" x14ac:dyDescent="0.25">
      <c r="A1390">
        <v>552.82831099999999</v>
      </c>
      <c r="B1390" s="1">
        <f>DATE(2011,11,4) + TIME(19,52,46)</f>
        <v>40851.828310185185</v>
      </c>
      <c r="C1390">
        <v>80</v>
      </c>
      <c r="D1390">
        <v>79.551269531000003</v>
      </c>
      <c r="E1390">
        <v>50</v>
      </c>
      <c r="F1390">
        <v>49.994918822999999</v>
      </c>
      <c r="G1390">
        <v>1330.2791748</v>
      </c>
      <c r="H1390">
        <v>1329.6951904</v>
      </c>
      <c r="I1390">
        <v>1335.1290283000001</v>
      </c>
      <c r="J1390">
        <v>1333.583374</v>
      </c>
      <c r="K1390">
        <v>0</v>
      </c>
      <c r="L1390">
        <v>2400</v>
      </c>
      <c r="M1390">
        <v>2400</v>
      </c>
      <c r="N1390">
        <v>0</v>
      </c>
    </row>
    <row r="1391" spans="1:14" x14ac:dyDescent="0.25">
      <c r="A1391">
        <v>553.05061499999999</v>
      </c>
      <c r="B1391" s="1">
        <f>DATE(2011,11,5) + TIME(1,12,53)</f>
        <v>40852.050613425927</v>
      </c>
      <c r="C1391">
        <v>80</v>
      </c>
      <c r="D1391">
        <v>79.529418945000003</v>
      </c>
      <c r="E1391">
        <v>50</v>
      </c>
      <c r="F1391">
        <v>49.990539550999998</v>
      </c>
      <c r="G1391">
        <v>1330.2629394999999</v>
      </c>
      <c r="H1391">
        <v>1329.671875</v>
      </c>
      <c r="I1391">
        <v>1335.1309814000001</v>
      </c>
      <c r="J1391">
        <v>1333.5854492000001</v>
      </c>
      <c r="K1391">
        <v>0</v>
      </c>
      <c r="L1391">
        <v>2400</v>
      </c>
      <c r="M1391">
        <v>2400</v>
      </c>
      <c r="N1391">
        <v>0</v>
      </c>
    </row>
    <row r="1392" spans="1:14" x14ac:dyDescent="0.25">
      <c r="A1392">
        <v>553.28344200000004</v>
      </c>
      <c r="B1392" s="1">
        <f>DATE(2011,11,5) + TIME(6,48,9)</f>
        <v>40852.283437500002</v>
      </c>
      <c r="C1392">
        <v>80</v>
      </c>
      <c r="D1392">
        <v>79.506652832</v>
      </c>
      <c r="E1392">
        <v>50</v>
      </c>
      <c r="F1392">
        <v>49.987331390000001</v>
      </c>
      <c r="G1392">
        <v>1330.2462158000001</v>
      </c>
      <c r="H1392">
        <v>1329.6480713000001</v>
      </c>
      <c r="I1392">
        <v>1335.1320800999999</v>
      </c>
      <c r="J1392">
        <v>1333.5870361</v>
      </c>
      <c r="K1392">
        <v>0</v>
      </c>
      <c r="L1392">
        <v>2400</v>
      </c>
      <c r="M1392">
        <v>2400</v>
      </c>
      <c r="N1392">
        <v>0</v>
      </c>
    </row>
    <row r="1393" spans="1:14" x14ac:dyDescent="0.25">
      <c r="A1393">
        <v>553.52878999999996</v>
      </c>
      <c r="B1393" s="1">
        <f>DATE(2011,11,5) + TIME(12,41,27)</f>
        <v>40852.528784722221</v>
      </c>
      <c r="C1393">
        <v>80</v>
      </c>
      <c r="D1393">
        <v>79.482788085999999</v>
      </c>
      <c r="E1393">
        <v>50</v>
      </c>
      <c r="F1393">
        <v>49.984989165999998</v>
      </c>
      <c r="G1393">
        <v>1330.2292480000001</v>
      </c>
      <c r="H1393">
        <v>1329.6237793</v>
      </c>
      <c r="I1393">
        <v>1335.1326904</v>
      </c>
      <c r="J1393">
        <v>1333.5881348</v>
      </c>
      <c r="K1393">
        <v>0</v>
      </c>
      <c r="L1393">
        <v>2400</v>
      </c>
      <c r="M1393">
        <v>2400</v>
      </c>
      <c r="N1393">
        <v>0</v>
      </c>
    </row>
    <row r="1394" spans="1:14" x14ac:dyDescent="0.25">
      <c r="A1394">
        <v>553.78870800000004</v>
      </c>
      <c r="B1394" s="1">
        <f>DATE(2011,11,5) + TIME(18,55,44)</f>
        <v>40852.788703703707</v>
      </c>
      <c r="C1394">
        <v>80</v>
      </c>
      <c r="D1394">
        <v>79.457672118999994</v>
      </c>
      <c r="E1394">
        <v>50</v>
      </c>
      <c r="F1394">
        <v>49.983291626000003</v>
      </c>
      <c r="G1394">
        <v>1330.2115478999999</v>
      </c>
      <c r="H1394">
        <v>1329.5987548999999</v>
      </c>
      <c r="I1394">
        <v>1335.1325684000001</v>
      </c>
      <c r="J1394">
        <v>1333.5889893000001</v>
      </c>
      <c r="K1394">
        <v>0</v>
      </c>
      <c r="L1394">
        <v>2400</v>
      </c>
      <c r="M1394">
        <v>2400</v>
      </c>
      <c r="N1394">
        <v>0</v>
      </c>
    </row>
    <row r="1395" spans="1:14" x14ac:dyDescent="0.25">
      <c r="A1395">
        <v>554.06572100000005</v>
      </c>
      <c r="B1395" s="1">
        <f>DATE(2011,11,6) + TIME(1,34,38)</f>
        <v>40853.065717592595</v>
      </c>
      <c r="C1395">
        <v>80</v>
      </c>
      <c r="D1395">
        <v>79.431083678999997</v>
      </c>
      <c r="E1395">
        <v>50</v>
      </c>
      <c r="F1395">
        <v>49.982070923000002</v>
      </c>
      <c r="G1395">
        <v>1330.1933594</v>
      </c>
      <c r="H1395">
        <v>1329.572876</v>
      </c>
      <c r="I1395">
        <v>1335.1319579999999</v>
      </c>
      <c r="J1395">
        <v>1333.5894774999999</v>
      </c>
      <c r="K1395">
        <v>0</v>
      </c>
      <c r="L1395">
        <v>2400</v>
      </c>
      <c r="M1395">
        <v>2400</v>
      </c>
      <c r="N1395">
        <v>0</v>
      </c>
    </row>
    <row r="1396" spans="1:14" x14ac:dyDescent="0.25">
      <c r="A1396">
        <v>554.36021700000003</v>
      </c>
      <c r="B1396" s="1">
        <f>DATE(2011,11,6) + TIME(8,38,42)</f>
        <v>40853.360208333332</v>
      </c>
      <c r="C1396">
        <v>80</v>
      </c>
      <c r="D1396">
        <v>79.402954101999995</v>
      </c>
      <c r="E1396">
        <v>50</v>
      </c>
      <c r="F1396">
        <v>49.981201171999999</v>
      </c>
      <c r="G1396">
        <v>1330.1744385</v>
      </c>
      <c r="H1396">
        <v>1329.5460204999999</v>
      </c>
      <c r="I1396">
        <v>1335.1308594</v>
      </c>
      <c r="J1396">
        <v>1333.5895995999999</v>
      </c>
      <c r="K1396">
        <v>0</v>
      </c>
      <c r="L1396">
        <v>2400</v>
      </c>
      <c r="M1396">
        <v>2400</v>
      </c>
      <c r="N1396">
        <v>0</v>
      </c>
    </row>
    <row r="1397" spans="1:14" x14ac:dyDescent="0.25">
      <c r="A1397">
        <v>554.66081799999995</v>
      </c>
      <c r="B1397" s="1">
        <f>DATE(2011,11,6) + TIME(15,51,34)</f>
        <v>40853.660810185182</v>
      </c>
      <c r="C1397">
        <v>80</v>
      </c>
      <c r="D1397">
        <v>79.374038696</v>
      </c>
      <c r="E1397">
        <v>50</v>
      </c>
      <c r="F1397">
        <v>49.980606078999998</v>
      </c>
      <c r="G1397">
        <v>1330.1549072</v>
      </c>
      <c r="H1397">
        <v>1329.5183105000001</v>
      </c>
      <c r="I1397">
        <v>1335.1292725000001</v>
      </c>
      <c r="J1397">
        <v>1333.5894774999999</v>
      </c>
      <c r="K1397">
        <v>0</v>
      </c>
      <c r="L1397">
        <v>2400</v>
      </c>
      <c r="M1397">
        <v>2400</v>
      </c>
      <c r="N1397">
        <v>0</v>
      </c>
    </row>
    <row r="1398" spans="1:14" x14ac:dyDescent="0.25">
      <c r="A1398">
        <v>554.96538799999996</v>
      </c>
      <c r="B1398" s="1">
        <f>DATE(2011,11,6) + TIME(23,10,9)</f>
        <v>40853.965381944443</v>
      </c>
      <c r="C1398">
        <v>80</v>
      </c>
      <c r="D1398">
        <v>79.344520568999997</v>
      </c>
      <c r="E1398">
        <v>50</v>
      </c>
      <c r="F1398">
        <v>49.980194091999998</v>
      </c>
      <c r="G1398">
        <v>1330.1351318</v>
      </c>
      <c r="H1398">
        <v>1329.4904785000001</v>
      </c>
      <c r="I1398">
        <v>1335.1273193</v>
      </c>
      <c r="J1398">
        <v>1333.5891113</v>
      </c>
      <c r="K1398">
        <v>0</v>
      </c>
      <c r="L1398">
        <v>2400</v>
      </c>
      <c r="M1398">
        <v>2400</v>
      </c>
      <c r="N1398">
        <v>0</v>
      </c>
    </row>
    <row r="1399" spans="1:14" x14ac:dyDescent="0.25">
      <c r="A1399">
        <v>555.27612699999997</v>
      </c>
      <c r="B1399" s="1">
        <f>DATE(2011,11,7) + TIME(6,37,37)</f>
        <v>40854.276122685187</v>
      </c>
      <c r="C1399">
        <v>80</v>
      </c>
      <c r="D1399">
        <v>79.314285278</v>
      </c>
      <c r="E1399">
        <v>50</v>
      </c>
      <c r="F1399">
        <v>49.979900360000002</v>
      </c>
      <c r="G1399">
        <v>1330.1154785000001</v>
      </c>
      <c r="H1399">
        <v>1329.4627685999999</v>
      </c>
      <c r="I1399">
        <v>1335.1251221</v>
      </c>
      <c r="J1399">
        <v>1333.5886230000001</v>
      </c>
      <c r="K1399">
        <v>0</v>
      </c>
      <c r="L1399">
        <v>2400</v>
      </c>
      <c r="M1399">
        <v>2400</v>
      </c>
      <c r="N1399">
        <v>0</v>
      </c>
    </row>
    <row r="1400" spans="1:14" x14ac:dyDescent="0.25">
      <c r="A1400">
        <v>555.595823</v>
      </c>
      <c r="B1400" s="1">
        <f>DATE(2011,11,7) + TIME(14,17,59)</f>
        <v>40854.595821759256</v>
      </c>
      <c r="C1400">
        <v>80</v>
      </c>
      <c r="D1400">
        <v>79.283149718999994</v>
      </c>
      <c r="E1400">
        <v>50</v>
      </c>
      <c r="F1400">
        <v>49.979690552000001</v>
      </c>
      <c r="G1400">
        <v>1330.0957031</v>
      </c>
      <c r="H1400">
        <v>1329.4349365</v>
      </c>
      <c r="I1400">
        <v>1335.1226807</v>
      </c>
      <c r="J1400">
        <v>1333.5880127</v>
      </c>
      <c r="K1400">
        <v>0</v>
      </c>
      <c r="L1400">
        <v>2400</v>
      </c>
      <c r="M1400">
        <v>2400</v>
      </c>
      <c r="N1400">
        <v>0</v>
      </c>
    </row>
    <row r="1401" spans="1:14" x14ac:dyDescent="0.25">
      <c r="A1401">
        <v>555.92718600000001</v>
      </c>
      <c r="B1401" s="1">
        <f>DATE(2011,11,7) + TIME(22,15,8)</f>
        <v>40854.927175925928</v>
      </c>
      <c r="C1401">
        <v>80</v>
      </c>
      <c r="D1401">
        <v>79.250900268999999</v>
      </c>
      <c r="E1401">
        <v>50</v>
      </c>
      <c r="F1401">
        <v>49.979537964000002</v>
      </c>
      <c r="G1401">
        <v>1330.0758057</v>
      </c>
      <c r="H1401">
        <v>1329.4069824000001</v>
      </c>
      <c r="I1401">
        <v>1335.1199951000001</v>
      </c>
      <c r="J1401">
        <v>1333.5872803</v>
      </c>
      <c r="K1401">
        <v>0</v>
      </c>
      <c r="L1401">
        <v>2400</v>
      </c>
      <c r="M1401">
        <v>2400</v>
      </c>
      <c r="N1401">
        <v>0</v>
      </c>
    </row>
    <row r="1402" spans="1:14" x14ac:dyDescent="0.25">
      <c r="A1402">
        <v>556.27292499999999</v>
      </c>
      <c r="B1402" s="1">
        <f>DATE(2011,11,8) + TIME(6,33,0)</f>
        <v>40855.272916666669</v>
      </c>
      <c r="C1402">
        <v>80</v>
      </c>
      <c r="D1402">
        <v>79.217308044000006</v>
      </c>
      <c r="E1402">
        <v>50</v>
      </c>
      <c r="F1402">
        <v>49.979419708000002</v>
      </c>
      <c r="G1402">
        <v>1330.0555420000001</v>
      </c>
      <c r="H1402">
        <v>1329.3786620999999</v>
      </c>
      <c r="I1402">
        <v>1335.1171875</v>
      </c>
      <c r="J1402">
        <v>1333.5863036999999</v>
      </c>
      <c r="K1402">
        <v>0</v>
      </c>
      <c r="L1402">
        <v>2400</v>
      </c>
      <c r="M1402">
        <v>2400</v>
      </c>
      <c r="N1402">
        <v>0</v>
      </c>
    </row>
    <row r="1403" spans="1:14" x14ac:dyDescent="0.25">
      <c r="A1403">
        <v>556.63046199999997</v>
      </c>
      <c r="B1403" s="1">
        <f>DATE(2011,11,8) + TIME(15,7,51)</f>
        <v>40855.63045138889</v>
      </c>
      <c r="C1403">
        <v>80</v>
      </c>
      <c r="D1403">
        <v>79.182487488000007</v>
      </c>
      <c r="E1403">
        <v>50</v>
      </c>
      <c r="F1403">
        <v>49.979328156000001</v>
      </c>
      <c r="G1403">
        <v>1330.0349120999999</v>
      </c>
      <c r="H1403">
        <v>1329.3498535000001</v>
      </c>
      <c r="I1403">
        <v>1335.1142577999999</v>
      </c>
      <c r="J1403">
        <v>1333.5853271000001</v>
      </c>
      <c r="K1403">
        <v>0</v>
      </c>
      <c r="L1403">
        <v>2400</v>
      </c>
      <c r="M1403">
        <v>2400</v>
      </c>
      <c r="N1403">
        <v>0</v>
      </c>
    </row>
    <row r="1404" spans="1:14" x14ac:dyDescent="0.25">
      <c r="A1404">
        <v>556.99570700000004</v>
      </c>
      <c r="B1404" s="1">
        <f>DATE(2011,11,8) + TIME(23,53,49)</f>
        <v>40855.995706018519</v>
      </c>
      <c r="C1404">
        <v>80</v>
      </c>
      <c r="D1404">
        <v>79.146652222</v>
      </c>
      <c r="E1404">
        <v>50</v>
      </c>
      <c r="F1404">
        <v>49.979255676000001</v>
      </c>
      <c r="G1404">
        <v>1330.0140381000001</v>
      </c>
      <c r="H1404">
        <v>1329.3208007999999</v>
      </c>
      <c r="I1404">
        <v>1335.1110839999999</v>
      </c>
      <c r="J1404">
        <v>1333.5842285000001</v>
      </c>
      <c r="K1404">
        <v>0</v>
      </c>
      <c r="L1404">
        <v>2400</v>
      </c>
      <c r="M1404">
        <v>2400</v>
      </c>
      <c r="N1404">
        <v>0</v>
      </c>
    </row>
    <row r="1405" spans="1:14" x14ac:dyDescent="0.25">
      <c r="A1405">
        <v>557.37086299999999</v>
      </c>
      <c r="B1405" s="1">
        <f>DATE(2011,11,9) + TIME(8,54,2)</f>
        <v>40856.370856481481</v>
      </c>
      <c r="C1405">
        <v>80</v>
      </c>
      <c r="D1405">
        <v>79.109672545999999</v>
      </c>
      <c r="E1405">
        <v>50</v>
      </c>
      <c r="F1405">
        <v>49.979194640999999</v>
      </c>
      <c r="G1405">
        <v>1329.9930420000001</v>
      </c>
      <c r="H1405">
        <v>1329.291626</v>
      </c>
      <c r="I1405">
        <v>1335.1079102000001</v>
      </c>
      <c r="J1405">
        <v>1333.5831298999999</v>
      </c>
      <c r="K1405">
        <v>0</v>
      </c>
      <c r="L1405">
        <v>2400</v>
      </c>
      <c r="M1405">
        <v>2400</v>
      </c>
      <c r="N1405">
        <v>0</v>
      </c>
    </row>
    <row r="1406" spans="1:14" x14ac:dyDescent="0.25">
      <c r="A1406">
        <v>557.75826500000005</v>
      </c>
      <c r="B1406" s="1">
        <f>DATE(2011,11,9) + TIME(18,11,54)</f>
        <v>40856.758263888885</v>
      </c>
      <c r="C1406">
        <v>80</v>
      </c>
      <c r="D1406">
        <v>79.071365356000001</v>
      </c>
      <c r="E1406">
        <v>50</v>
      </c>
      <c r="F1406">
        <v>49.97914505</v>
      </c>
      <c r="G1406">
        <v>1329.9719238</v>
      </c>
      <c r="H1406">
        <v>1329.262207</v>
      </c>
      <c r="I1406">
        <v>1335.1046143000001</v>
      </c>
      <c r="J1406">
        <v>1333.5820312000001</v>
      </c>
      <c r="K1406">
        <v>0</v>
      </c>
      <c r="L1406">
        <v>2400</v>
      </c>
      <c r="M1406">
        <v>2400</v>
      </c>
      <c r="N1406">
        <v>0</v>
      </c>
    </row>
    <row r="1407" spans="1:14" x14ac:dyDescent="0.25">
      <c r="A1407">
        <v>558.16190400000005</v>
      </c>
      <c r="B1407" s="1">
        <f>DATE(2011,11,10) + TIME(3,53,8)</f>
        <v>40857.161898148152</v>
      </c>
      <c r="C1407">
        <v>80</v>
      </c>
      <c r="D1407">
        <v>79.031402588000006</v>
      </c>
      <c r="E1407">
        <v>50</v>
      </c>
      <c r="F1407">
        <v>49.979103088000002</v>
      </c>
      <c r="G1407">
        <v>1329.9505615</v>
      </c>
      <c r="H1407">
        <v>1329.2326660000001</v>
      </c>
      <c r="I1407">
        <v>1335.1013184000001</v>
      </c>
      <c r="J1407">
        <v>1333.5809326000001</v>
      </c>
      <c r="K1407">
        <v>0</v>
      </c>
      <c r="L1407">
        <v>2400</v>
      </c>
      <c r="M1407">
        <v>2400</v>
      </c>
      <c r="N1407">
        <v>0</v>
      </c>
    </row>
    <row r="1408" spans="1:14" x14ac:dyDescent="0.25">
      <c r="A1408">
        <v>558.58499300000005</v>
      </c>
      <c r="B1408" s="1">
        <f>DATE(2011,11,10) + TIME(14,2,23)</f>
        <v>40857.584988425922</v>
      </c>
      <c r="C1408">
        <v>80</v>
      </c>
      <c r="D1408">
        <v>78.989479064999998</v>
      </c>
      <c r="E1408">
        <v>50</v>
      </c>
      <c r="F1408">
        <v>49.979064940999997</v>
      </c>
      <c r="G1408">
        <v>1329.9288329999999</v>
      </c>
      <c r="H1408">
        <v>1329.2025146000001</v>
      </c>
      <c r="I1408">
        <v>1335.0979004000001</v>
      </c>
      <c r="J1408">
        <v>1333.5797118999999</v>
      </c>
      <c r="K1408">
        <v>0</v>
      </c>
      <c r="L1408">
        <v>2400</v>
      </c>
      <c r="M1408">
        <v>2400</v>
      </c>
      <c r="N1408">
        <v>0</v>
      </c>
    </row>
    <row r="1409" spans="1:14" x14ac:dyDescent="0.25">
      <c r="A1409">
        <v>559.03141800000003</v>
      </c>
      <c r="B1409" s="1">
        <f>DATE(2011,11,11) + TIME(0,45,14)</f>
        <v>40858.031412037039</v>
      </c>
      <c r="C1409">
        <v>80</v>
      </c>
      <c r="D1409">
        <v>78.945198059000006</v>
      </c>
      <c r="E1409">
        <v>50</v>
      </c>
      <c r="F1409">
        <v>49.979026793999999</v>
      </c>
      <c r="G1409">
        <v>1329.9066161999999</v>
      </c>
      <c r="H1409">
        <v>1329.171875</v>
      </c>
      <c r="I1409">
        <v>1335.0943603999999</v>
      </c>
      <c r="J1409">
        <v>1333.5784911999999</v>
      </c>
      <c r="K1409">
        <v>0</v>
      </c>
      <c r="L1409">
        <v>2400</v>
      </c>
      <c r="M1409">
        <v>2400</v>
      </c>
      <c r="N1409">
        <v>0</v>
      </c>
    </row>
    <row r="1410" spans="1:14" x14ac:dyDescent="0.25">
      <c r="A1410">
        <v>559.50138100000004</v>
      </c>
      <c r="B1410" s="1">
        <f>DATE(2011,11,11) + TIME(12,1,59)</f>
        <v>40858.501377314817</v>
      </c>
      <c r="C1410">
        <v>80</v>
      </c>
      <c r="D1410">
        <v>78.898376464999998</v>
      </c>
      <c r="E1410">
        <v>50</v>
      </c>
      <c r="F1410">
        <v>49.978996277</v>
      </c>
      <c r="G1410">
        <v>1329.8836670000001</v>
      </c>
      <c r="H1410">
        <v>1329.1403809000001</v>
      </c>
      <c r="I1410">
        <v>1335.0906981999999</v>
      </c>
      <c r="J1410">
        <v>1333.5771483999999</v>
      </c>
      <c r="K1410">
        <v>0</v>
      </c>
      <c r="L1410">
        <v>2400</v>
      </c>
      <c r="M1410">
        <v>2400</v>
      </c>
      <c r="N1410">
        <v>0</v>
      </c>
    </row>
    <row r="1411" spans="1:14" x14ac:dyDescent="0.25">
      <c r="A1411">
        <v>559.98464300000001</v>
      </c>
      <c r="B1411" s="1">
        <f>DATE(2011,11,11) + TIME(23,37,53)</f>
        <v>40858.9846412037</v>
      </c>
      <c r="C1411">
        <v>80</v>
      </c>
      <c r="D1411">
        <v>78.849449157999999</v>
      </c>
      <c r="E1411">
        <v>50</v>
      </c>
      <c r="F1411">
        <v>49.978961945000002</v>
      </c>
      <c r="G1411">
        <v>1329.8601074000001</v>
      </c>
      <c r="H1411">
        <v>1329.1081543</v>
      </c>
      <c r="I1411">
        <v>1335.0869141000001</v>
      </c>
      <c r="J1411">
        <v>1333.5758057</v>
      </c>
      <c r="K1411">
        <v>0</v>
      </c>
      <c r="L1411">
        <v>2400</v>
      </c>
      <c r="M1411">
        <v>2400</v>
      </c>
      <c r="N1411">
        <v>0</v>
      </c>
    </row>
    <row r="1412" spans="1:14" x14ac:dyDescent="0.25">
      <c r="A1412">
        <v>560.47869800000001</v>
      </c>
      <c r="B1412" s="1">
        <f>DATE(2011,11,12) + TIME(11,29,19)</f>
        <v>40859.478692129633</v>
      </c>
      <c r="C1412">
        <v>80</v>
      </c>
      <c r="D1412">
        <v>78.798614502000007</v>
      </c>
      <c r="E1412">
        <v>50</v>
      </c>
      <c r="F1412">
        <v>49.978931426999999</v>
      </c>
      <c r="G1412">
        <v>1329.8363036999999</v>
      </c>
      <c r="H1412">
        <v>1329.0755615</v>
      </c>
      <c r="I1412">
        <v>1335.0832519999999</v>
      </c>
      <c r="J1412">
        <v>1333.5745850000001</v>
      </c>
      <c r="K1412">
        <v>0</v>
      </c>
      <c r="L1412">
        <v>2400</v>
      </c>
      <c r="M1412">
        <v>2400</v>
      </c>
      <c r="N1412">
        <v>0</v>
      </c>
    </row>
    <row r="1413" spans="1:14" x14ac:dyDescent="0.25">
      <c r="A1413">
        <v>560.98745599999995</v>
      </c>
      <c r="B1413" s="1">
        <f>DATE(2011,11,12) + TIME(23,41,56)</f>
        <v>40859.987453703703</v>
      </c>
      <c r="C1413">
        <v>80</v>
      </c>
      <c r="D1413">
        <v>78.745712280000006</v>
      </c>
      <c r="E1413">
        <v>50</v>
      </c>
      <c r="F1413">
        <v>49.978904724000003</v>
      </c>
      <c r="G1413">
        <v>1329.8125</v>
      </c>
      <c r="H1413">
        <v>1329.0429687999999</v>
      </c>
      <c r="I1413">
        <v>1335.0794678</v>
      </c>
      <c r="J1413">
        <v>1333.5732422000001</v>
      </c>
      <c r="K1413">
        <v>0</v>
      </c>
      <c r="L1413">
        <v>2400</v>
      </c>
      <c r="M1413">
        <v>2400</v>
      </c>
      <c r="N1413">
        <v>0</v>
      </c>
    </row>
    <row r="1414" spans="1:14" x14ac:dyDescent="0.25">
      <c r="A1414">
        <v>561.51504599999998</v>
      </c>
      <c r="B1414" s="1">
        <f>DATE(2011,11,13) + TIME(12,21,39)</f>
        <v>40860.515034722222</v>
      </c>
      <c r="C1414">
        <v>80</v>
      </c>
      <c r="D1414">
        <v>78.690422057999996</v>
      </c>
      <c r="E1414">
        <v>50</v>
      </c>
      <c r="F1414">
        <v>49.978874206999997</v>
      </c>
      <c r="G1414">
        <v>1329.7883300999999</v>
      </c>
      <c r="H1414">
        <v>1329.0101318</v>
      </c>
      <c r="I1414">
        <v>1335.0756836</v>
      </c>
      <c r="J1414">
        <v>1333.5720214999999</v>
      </c>
      <c r="K1414">
        <v>0</v>
      </c>
      <c r="L1414">
        <v>2400</v>
      </c>
      <c r="M1414">
        <v>2400</v>
      </c>
      <c r="N1414">
        <v>0</v>
      </c>
    </row>
    <row r="1415" spans="1:14" x14ac:dyDescent="0.25">
      <c r="A1415">
        <v>562.05355699999996</v>
      </c>
      <c r="B1415" s="1">
        <f>DATE(2011,11,14) + TIME(1,17,7)</f>
        <v>40861.053553240738</v>
      </c>
      <c r="C1415">
        <v>80</v>
      </c>
      <c r="D1415">
        <v>78.633064270000006</v>
      </c>
      <c r="E1415">
        <v>50</v>
      </c>
      <c r="F1415">
        <v>49.978847504000001</v>
      </c>
      <c r="G1415">
        <v>1329.7640381000001</v>
      </c>
      <c r="H1415">
        <v>1328.9770507999999</v>
      </c>
      <c r="I1415">
        <v>1335.0718993999999</v>
      </c>
      <c r="J1415">
        <v>1333.5708007999999</v>
      </c>
      <c r="K1415">
        <v>0</v>
      </c>
      <c r="L1415">
        <v>2400</v>
      </c>
      <c r="M1415">
        <v>2400</v>
      </c>
      <c r="N1415">
        <v>0</v>
      </c>
    </row>
    <row r="1416" spans="1:14" x14ac:dyDescent="0.25">
      <c r="A1416">
        <v>562.59986600000002</v>
      </c>
      <c r="B1416" s="1">
        <f>DATE(2011,11,14) + TIME(14,23,48)</f>
        <v>40861.599861111114</v>
      </c>
      <c r="C1416">
        <v>80</v>
      </c>
      <c r="D1416">
        <v>78.573890685999999</v>
      </c>
      <c r="E1416">
        <v>50</v>
      </c>
      <c r="F1416">
        <v>49.978820800999998</v>
      </c>
      <c r="G1416">
        <v>1329.739624</v>
      </c>
      <c r="H1416">
        <v>1328.9439697</v>
      </c>
      <c r="I1416">
        <v>1335.0682373</v>
      </c>
      <c r="J1416">
        <v>1333.5695800999999</v>
      </c>
      <c r="K1416">
        <v>0</v>
      </c>
      <c r="L1416">
        <v>2400</v>
      </c>
      <c r="M1416">
        <v>2400</v>
      </c>
      <c r="N1416">
        <v>0</v>
      </c>
    </row>
    <row r="1417" spans="1:14" x14ac:dyDescent="0.25">
      <c r="A1417">
        <v>563.15921600000001</v>
      </c>
      <c r="B1417" s="1">
        <f>DATE(2011,11,15) + TIME(3,49,16)</f>
        <v>40862.159212962964</v>
      </c>
      <c r="C1417">
        <v>80</v>
      </c>
      <c r="D1417">
        <v>78.512672424000002</v>
      </c>
      <c r="E1417">
        <v>50</v>
      </c>
      <c r="F1417">
        <v>49.978794098000002</v>
      </c>
      <c r="G1417">
        <v>1329.7154541</v>
      </c>
      <c r="H1417">
        <v>1328.9110106999999</v>
      </c>
      <c r="I1417">
        <v>1335.0645752</v>
      </c>
      <c r="J1417">
        <v>1333.5683594</v>
      </c>
      <c r="K1417">
        <v>0</v>
      </c>
      <c r="L1417">
        <v>2400</v>
      </c>
      <c r="M1417">
        <v>2400</v>
      </c>
      <c r="N1417">
        <v>0</v>
      </c>
    </row>
    <row r="1418" spans="1:14" x14ac:dyDescent="0.25">
      <c r="A1418">
        <v>563.73679700000002</v>
      </c>
      <c r="B1418" s="1">
        <f>DATE(2011,11,15) + TIME(17,40,59)</f>
        <v>40862.736793981479</v>
      </c>
      <c r="C1418">
        <v>80</v>
      </c>
      <c r="D1418">
        <v>78.449035644999995</v>
      </c>
      <c r="E1418">
        <v>50</v>
      </c>
      <c r="F1418">
        <v>49.978771209999998</v>
      </c>
      <c r="G1418">
        <v>1329.6911620999999</v>
      </c>
      <c r="H1418">
        <v>1328.8781738</v>
      </c>
      <c r="I1418">
        <v>1335.0609131000001</v>
      </c>
      <c r="J1418">
        <v>1333.5672606999999</v>
      </c>
      <c r="K1418">
        <v>0</v>
      </c>
      <c r="L1418">
        <v>2400</v>
      </c>
      <c r="M1418">
        <v>2400</v>
      </c>
      <c r="N1418">
        <v>0</v>
      </c>
    </row>
    <row r="1419" spans="1:14" x14ac:dyDescent="0.25">
      <c r="A1419">
        <v>564.33720200000005</v>
      </c>
      <c r="B1419" s="1">
        <f>DATE(2011,11,16) + TIME(8,5,34)</f>
        <v>40863.337199074071</v>
      </c>
      <c r="C1419">
        <v>80</v>
      </c>
      <c r="D1419">
        <v>78.382492064999994</v>
      </c>
      <c r="E1419">
        <v>50</v>
      </c>
      <c r="F1419">
        <v>49.978744507000002</v>
      </c>
      <c r="G1419">
        <v>1329.6667480000001</v>
      </c>
      <c r="H1419">
        <v>1328.8452147999999</v>
      </c>
      <c r="I1419">
        <v>1335.057251</v>
      </c>
      <c r="J1419">
        <v>1333.5660399999999</v>
      </c>
      <c r="K1419">
        <v>0</v>
      </c>
      <c r="L1419">
        <v>2400</v>
      </c>
      <c r="M1419">
        <v>2400</v>
      </c>
      <c r="N1419">
        <v>0</v>
      </c>
    </row>
    <row r="1420" spans="1:14" x14ac:dyDescent="0.25">
      <c r="A1420">
        <v>564.96072600000002</v>
      </c>
      <c r="B1420" s="1">
        <f>DATE(2011,11,16) + TIME(23,3,26)</f>
        <v>40863.960717592592</v>
      </c>
      <c r="C1420">
        <v>80</v>
      </c>
      <c r="D1420">
        <v>78.312767029</v>
      </c>
      <c r="E1420">
        <v>50</v>
      </c>
      <c r="F1420">
        <v>49.978717803999999</v>
      </c>
      <c r="G1420">
        <v>1329.6419678</v>
      </c>
      <c r="H1420">
        <v>1328.8120117000001</v>
      </c>
      <c r="I1420">
        <v>1335.0535889</v>
      </c>
      <c r="J1420">
        <v>1333.5649414</v>
      </c>
      <c r="K1420">
        <v>0</v>
      </c>
      <c r="L1420">
        <v>2400</v>
      </c>
      <c r="M1420">
        <v>2400</v>
      </c>
      <c r="N1420">
        <v>0</v>
      </c>
    </row>
    <row r="1421" spans="1:14" x14ac:dyDescent="0.25">
      <c r="A1421">
        <v>565.61223900000005</v>
      </c>
      <c r="B1421" s="1">
        <f>DATE(2011,11,17) + TIME(14,41,37)</f>
        <v>40864.612233796295</v>
      </c>
      <c r="C1421">
        <v>80</v>
      </c>
      <c r="D1421">
        <v>78.239387511999993</v>
      </c>
      <c r="E1421">
        <v>50</v>
      </c>
      <c r="F1421">
        <v>49.978691101000003</v>
      </c>
      <c r="G1421">
        <v>1329.6169434000001</v>
      </c>
      <c r="H1421">
        <v>1328.7784423999999</v>
      </c>
      <c r="I1421">
        <v>1335.0498047000001</v>
      </c>
      <c r="J1421">
        <v>1333.5638428</v>
      </c>
      <c r="K1421">
        <v>0</v>
      </c>
      <c r="L1421">
        <v>2400</v>
      </c>
      <c r="M1421">
        <v>2400</v>
      </c>
      <c r="N1421">
        <v>0</v>
      </c>
    </row>
    <row r="1422" spans="1:14" x14ac:dyDescent="0.25">
      <c r="A1422">
        <v>566.28740200000004</v>
      </c>
      <c r="B1422" s="1">
        <f>DATE(2011,11,18) + TIME(6,53,51)</f>
        <v>40865.287395833337</v>
      </c>
      <c r="C1422">
        <v>80</v>
      </c>
      <c r="D1422">
        <v>78.162300110000004</v>
      </c>
      <c r="E1422">
        <v>50</v>
      </c>
      <c r="F1422">
        <v>49.978664397999999</v>
      </c>
      <c r="G1422">
        <v>1329.5914307</v>
      </c>
      <c r="H1422">
        <v>1328.7443848</v>
      </c>
      <c r="I1422">
        <v>1335.0460204999999</v>
      </c>
      <c r="J1422">
        <v>1333.5627440999999</v>
      </c>
      <c r="K1422">
        <v>0</v>
      </c>
      <c r="L1422">
        <v>2400</v>
      </c>
      <c r="M1422">
        <v>2400</v>
      </c>
      <c r="N1422">
        <v>0</v>
      </c>
    </row>
    <row r="1423" spans="1:14" x14ac:dyDescent="0.25">
      <c r="A1423">
        <v>566.98460599999999</v>
      </c>
      <c r="B1423" s="1">
        <f>DATE(2011,11,18) + TIME(23,37,49)</f>
        <v>40865.984594907408</v>
      </c>
      <c r="C1423">
        <v>80</v>
      </c>
      <c r="D1423">
        <v>78.081535338999998</v>
      </c>
      <c r="E1423">
        <v>50</v>
      </c>
      <c r="F1423">
        <v>49.978637695000003</v>
      </c>
      <c r="G1423">
        <v>1329.5656738</v>
      </c>
      <c r="H1423">
        <v>1328.7099608999999</v>
      </c>
      <c r="I1423">
        <v>1335.0422363</v>
      </c>
      <c r="J1423">
        <v>1333.5616454999999</v>
      </c>
      <c r="K1423">
        <v>0</v>
      </c>
      <c r="L1423">
        <v>2400</v>
      </c>
      <c r="M1423">
        <v>2400</v>
      </c>
      <c r="N1423">
        <v>0</v>
      </c>
    </row>
    <row r="1424" spans="1:14" x14ac:dyDescent="0.25">
      <c r="A1424">
        <v>567.708212</v>
      </c>
      <c r="B1424" s="1">
        <f>DATE(2011,11,19) + TIME(16,59,49)</f>
        <v>40866.70820601852</v>
      </c>
      <c r="C1424">
        <v>80</v>
      </c>
      <c r="D1424">
        <v>77.996871948000006</v>
      </c>
      <c r="E1424">
        <v>50</v>
      </c>
      <c r="F1424">
        <v>49.978610992</v>
      </c>
      <c r="G1424">
        <v>1329.5395507999999</v>
      </c>
      <c r="H1424">
        <v>1328.675293</v>
      </c>
      <c r="I1424">
        <v>1335.0385742000001</v>
      </c>
      <c r="J1424">
        <v>1333.5605469</v>
      </c>
      <c r="K1424">
        <v>0</v>
      </c>
      <c r="L1424">
        <v>2400</v>
      </c>
      <c r="M1424">
        <v>2400</v>
      </c>
      <c r="N1424">
        <v>0</v>
      </c>
    </row>
    <row r="1425" spans="1:14" x14ac:dyDescent="0.25">
      <c r="A1425">
        <v>568.45545100000004</v>
      </c>
      <c r="B1425" s="1">
        <f>DATE(2011,11,20) + TIME(10,55,50)</f>
        <v>40867.455439814818</v>
      </c>
      <c r="C1425">
        <v>80</v>
      </c>
      <c r="D1425">
        <v>77.908271790000001</v>
      </c>
      <c r="E1425">
        <v>50</v>
      </c>
      <c r="F1425">
        <v>49.978584290000001</v>
      </c>
      <c r="G1425">
        <v>1329.5133057</v>
      </c>
      <c r="H1425">
        <v>1328.6402588000001</v>
      </c>
      <c r="I1425">
        <v>1335.034668</v>
      </c>
      <c r="J1425">
        <v>1333.5595702999999</v>
      </c>
      <c r="K1425">
        <v>0</v>
      </c>
      <c r="L1425">
        <v>2400</v>
      </c>
      <c r="M1425">
        <v>2400</v>
      </c>
      <c r="N1425">
        <v>0</v>
      </c>
    </row>
    <row r="1426" spans="1:14" x14ac:dyDescent="0.25">
      <c r="A1426">
        <v>569.20693700000004</v>
      </c>
      <c r="B1426" s="1">
        <f>DATE(2011,11,21) + TIME(4,57,59)</f>
        <v>40868.206932870373</v>
      </c>
      <c r="C1426">
        <v>80</v>
      </c>
      <c r="D1426">
        <v>77.816772460999999</v>
      </c>
      <c r="E1426">
        <v>50</v>
      </c>
      <c r="F1426">
        <v>49.978557586999997</v>
      </c>
      <c r="G1426">
        <v>1329.4866943</v>
      </c>
      <c r="H1426">
        <v>1328.6052245999999</v>
      </c>
      <c r="I1426">
        <v>1335.0308838000001</v>
      </c>
      <c r="J1426">
        <v>1333.5584716999999</v>
      </c>
      <c r="K1426">
        <v>0</v>
      </c>
      <c r="L1426">
        <v>2400</v>
      </c>
      <c r="M1426">
        <v>2400</v>
      </c>
      <c r="N1426">
        <v>0</v>
      </c>
    </row>
    <row r="1427" spans="1:14" x14ac:dyDescent="0.25">
      <c r="A1427">
        <v>569.96559100000002</v>
      </c>
      <c r="B1427" s="1">
        <f>DATE(2011,11,21) + TIME(23,10,27)</f>
        <v>40868.965590277781</v>
      </c>
      <c r="C1427">
        <v>80</v>
      </c>
      <c r="D1427">
        <v>77.722976685000006</v>
      </c>
      <c r="E1427">
        <v>50</v>
      </c>
      <c r="F1427">
        <v>49.978530884000001</v>
      </c>
      <c r="G1427">
        <v>1329.4605713000001</v>
      </c>
      <c r="H1427">
        <v>1328.5704346</v>
      </c>
      <c r="I1427">
        <v>1335.0272216999999</v>
      </c>
      <c r="J1427">
        <v>1333.5576172000001</v>
      </c>
      <c r="K1427">
        <v>0</v>
      </c>
      <c r="L1427">
        <v>2400</v>
      </c>
      <c r="M1427">
        <v>2400</v>
      </c>
      <c r="N1427">
        <v>0</v>
      </c>
    </row>
    <row r="1428" spans="1:14" x14ac:dyDescent="0.25">
      <c r="A1428">
        <v>570.74057800000003</v>
      </c>
      <c r="B1428" s="1">
        <f>DATE(2011,11,22) + TIME(17,46,25)</f>
        <v>40869.740567129629</v>
      </c>
      <c r="C1428">
        <v>80</v>
      </c>
      <c r="D1428">
        <v>77.626647949000002</v>
      </c>
      <c r="E1428">
        <v>50</v>
      </c>
      <c r="F1428">
        <v>49.978504180999998</v>
      </c>
      <c r="G1428">
        <v>1329.4345702999999</v>
      </c>
      <c r="H1428">
        <v>1328.5361327999999</v>
      </c>
      <c r="I1428">
        <v>1335.0235596</v>
      </c>
      <c r="J1428">
        <v>1333.5566406</v>
      </c>
      <c r="K1428">
        <v>0</v>
      </c>
      <c r="L1428">
        <v>2400</v>
      </c>
      <c r="M1428">
        <v>2400</v>
      </c>
      <c r="N1428">
        <v>0</v>
      </c>
    </row>
    <row r="1429" spans="1:14" x14ac:dyDescent="0.25">
      <c r="A1429">
        <v>571.53948800000001</v>
      </c>
      <c r="B1429" s="1">
        <f>DATE(2011,11,23) + TIME(12,56,51)</f>
        <v>40870.539479166669</v>
      </c>
      <c r="C1429">
        <v>80</v>
      </c>
      <c r="D1429">
        <v>77.527130127000007</v>
      </c>
      <c r="E1429">
        <v>50</v>
      </c>
      <c r="F1429">
        <v>49.978477478000002</v>
      </c>
      <c r="G1429">
        <v>1329.4088135</v>
      </c>
      <c r="H1429">
        <v>1328.5020752</v>
      </c>
      <c r="I1429">
        <v>1335.0200195</v>
      </c>
      <c r="J1429">
        <v>1333.5557861</v>
      </c>
      <c r="K1429">
        <v>0</v>
      </c>
      <c r="L1429">
        <v>2400</v>
      </c>
      <c r="M1429">
        <v>2400</v>
      </c>
      <c r="N1429">
        <v>0</v>
      </c>
    </row>
    <row r="1430" spans="1:14" x14ac:dyDescent="0.25">
      <c r="A1430">
        <v>572.36906599999998</v>
      </c>
      <c r="B1430" s="1">
        <f>DATE(2011,11,24) + TIME(8,51,27)</f>
        <v>40871.369062500002</v>
      </c>
      <c r="C1430">
        <v>80</v>
      </c>
      <c r="D1430">
        <v>77.423660278</v>
      </c>
      <c r="E1430">
        <v>50</v>
      </c>
      <c r="F1430">
        <v>49.978454589999998</v>
      </c>
      <c r="G1430">
        <v>1329.3829346</v>
      </c>
      <c r="H1430">
        <v>1328.4680175999999</v>
      </c>
      <c r="I1430">
        <v>1335.0164795000001</v>
      </c>
      <c r="J1430">
        <v>1333.5549315999999</v>
      </c>
      <c r="K1430">
        <v>0</v>
      </c>
      <c r="L1430">
        <v>2400</v>
      </c>
      <c r="M1430">
        <v>2400</v>
      </c>
      <c r="N1430">
        <v>0</v>
      </c>
    </row>
    <row r="1431" spans="1:14" x14ac:dyDescent="0.25">
      <c r="A1431">
        <v>573.22711800000002</v>
      </c>
      <c r="B1431" s="1">
        <f>DATE(2011,11,25) + TIME(5,27,3)</f>
        <v>40872.227118055554</v>
      </c>
      <c r="C1431">
        <v>80</v>
      </c>
      <c r="D1431">
        <v>77.315834045000003</v>
      </c>
      <c r="E1431">
        <v>50</v>
      </c>
      <c r="F1431">
        <v>49.978427887000002</v>
      </c>
      <c r="G1431">
        <v>1329.3569336</v>
      </c>
      <c r="H1431">
        <v>1328.4338379000001</v>
      </c>
      <c r="I1431">
        <v>1335.0128173999999</v>
      </c>
      <c r="J1431">
        <v>1333.5540771000001</v>
      </c>
      <c r="K1431">
        <v>0</v>
      </c>
      <c r="L1431">
        <v>2400</v>
      </c>
      <c r="M1431">
        <v>2400</v>
      </c>
      <c r="N1431">
        <v>0</v>
      </c>
    </row>
    <row r="1432" spans="1:14" x14ac:dyDescent="0.25">
      <c r="A1432">
        <v>574.11390900000004</v>
      </c>
      <c r="B1432" s="1">
        <f>DATE(2011,11,26) + TIME(2,44,1)</f>
        <v>40873.113900462966</v>
      </c>
      <c r="C1432">
        <v>80</v>
      </c>
      <c r="D1432">
        <v>77.203521729000002</v>
      </c>
      <c r="E1432">
        <v>50</v>
      </c>
      <c r="F1432">
        <v>49.978401183999999</v>
      </c>
      <c r="G1432">
        <v>1329.3306885</v>
      </c>
      <c r="H1432">
        <v>1328.3994141000001</v>
      </c>
      <c r="I1432">
        <v>1335.0091553</v>
      </c>
      <c r="J1432">
        <v>1333.5532227000001</v>
      </c>
      <c r="K1432">
        <v>0</v>
      </c>
      <c r="L1432">
        <v>2400</v>
      </c>
      <c r="M1432">
        <v>2400</v>
      </c>
      <c r="N1432">
        <v>0</v>
      </c>
    </row>
    <row r="1433" spans="1:14" x14ac:dyDescent="0.25">
      <c r="A1433">
        <v>575.03867100000002</v>
      </c>
      <c r="B1433" s="1">
        <f>DATE(2011,11,27) + TIME(0,55,41)</f>
        <v>40874.038668981484</v>
      </c>
      <c r="C1433">
        <v>80</v>
      </c>
      <c r="D1433">
        <v>77.086212157999995</v>
      </c>
      <c r="E1433">
        <v>50</v>
      </c>
      <c r="F1433">
        <v>49.978374481000003</v>
      </c>
      <c r="G1433">
        <v>1329.3041992000001</v>
      </c>
      <c r="H1433">
        <v>1328.3648682</v>
      </c>
      <c r="I1433">
        <v>1335.0056152</v>
      </c>
      <c r="J1433">
        <v>1333.5523682</v>
      </c>
      <c r="K1433">
        <v>0</v>
      </c>
      <c r="L1433">
        <v>2400</v>
      </c>
      <c r="M1433">
        <v>2400</v>
      </c>
      <c r="N1433">
        <v>0</v>
      </c>
    </row>
    <row r="1434" spans="1:14" x14ac:dyDescent="0.25">
      <c r="A1434">
        <v>576.01081499999998</v>
      </c>
      <c r="B1434" s="1">
        <f>DATE(2011,11,28) + TIME(0,15,34)</f>
        <v>40875.010810185187</v>
      </c>
      <c r="C1434">
        <v>80</v>
      </c>
      <c r="D1434">
        <v>76.962966918999996</v>
      </c>
      <c r="E1434">
        <v>50</v>
      </c>
      <c r="F1434">
        <v>49.978347778</v>
      </c>
      <c r="G1434">
        <v>1329.2773437999999</v>
      </c>
      <c r="H1434">
        <v>1328.3299560999999</v>
      </c>
      <c r="I1434">
        <v>1335.0018310999999</v>
      </c>
      <c r="J1434">
        <v>1333.5516356999999</v>
      </c>
      <c r="K1434">
        <v>0</v>
      </c>
      <c r="L1434">
        <v>2400</v>
      </c>
      <c r="M1434">
        <v>2400</v>
      </c>
      <c r="N1434">
        <v>0</v>
      </c>
    </row>
    <row r="1435" spans="1:14" x14ac:dyDescent="0.25">
      <c r="A1435">
        <v>577.00119199999995</v>
      </c>
      <c r="B1435" s="1">
        <f>DATE(2011,11,29) + TIME(0,1,43)</f>
        <v>40876.001192129632</v>
      </c>
      <c r="C1435">
        <v>80</v>
      </c>
      <c r="D1435">
        <v>76.834434509000005</v>
      </c>
      <c r="E1435">
        <v>50</v>
      </c>
      <c r="F1435">
        <v>49.978321074999997</v>
      </c>
      <c r="G1435">
        <v>1329.25</v>
      </c>
      <c r="H1435">
        <v>1328.2944336</v>
      </c>
      <c r="I1435">
        <v>1334.9981689000001</v>
      </c>
      <c r="J1435">
        <v>1333.5507812000001</v>
      </c>
      <c r="K1435">
        <v>0</v>
      </c>
      <c r="L1435">
        <v>2400</v>
      </c>
      <c r="M1435">
        <v>2400</v>
      </c>
      <c r="N1435">
        <v>0</v>
      </c>
    </row>
    <row r="1436" spans="1:14" x14ac:dyDescent="0.25">
      <c r="A1436">
        <v>577.99518699999999</v>
      </c>
      <c r="B1436" s="1">
        <f>DATE(2011,11,29) + TIME(23,53,4)</f>
        <v>40876.995185185187</v>
      </c>
      <c r="C1436">
        <v>80</v>
      </c>
      <c r="D1436">
        <v>76.702651978000006</v>
      </c>
      <c r="E1436">
        <v>50</v>
      </c>
      <c r="F1436">
        <v>49.978294372999997</v>
      </c>
      <c r="G1436">
        <v>1329.2226562000001</v>
      </c>
      <c r="H1436">
        <v>1328.2589111</v>
      </c>
      <c r="I1436">
        <v>1334.9943848</v>
      </c>
      <c r="J1436">
        <v>1333.5500488</v>
      </c>
      <c r="K1436">
        <v>0</v>
      </c>
      <c r="L1436">
        <v>2400</v>
      </c>
      <c r="M1436">
        <v>2400</v>
      </c>
      <c r="N1436">
        <v>0</v>
      </c>
    </row>
    <row r="1437" spans="1:14" x14ac:dyDescent="0.25">
      <c r="A1437">
        <v>579</v>
      </c>
      <c r="B1437" s="1">
        <f>DATE(2011,12,1) + TIME(0,0,0)</f>
        <v>40878</v>
      </c>
      <c r="C1437">
        <v>80</v>
      </c>
      <c r="D1437">
        <v>76.568634032999995</v>
      </c>
      <c r="E1437">
        <v>50</v>
      </c>
      <c r="F1437">
        <v>49.978267670000001</v>
      </c>
      <c r="G1437">
        <v>1329.1956786999999</v>
      </c>
      <c r="H1437">
        <v>1328.2238769999999</v>
      </c>
      <c r="I1437">
        <v>1334.9908447</v>
      </c>
      <c r="J1437">
        <v>1333.5493164</v>
      </c>
      <c r="K1437">
        <v>0</v>
      </c>
      <c r="L1437">
        <v>2400</v>
      </c>
      <c r="M1437">
        <v>2400</v>
      </c>
      <c r="N1437">
        <v>0</v>
      </c>
    </row>
    <row r="1438" spans="1:14" x14ac:dyDescent="0.25">
      <c r="A1438">
        <v>580.01376800000003</v>
      </c>
      <c r="B1438" s="1">
        <f>DATE(2011,12,2) + TIME(0,19,49)</f>
        <v>40879.013761574075</v>
      </c>
      <c r="C1438">
        <v>80</v>
      </c>
      <c r="D1438">
        <v>76.432601929</v>
      </c>
      <c r="E1438">
        <v>50</v>
      </c>
      <c r="F1438">
        <v>49.978240966999998</v>
      </c>
      <c r="G1438">
        <v>1329.1691894999999</v>
      </c>
      <c r="H1438">
        <v>1328.1893310999999</v>
      </c>
      <c r="I1438">
        <v>1334.9873047000001</v>
      </c>
      <c r="J1438">
        <v>1333.5487060999999</v>
      </c>
      <c r="K1438">
        <v>0</v>
      </c>
      <c r="L1438">
        <v>2400</v>
      </c>
      <c r="M1438">
        <v>2400</v>
      </c>
      <c r="N1438">
        <v>0</v>
      </c>
    </row>
    <row r="1439" spans="1:14" x14ac:dyDescent="0.25">
      <c r="A1439">
        <v>581.09546499999999</v>
      </c>
      <c r="B1439" s="1">
        <f>DATE(2011,12,3) + TIME(2,17,28)</f>
        <v>40880.095462962963</v>
      </c>
      <c r="C1439">
        <v>80</v>
      </c>
      <c r="D1439">
        <v>76.292106627999999</v>
      </c>
      <c r="E1439">
        <v>50</v>
      </c>
      <c r="F1439">
        <v>49.978218079000001</v>
      </c>
      <c r="G1439">
        <v>1329.1429443</v>
      </c>
      <c r="H1439">
        <v>1328.1553954999999</v>
      </c>
      <c r="I1439">
        <v>1334.9838867000001</v>
      </c>
      <c r="J1439">
        <v>1333.5480957</v>
      </c>
      <c r="K1439">
        <v>0</v>
      </c>
      <c r="L1439">
        <v>2400</v>
      </c>
      <c r="M1439">
        <v>2400</v>
      </c>
      <c r="N1439">
        <v>0</v>
      </c>
    </row>
    <row r="1440" spans="1:14" x14ac:dyDescent="0.25">
      <c r="A1440">
        <v>582.22587799999997</v>
      </c>
      <c r="B1440" s="1">
        <f>DATE(2011,12,4) + TIME(5,25,15)</f>
        <v>40881.225868055553</v>
      </c>
      <c r="C1440">
        <v>80</v>
      </c>
      <c r="D1440">
        <v>76.144645690999994</v>
      </c>
      <c r="E1440">
        <v>50</v>
      </c>
      <c r="F1440">
        <v>49.978191375999998</v>
      </c>
      <c r="G1440">
        <v>1329.1162108999999</v>
      </c>
      <c r="H1440">
        <v>1328.1209716999999</v>
      </c>
      <c r="I1440">
        <v>1334.9802245999999</v>
      </c>
      <c r="J1440">
        <v>1333.5473632999999</v>
      </c>
      <c r="K1440">
        <v>0</v>
      </c>
      <c r="L1440">
        <v>2400</v>
      </c>
      <c r="M1440">
        <v>2400</v>
      </c>
      <c r="N1440">
        <v>0</v>
      </c>
    </row>
    <row r="1441" spans="1:14" x14ac:dyDescent="0.25">
      <c r="A1441">
        <v>583.38278200000002</v>
      </c>
      <c r="B1441" s="1">
        <f>DATE(2011,12,5) + TIME(9,11,12)</f>
        <v>40882.382777777777</v>
      </c>
      <c r="C1441">
        <v>80</v>
      </c>
      <c r="D1441">
        <v>75.991119385000005</v>
      </c>
      <c r="E1441">
        <v>50</v>
      </c>
      <c r="F1441">
        <v>49.978164673000002</v>
      </c>
      <c r="G1441">
        <v>1329.0889893000001</v>
      </c>
      <c r="H1441">
        <v>1328.0861815999999</v>
      </c>
      <c r="I1441">
        <v>1334.9765625</v>
      </c>
      <c r="J1441">
        <v>1333.5467529</v>
      </c>
      <c r="K1441">
        <v>0</v>
      </c>
      <c r="L1441">
        <v>2400</v>
      </c>
      <c r="M1441">
        <v>2400</v>
      </c>
      <c r="N1441">
        <v>0</v>
      </c>
    </row>
    <row r="1442" spans="1:14" x14ac:dyDescent="0.25">
      <c r="A1442">
        <v>584.55467499999997</v>
      </c>
      <c r="B1442" s="1">
        <f>DATE(2011,12,6) + TIME(13,18,43)</f>
        <v>40883.554664351854</v>
      </c>
      <c r="C1442">
        <v>80</v>
      </c>
      <c r="D1442">
        <v>75.833450317</v>
      </c>
      <c r="E1442">
        <v>50</v>
      </c>
      <c r="F1442">
        <v>49.978141784999998</v>
      </c>
      <c r="G1442">
        <v>1329.0617675999999</v>
      </c>
      <c r="H1442">
        <v>1328.0511475000001</v>
      </c>
      <c r="I1442">
        <v>1334.9730225000001</v>
      </c>
      <c r="J1442">
        <v>1333.5461425999999</v>
      </c>
      <c r="K1442">
        <v>0</v>
      </c>
      <c r="L1442">
        <v>2400</v>
      </c>
      <c r="M1442">
        <v>2400</v>
      </c>
      <c r="N1442">
        <v>0</v>
      </c>
    </row>
    <row r="1443" spans="1:14" x14ac:dyDescent="0.25">
      <c r="A1443">
        <v>585.75043800000003</v>
      </c>
      <c r="B1443" s="1">
        <f>DATE(2011,12,7) + TIME(18,0,37)</f>
        <v>40884.750428240739</v>
      </c>
      <c r="C1443">
        <v>80</v>
      </c>
      <c r="D1443">
        <v>75.672546386999997</v>
      </c>
      <c r="E1443">
        <v>50</v>
      </c>
      <c r="F1443">
        <v>49.978115082000002</v>
      </c>
      <c r="G1443">
        <v>1329.0347899999999</v>
      </c>
      <c r="H1443">
        <v>1328.0163574000001</v>
      </c>
      <c r="I1443">
        <v>1334.9694824000001</v>
      </c>
      <c r="J1443">
        <v>1333.5455322</v>
      </c>
      <c r="K1443">
        <v>0</v>
      </c>
      <c r="L1443">
        <v>2400</v>
      </c>
      <c r="M1443">
        <v>2400</v>
      </c>
      <c r="N1443">
        <v>0</v>
      </c>
    </row>
    <row r="1444" spans="1:14" x14ac:dyDescent="0.25">
      <c r="A1444">
        <v>586.99371900000006</v>
      </c>
      <c r="B1444" s="1">
        <f>DATE(2011,12,8) + TIME(23,50,57)</f>
        <v>40885.993715277778</v>
      </c>
      <c r="C1444">
        <v>80</v>
      </c>
      <c r="D1444">
        <v>75.507308960000003</v>
      </c>
      <c r="E1444">
        <v>50</v>
      </c>
      <c r="F1444">
        <v>49.978088378999999</v>
      </c>
      <c r="G1444">
        <v>1329.0079346</v>
      </c>
      <c r="H1444">
        <v>1327.9819336</v>
      </c>
      <c r="I1444">
        <v>1334.9659423999999</v>
      </c>
      <c r="J1444">
        <v>1333.5450439000001</v>
      </c>
      <c r="K1444">
        <v>0</v>
      </c>
      <c r="L1444">
        <v>2400</v>
      </c>
      <c r="M1444">
        <v>2400</v>
      </c>
      <c r="N1444">
        <v>0</v>
      </c>
    </row>
    <row r="1445" spans="1:14" x14ac:dyDescent="0.25">
      <c r="A1445">
        <v>588.29995599999995</v>
      </c>
      <c r="B1445" s="1">
        <f>DATE(2011,12,10) + TIME(7,11,56)</f>
        <v>40887.299953703703</v>
      </c>
      <c r="C1445">
        <v>80</v>
      </c>
      <c r="D1445">
        <v>75.335601807000003</v>
      </c>
      <c r="E1445">
        <v>50</v>
      </c>
      <c r="F1445">
        <v>49.978065491000002</v>
      </c>
      <c r="G1445">
        <v>1328.980957</v>
      </c>
      <c r="H1445">
        <v>1327.9473877</v>
      </c>
      <c r="I1445">
        <v>1334.9624022999999</v>
      </c>
      <c r="J1445">
        <v>1333.5444336</v>
      </c>
      <c r="K1445">
        <v>0</v>
      </c>
      <c r="L1445">
        <v>2400</v>
      </c>
      <c r="M1445">
        <v>2400</v>
      </c>
      <c r="N1445">
        <v>0</v>
      </c>
    </row>
    <row r="1446" spans="1:14" x14ac:dyDescent="0.25">
      <c r="A1446">
        <v>589.63375399999995</v>
      </c>
      <c r="B1446" s="1">
        <f>DATE(2011,12,11) + TIME(15,12,36)</f>
        <v>40888.633750000001</v>
      </c>
      <c r="C1446">
        <v>80</v>
      </c>
      <c r="D1446">
        <v>75.157249450999998</v>
      </c>
      <c r="E1446">
        <v>50</v>
      </c>
      <c r="F1446">
        <v>49.978042602999999</v>
      </c>
      <c r="G1446">
        <v>1328.9534911999999</v>
      </c>
      <c r="H1446">
        <v>1327.9124756000001</v>
      </c>
      <c r="I1446">
        <v>1334.9587402</v>
      </c>
      <c r="J1446">
        <v>1333.5439452999999</v>
      </c>
      <c r="K1446">
        <v>0</v>
      </c>
      <c r="L1446">
        <v>2400</v>
      </c>
      <c r="M1446">
        <v>2400</v>
      </c>
      <c r="N1446">
        <v>0</v>
      </c>
    </row>
    <row r="1447" spans="1:14" x14ac:dyDescent="0.25">
      <c r="A1447">
        <v>590.98955999999998</v>
      </c>
      <c r="B1447" s="1">
        <f>DATE(2011,12,12) + TIME(23,44,57)</f>
        <v>40889.989548611113</v>
      </c>
      <c r="C1447">
        <v>80</v>
      </c>
      <c r="D1447">
        <v>74.974586486999996</v>
      </c>
      <c r="E1447">
        <v>50</v>
      </c>
      <c r="F1447">
        <v>49.978015900000003</v>
      </c>
      <c r="G1447">
        <v>1328.9260254000001</v>
      </c>
      <c r="H1447">
        <v>1327.8774414</v>
      </c>
      <c r="I1447">
        <v>1334.9550781</v>
      </c>
      <c r="J1447">
        <v>1333.5433350000001</v>
      </c>
      <c r="K1447">
        <v>0</v>
      </c>
      <c r="L1447">
        <v>2400</v>
      </c>
      <c r="M1447">
        <v>2400</v>
      </c>
      <c r="N1447">
        <v>0</v>
      </c>
    </row>
    <row r="1448" spans="1:14" x14ac:dyDescent="0.25">
      <c r="A1448">
        <v>592.38853200000005</v>
      </c>
      <c r="B1448" s="1">
        <f>DATE(2011,12,14) + TIME(9,19,29)</f>
        <v>40891.38853009259</v>
      </c>
      <c r="C1448">
        <v>80</v>
      </c>
      <c r="D1448">
        <v>74.787696838000002</v>
      </c>
      <c r="E1448">
        <v>50</v>
      </c>
      <c r="F1448">
        <v>49.977993011000002</v>
      </c>
      <c r="G1448">
        <v>1328.8988036999999</v>
      </c>
      <c r="H1448">
        <v>1327.8427733999999</v>
      </c>
      <c r="I1448">
        <v>1334.9515381000001</v>
      </c>
      <c r="J1448">
        <v>1333.5428466999999</v>
      </c>
      <c r="K1448">
        <v>0</v>
      </c>
      <c r="L1448">
        <v>2400</v>
      </c>
      <c r="M1448">
        <v>2400</v>
      </c>
      <c r="N1448">
        <v>0</v>
      </c>
    </row>
    <row r="1449" spans="1:14" x14ac:dyDescent="0.25">
      <c r="A1449">
        <v>593.84579599999995</v>
      </c>
      <c r="B1449" s="1">
        <f>DATE(2011,12,15) + TIME(20,17,56)</f>
        <v>40892.84578703704</v>
      </c>
      <c r="C1449">
        <v>80</v>
      </c>
      <c r="D1449">
        <v>74.595031738000003</v>
      </c>
      <c r="E1449">
        <v>50</v>
      </c>
      <c r="F1449">
        <v>49.977970122999999</v>
      </c>
      <c r="G1449">
        <v>1328.871582</v>
      </c>
      <c r="H1449">
        <v>1327.8081055</v>
      </c>
      <c r="I1449">
        <v>1334.9479980000001</v>
      </c>
      <c r="J1449">
        <v>1333.5423584</v>
      </c>
      <c r="K1449">
        <v>0</v>
      </c>
      <c r="L1449">
        <v>2400</v>
      </c>
      <c r="M1449">
        <v>2400</v>
      </c>
      <c r="N1449">
        <v>0</v>
      </c>
    </row>
    <row r="1450" spans="1:14" x14ac:dyDescent="0.25">
      <c r="A1450">
        <v>595.34900000000005</v>
      </c>
      <c r="B1450" s="1">
        <f>DATE(2011,12,17) + TIME(8,22,33)</f>
        <v>40894.348993055559</v>
      </c>
      <c r="C1450">
        <v>80</v>
      </c>
      <c r="D1450">
        <v>74.395645142000006</v>
      </c>
      <c r="E1450">
        <v>50</v>
      </c>
      <c r="F1450">
        <v>49.977943420000003</v>
      </c>
      <c r="G1450">
        <v>1328.8441161999999</v>
      </c>
      <c r="H1450">
        <v>1327.7733154</v>
      </c>
      <c r="I1450">
        <v>1334.9444579999999</v>
      </c>
      <c r="J1450">
        <v>1333.5418701000001</v>
      </c>
      <c r="K1450">
        <v>0</v>
      </c>
      <c r="L1450">
        <v>2400</v>
      </c>
      <c r="M1450">
        <v>2400</v>
      </c>
      <c r="N1450">
        <v>0</v>
      </c>
    </row>
    <row r="1451" spans="1:14" x14ac:dyDescent="0.25">
      <c r="A1451">
        <v>596.85737900000004</v>
      </c>
      <c r="B1451" s="1">
        <f>DATE(2011,12,18) + TIME(20,34,37)</f>
        <v>40895.857372685183</v>
      </c>
      <c r="C1451">
        <v>80</v>
      </c>
      <c r="D1451">
        <v>74.191520690999994</v>
      </c>
      <c r="E1451">
        <v>50</v>
      </c>
      <c r="F1451">
        <v>49.977920531999999</v>
      </c>
      <c r="G1451">
        <v>1328.8165283000001</v>
      </c>
      <c r="H1451">
        <v>1327.7384033000001</v>
      </c>
      <c r="I1451">
        <v>1334.9407959</v>
      </c>
      <c r="J1451">
        <v>1333.5413818</v>
      </c>
      <c r="K1451">
        <v>0</v>
      </c>
      <c r="L1451">
        <v>2400</v>
      </c>
      <c r="M1451">
        <v>2400</v>
      </c>
      <c r="N1451">
        <v>0</v>
      </c>
    </row>
    <row r="1452" spans="1:14" x14ac:dyDescent="0.25">
      <c r="A1452">
        <v>598.38413600000001</v>
      </c>
      <c r="B1452" s="1">
        <f>DATE(2011,12,20) + TIME(9,13,9)</f>
        <v>40897.384131944447</v>
      </c>
      <c r="C1452">
        <v>80</v>
      </c>
      <c r="D1452">
        <v>73.985511779999996</v>
      </c>
      <c r="E1452">
        <v>50</v>
      </c>
      <c r="F1452">
        <v>49.977897644000002</v>
      </c>
      <c r="G1452">
        <v>1328.7893065999999</v>
      </c>
      <c r="H1452">
        <v>1327.7039795000001</v>
      </c>
      <c r="I1452">
        <v>1334.9372559000001</v>
      </c>
      <c r="J1452">
        <v>1333.5410156</v>
      </c>
      <c r="K1452">
        <v>0</v>
      </c>
      <c r="L1452">
        <v>2400</v>
      </c>
      <c r="M1452">
        <v>2400</v>
      </c>
      <c r="N1452">
        <v>0</v>
      </c>
    </row>
    <row r="1453" spans="1:14" x14ac:dyDescent="0.25">
      <c r="A1453">
        <v>599.94254699999999</v>
      </c>
      <c r="B1453" s="1">
        <f>DATE(2011,12,21) + TIME(22,37,16)</f>
        <v>40898.942546296297</v>
      </c>
      <c r="C1453">
        <v>80</v>
      </c>
      <c r="D1453">
        <v>73.777046204000001</v>
      </c>
      <c r="E1453">
        <v>50</v>
      </c>
      <c r="F1453">
        <v>49.977874755999999</v>
      </c>
      <c r="G1453">
        <v>1328.7625731999999</v>
      </c>
      <c r="H1453">
        <v>1327.6700439000001</v>
      </c>
      <c r="I1453">
        <v>1334.9338379000001</v>
      </c>
      <c r="J1453">
        <v>1333.5405272999999</v>
      </c>
      <c r="K1453">
        <v>0</v>
      </c>
      <c r="L1453">
        <v>2400</v>
      </c>
      <c r="M1453">
        <v>2400</v>
      </c>
      <c r="N1453">
        <v>0</v>
      </c>
    </row>
    <row r="1454" spans="1:14" x14ac:dyDescent="0.25">
      <c r="A1454">
        <v>601.55702599999995</v>
      </c>
      <c r="B1454" s="1">
        <f>DATE(2011,12,23) + TIME(13,22,7)</f>
        <v>40900.557025462964</v>
      </c>
      <c r="C1454">
        <v>80</v>
      </c>
      <c r="D1454">
        <v>73.564353943</v>
      </c>
      <c r="E1454">
        <v>50</v>
      </c>
      <c r="F1454">
        <v>49.977855681999998</v>
      </c>
      <c r="G1454">
        <v>1328.7360839999999</v>
      </c>
      <c r="H1454">
        <v>1327.6364745999999</v>
      </c>
      <c r="I1454">
        <v>1334.9302978999999</v>
      </c>
      <c r="J1454">
        <v>1333.5401611</v>
      </c>
      <c r="K1454">
        <v>0</v>
      </c>
      <c r="L1454">
        <v>2400</v>
      </c>
      <c r="M1454">
        <v>2400</v>
      </c>
      <c r="N1454">
        <v>0</v>
      </c>
    </row>
    <row r="1455" spans="1:14" x14ac:dyDescent="0.25">
      <c r="A1455">
        <v>603.24730799999998</v>
      </c>
      <c r="B1455" s="1">
        <f>DATE(2011,12,25) + TIME(5,56,7)</f>
        <v>40902.247303240743</v>
      </c>
      <c r="C1455">
        <v>80</v>
      </c>
      <c r="D1455">
        <v>73.344810486</v>
      </c>
      <c r="E1455">
        <v>50</v>
      </c>
      <c r="F1455">
        <v>49.977836609000001</v>
      </c>
      <c r="G1455">
        <v>1328.7095947</v>
      </c>
      <c r="H1455">
        <v>1327.6030272999999</v>
      </c>
      <c r="I1455">
        <v>1334.9268798999999</v>
      </c>
      <c r="J1455">
        <v>1333.5396728999999</v>
      </c>
      <c r="K1455">
        <v>0</v>
      </c>
      <c r="L1455">
        <v>2400</v>
      </c>
      <c r="M1455">
        <v>2400</v>
      </c>
      <c r="N1455">
        <v>0</v>
      </c>
    </row>
    <row r="1456" spans="1:14" x14ac:dyDescent="0.25">
      <c r="A1456">
        <v>605.01367400000004</v>
      </c>
      <c r="B1456" s="1">
        <f>DATE(2011,12,27) + TIME(0,19,41)</f>
        <v>40904.013668981483</v>
      </c>
      <c r="C1456">
        <v>80</v>
      </c>
      <c r="D1456">
        <v>73.116424561000002</v>
      </c>
      <c r="E1456">
        <v>50</v>
      </c>
      <c r="F1456">
        <v>49.977813720999997</v>
      </c>
      <c r="G1456">
        <v>1328.6826172000001</v>
      </c>
      <c r="H1456">
        <v>1327.5693358999999</v>
      </c>
      <c r="I1456">
        <v>1334.9233397999999</v>
      </c>
      <c r="J1456">
        <v>1333.5393065999999</v>
      </c>
      <c r="K1456">
        <v>0</v>
      </c>
      <c r="L1456">
        <v>2400</v>
      </c>
      <c r="M1456">
        <v>2400</v>
      </c>
      <c r="N1456">
        <v>0</v>
      </c>
    </row>
    <row r="1457" spans="1:14" x14ac:dyDescent="0.25">
      <c r="A1457">
        <v>606.86388499999998</v>
      </c>
      <c r="B1457" s="1">
        <f>DATE(2011,12,28) + TIME(20,43,59)</f>
        <v>40905.863877314812</v>
      </c>
      <c r="C1457">
        <v>80</v>
      </c>
      <c r="D1457">
        <v>72.878616332999997</v>
      </c>
      <c r="E1457">
        <v>50</v>
      </c>
      <c r="F1457">
        <v>49.977794647000003</v>
      </c>
      <c r="G1457">
        <v>1328.6553954999999</v>
      </c>
      <c r="H1457">
        <v>1327.5351562000001</v>
      </c>
      <c r="I1457">
        <v>1334.9197998</v>
      </c>
      <c r="J1457">
        <v>1333.5388184000001</v>
      </c>
      <c r="K1457">
        <v>0</v>
      </c>
      <c r="L1457">
        <v>2400</v>
      </c>
      <c r="M1457">
        <v>2400</v>
      </c>
      <c r="N1457">
        <v>0</v>
      </c>
    </row>
    <row r="1458" spans="1:14" x14ac:dyDescent="0.25">
      <c r="A1458">
        <v>608.78703800000005</v>
      </c>
      <c r="B1458" s="1">
        <f>DATE(2011,12,30) + TIME(18,53,20)</f>
        <v>40907.787037037036</v>
      </c>
      <c r="C1458">
        <v>80</v>
      </c>
      <c r="D1458">
        <v>72.631050110000004</v>
      </c>
      <c r="E1458">
        <v>50</v>
      </c>
      <c r="F1458">
        <v>49.977775573999999</v>
      </c>
      <c r="G1458">
        <v>1328.6276855000001</v>
      </c>
      <c r="H1458">
        <v>1327.5004882999999</v>
      </c>
      <c r="I1458">
        <v>1334.9161377</v>
      </c>
      <c r="J1458">
        <v>1333.5384521000001</v>
      </c>
      <c r="K1458">
        <v>0</v>
      </c>
      <c r="L1458">
        <v>2400</v>
      </c>
      <c r="M1458">
        <v>2400</v>
      </c>
      <c r="N1458">
        <v>0</v>
      </c>
    </row>
    <row r="1459" spans="1:14" x14ac:dyDescent="0.25">
      <c r="A1459">
        <v>610</v>
      </c>
      <c r="B1459" s="1">
        <f>DATE(2012,1,1) + TIME(0,0,0)</f>
        <v>40909</v>
      </c>
      <c r="C1459">
        <v>80</v>
      </c>
      <c r="D1459">
        <v>72.403770446999999</v>
      </c>
      <c r="E1459">
        <v>50</v>
      </c>
      <c r="F1459">
        <v>49.977748871000003</v>
      </c>
      <c r="G1459">
        <v>1328.5998535000001</v>
      </c>
      <c r="H1459">
        <v>1327.4660644999999</v>
      </c>
      <c r="I1459">
        <v>1334.9124756000001</v>
      </c>
      <c r="J1459">
        <v>1333.5379639</v>
      </c>
      <c r="K1459">
        <v>0</v>
      </c>
      <c r="L1459">
        <v>2400</v>
      </c>
      <c r="M1459">
        <v>2400</v>
      </c>
      <c r="N1459">
        <v>0</v>
      </c>
    </row>
    <row r="1460" spans="1:14" x14ac:dyDescent="0.25">
      <c r="A1460">
        <v>611.93908599999997</v>
      </c>
      <c r="B1460" s="1">
        <f>DATE(2012,1,2) + TIME(22,32,17)</f>
        <v>40910.939085648148</v>
      </c>
      <c r="C1460">
        <v>80</v>
      </c>
      <c r="D1460">
        <v>72.201110839999998</v>
      </c>
      <c r="E1460">
        <v>50</v>
      </c>
      <c r="F1460">
        <v>49.977741240999997</v>
      </c>
      <c r="G1460">
        <v>1328.5791016000001</v>
      </c>
      <c r="H1460">
        <v>1327.4376221</v>
      </c>
      <c r="I1460">
        <v>1334.9101562000001</v>
      </c>
      <c r="J1460">
        <v>1333.5377197</v>
      </c>
      <c r="K1460">
        <v>0</v>
      </c>
      <c r="L1460">
        <v>2400</v>
      </c>
      <c r="M1460">
        <v>2400</v>
      </c>
      <c r="N1460">
        <v>0</v>
      </c>
    </row>
    <row r="1461" spans="1:14" x14ac:dyDescent="0.25">
      <c r="A1461">
        <v>613.92063800000005</v>
      </c>
      <c r="B1461" s="1">
        <f>DATE(2012,1,4) + TIME(22,5,43)</f>
        <v>40912.920636574076</v>
      </c>
      <c r="C1461">
        <v>80</v>
      </c>
      <c r="D1461">
        <v>71.953506469999994</v>
      </c>
      <c r="E1461">
        <v>50</v>
      </c>
      <c r="F1461">
        <v>49.977725982999999</v>
      </c>
      <c r="G1461">
        <v>1328.5541992000001</v>
      </c>
      <c r="H1461">
        <v>1327.4078368999999</v>
      </c>
      <c r="I1461">
        <v>1334.9066161999999</v>
      </c>
      <c r="J1461">
        <v>1333.5372314000001</v>
      </c>
      <c r="K1461">
        <v>0</v>
      </c>
      <c r="L1461">
        <v>2400</v>
      </c>
      <c r="M1461">
        <v>2400</v>
      </c>
      <c r="N1461">
        <v>0</v>
      </c>
    </row>
    <row r="1462" spans="1:14" x14ac:dyDescent="0.25">
      <c r="A1462">
        <v>615.91945299999998</v>
      </c>
      <c r="B1462" s="1">
        <f>DATE(2012,1,6) + TIME(22,4,0)</f>
        <v>40914.919444444444</v>
      </c>
      <c r="C1462">
        <v>80</v>
      </c>
      <c r="D1462">
        <v>71.695083617999998</v>
      </c>
      <c r="E1462">
        <v>50</v>
      </c>
      <c r="F1462">
        <v>49.977706908999998</v>
      </c>
      <c r="G1462">
        <v>1328.527832</v>
      </c>
      <c r="H1462">
        <v>1327.375</v>
      </c>
      <c r="I1462">
        <v>1334.9030762</v>
      </c>
      <c r="J1462">
        <v>1333.5368652</v>
      </c>
      <c r="K1462">
        <v>0</v>
      </c>
      <c r="L1462">
        <v>2400</v>
      </c>
      <c r="M1462">
        <v>2400</v>
      </c>
      <c r="N1462">
        <v>0</v>
      </c>
    </row>
    <row r="1463" spans="1:14" x14ac:dyDescent="0.25">
      <c r="A1463">
        <v>617.95671800000002</v>
      </c>
      <c r="B1463" s="1">
        <f>DATE(2012,1,8) + TIME(22,57,40)</f>
        <v>40916.956712962965</v>
      </c>
      <c r="C1463">
        <v>80</v>
      </c>
      <c r="D1463">
        <v>71.432891846000004</v>
      </c>
      <c r="E1463">
        <v>50</v>
      </c>
      <c r="F1463">
        <v>49.977691649999997</v>
      </c>
      <c r="G1463">
        <v>1328.5014647999999</v>
      </c>
      <c r="H1463">
        <v>1327.3420410000001</v>
      </c>
      <c r="I1463">
        <v>1334.8996582</v>
      </c>
      <c r="J1463">
        <v>1333.536499</v>
      </c>
      <c r="K1463">
        <v>0</v>
      </c>
      <c r="L1463">
        <v>2400</v>
      </c>
      <c r="M1463">
        <v>2400</v>
      </c>
      <c r="N1463">
        <v>0</v>
      </c>
    </row>
    <row r="1464" spans="1:14" x14ac:dyDescent="0.25">
      <c r="A1464">
        <v>620.05438500000002</v>
      </c>
      <c r="B1464" s="1">
        <f>DATE(2012,1,11) + TIME(1,18,18)</f>
        <v>40919.054375</v>
      </c>
      <c r="C1464">
        <v>80</v>
      </c>
      <c r="D1464">
        <v>71.166519164999997</v>
      </c>
      <c r="E1464">
        <v>50</v>
      </c>
      <c r="F1464">
        <v>49.977676391999999</v>
      </c>
      <c r="G1464">
        <v>1328.4753418</v>
      </c>
      <c r="H1464">
        <v>1327.3093262</v>
      </c>
      <c r="I1464">
        <v>1334.8962402</v>
      </c>
      <c r="J1464">
        <v>1333.5360106999999</v>
      </c>
      <c r="K1464">
        <v>0</v>
      </c>
      <c r="L1464">
        <v>2400</v>
      </c>
      <c r="M1464">
        <v>2400</v>
      </c>
      <c r="N1464">
        <v>0</v>
      </c>
    </row>
    <row r="1465" spans="1:14" x14ac:dyDescent="0.25">
      <c r="A1465">
        <v>622.25639100000001</v>
      </c>
      <c r="B1465" s="1">
        <f>DATE(2012,1,13) + TIME(6,9,12)</f>
        <v>40921.256388888891</v>
      </c>
      <c r="C1465">
        <v>80</v>
      </c>
      <c r="D1465">
        <v>70.893157959000007</v>
      </c>
      <c r="E1465">
        <v>50</v>
      </c>
      <c r="F1465">
        <v>49.977664947999997</v>
      </c>
      <c r="G1465">
        <v>1328.4492187999999</v>
      </c>
      <c r="H1465">
        <v>1327.2767334</v>
      </c>
      <c r="I1465">
        <v>1334.8927002</v>
      </c>
      <c r="J1465">
        <v>1333.5356445</v>
      </c>
      <c r="K1465">
        <v>0</v>
      </c>
      <c r="L1465">
        <v>2400</v>
      </c>
      <c r="M1465">
        <v>2400</v>
      </c>
      <c r="N1465">
        <v>0</v>
      </c>
    </row>
    <row r="1466" spans="1:14" x14ac:dyDescent="0.25">
      <c r="A1466">
        <v>624.58090400000003</v>
      </c>
      <c r="B1466" s="1">
        <f>DATE(2012,1,15) + TIME(13,56,30)</f>
        <v>40923.58090277778</v>
      </c>
      <c r="C1466">
        <v>80</v>
      </c>
      <c r="D1466">
        <v>70.608627318999993</v>
      </c>
      <c r="E1466">
        <v>50</v>
      </c>
      <c r="F1466">
        <v>49.977649689000003</v>
      </c>
      <c r="G1466">
        <v>1328.4229736</v>
      </c>
      <c r="H1466">
        <v>1327.2440185999999</v>
      </c>
      <c r="I1466">
        <v>1334.8892822</v>
      </c>
      <c r="J1466">
        <v>1333.5351562000001</v>
      </c>
      <c r="K1466">
        <v>0</v>
      </c>
      <c r="L1466">
        <v>2400</v>
      </c>
      <c r="M1466">
        <v>2400</v>
      </c>
      <c r="N1466">
        <v>0</v>
      </c>
    </row>
    <row r="1467" spans="1:14" x14ac:dyDescent="0.25">
      <c r="A1467">
        <v>626.95543299999997</v>
      </c>
      <c r="B1467" s="1">
        <f>DATE(2012,1,17) + TIME(22,55,49)</f>
        <v>40925.955428240741</v>
      </c>
      <c r="C1467">
        <v>80</v>
      </c>
      <c r="D1467">
        <v>70.312393188000001</v>
      </c>
      <c r="E1467">
        <v>50</v>
      </c>
      <c r="F1467">
        <v>49.977638245000001</v>
      </c>
      <c r="G1467">
        <v>1328.3959961</v>
      </c>
      <c r="H1467">
        <v>1327.2105713000001</v>
      </c>
      <c r="I1467">
        <v>1334.8856201000001</v>
      </c>
      <c r="J1467">
        <v>1333.5347899999999</v>
      </c>
      <c r="K1467">
        <v>0</v>
      </c>
      <c r="L1467">
        <v>2400</v>
      </c>
      <c r="M1467">
        <v>2400</v>
      </c>
      <c r="N1467">
        <v>0</v>
      </c>
    </row>
    <row r="1468" spans="1:14" x14ac:dyDescent="0.25">
      <c r="A1468">
        <v>629.35855200000003</v>
      </c>
      <c r="B1468" s="1">
        <f>DATE(2012,1,20) + TIME(8,36,18)</f>
        <v>40928.358541666668</v>
      </c>
      <c r="C1468">
        <v>80</v>
      </c>
      <c r="D1468">
        <v>70.011177063000005</v>
      </c>
      <c r="E1468">
        <v>50</v>
      </c>
      <c r="F1468">
        <v>49.977626801</v>
      </c>
      <c r="G1468">
        <v>1328.3691406</v>
      </c>
      <c r="H1468">
        <v>1327.1770019999999</v>
      </c>
      <c r="I1468">
        <v>1334.8819579999999</v>
      </c>
      <c r="J1468">
        <v>1333.5343018000001</v>
      </c>
      <c r="K1468">
        <v>0</v>
      </c>
      <c r="L1468">
        <v>2400</v>
      </c>
      <c r="M1468">
        <v>2400</v>
      </c>
      <c r="N1468">
        <v>0</v>
      </c>
    </row>
    <row r="1469" spans="1:14" x14ac:dyDescent="0.25">
      <c r="A1469">
        <v>631.82422299999996</v>
      </c>
      <c r="B1469" s="1">
        <f>DATE(2012,1,22) + TIME(19,46,52)</f>
        <v>40930.824212962965</v>
      </c>
      <c r="C1469">
        <v>80</v>
      </c>
      <c r="D1469">
        <v>69.706756592000005</v>
      </c>
      <c r="E1469">
        <v>50</v>
      </c>
      <c r="F1469">
        <v>49.977615356000001</v>
      </c>
      <c r="G1469">
        <v>1328.3425293</v>
      </c>
      <c r="H1469">
        <v>1327.1437988</v>
      </c>
      <c r="I1469">
        <v>1334.8785399999999</v>
      </c>
      <c r="J1469">
        <v>1333.5338135</v>
      </c>
      <c r="K1469">
        <v>0</v>
      </c>
      <c r="L1469">
        <v>2400</v>
      </c>
      <c r="M1469">
        <v>2400</v>
      </c>
      <c r="N1469">
        <v>0</v>
      </c>
    </row>
    <row r="1470" spans="1:14" x14ac:dyDescent="0.25">
      <c r="A1470">
        <v>634.34474799999998</v>
      </c>
      <c r="B1470" s="1">
        <f>DATE(2012,1,25) + TIME(8,16,26)</f>
        <v>40933.34474537037</v>
      </c>
      <c r="C1470">
        <v>80</v>
      </c>
      <c r="D1470">
        <v>69.397254943999997</v>
      </c>
      <c r="E1470">
        <v>50</v>
      </c>
      <c r="F1470">
        <v>49.977603911999999</v>
      </c>
      <c r="G1470">
        <v>1328.3161620999999</v>
      </c>
      <c r="H1470">
        <v>1327.1109618999999</v>
      </c>
      <c r="I1470">
        <v>1334.875</v>
      </c>
      <c r="J1470">
        <v>1333.5333252</v>
      </c>
      <c r="K1470">
        <v>0</v>
      </c>
      <c r="L1470">
        <v>2400</v>
      </c>
      <c r="M1470">
        <v>2400</v>
      </c>
      <c r="N1470">
        <v>0</v>
      </c>
    </row>
    <row r="1471" spans="1:14" x14ac:dyDescent="0.25">
      <c r="A1471">
        <v>636.89381800000001</v>
      </c>
      <c r="B1471" s="1">
        <f>DATE(2012,1,27) + TIME(21,27,5)</f>
        <v>40935.893807870372</v>
      </c>
      <c r="C1471">
        <v>80</v>
      </c>
      <c r="D1471">
        <v>69.083824157999999</v>
      </c>
      <c r="E1471">
        <v>50</v>
      </c>
      <c r="F1471">
        <v>49.977596282999997</v>
      </c>
      <c r="G1471">
        <v>1328.2900391000001</v>
      </c>
      <c r="H1471">
        <v>1327.0783690999999</v>
      </c>
      <c r="I1471">
        <v>1334.8714600000001</v>
      </c>
      <c r="J1471">
        <v>1333.5328368999999</v>
      </c>
      <c r="K1471">
        <v>0</v>
      </c>
      <c r="L1471">
        <v>2400</v>
      </c>
      <c r="M1471">
        <v>2400</v>
      </c>
      <c r="N1471">
        <v>0</v>
      </c>
    </row>
    <row r="1472" spans="1:14" x14ac:dyDescent="0.25">
      <c r="A1472">
        <v>639.50403800000004</v>
      </c>
      <c r="B1472" s="1">
        <f>DATE(2012,1,30) + TIME(12,5,48)</f>
        <v>40938.504027777781</v>
      </c>
      <c r="C1472">
        <v>80</v>
      </c>
      <c r="D1472">
        <v>68.768157959000007</v>
      </c>
      <c r="E1472">
        <v>50</v>
      </c>
      <c r="F1472">
        <v>49.977588654000002</v>
      </c>
      <c r="G1472">
        <v>1328.2644043</v>
      </c>
      <c r="H1472">
        <v>1327.0462646000001</v>
      </c>
      <c r="I1472">
        <v>1334.8679199000001</v>
      </c>
      <c r="J1472">
        <v>1333.5323486</v>
      </c>
      <c r="K1472">
        <v>0</v>
      </c>
      <c r="L1472">
        <v>2400</v>
      </c>
      <c r="M1472">
        <v>2400</v>
      </c>
      <c r="N1472">
        <v>0</v>
      </c>
    </row>
    <row r="1473" spans="1:14" x14ac:dyDescent="0.25">
      <c r="A1473">
        <v>641</v>
      </c>
      <c r="B1473" s="1">
        <f>DATE(2012,2,1) + TIME(0,0,0)</f>
        <v>40940</v>
      </c>
      <c r="C1473">
        <v>80</v>
      </c>
      <c r="D1473">
        <v>68.482391356999997</v>
      </c>
      <c r="E1473">
        <v>50</v>
      </c>
      <c r="F1473">
        <v>49.977569580000001</v>
      </c>
      <c r="G1473">
        <v>1328.2388916</v>
      </c>
      <c r="H1473">
        <v>1327.0151367000001</v>
      </c>
      <c r="I1473">
        <v>1334.8645019999999</v>
      </c>
      <c r="J1473">
        <v>1333.5318603999999</v>
      </c>
      <c r="K1473">
        <v>0</v>
      </c>
      <c r="L1473">
        <v>2400</v>
      </c>
      <c r="M1473">
        <v>2400</v>
      </c>
      <c r="N1473">
        <v>0</v>
      </c>
    </row>
    <row r="1474" spans="1:14" x14ac:dyDescent="0.25">
      <c r="A1474">
        <v>643.70262100000002</v>
      </c>
      <c r="B1474" s="1">
        <f>DATE(2012,2,3) + TIME(16,51,46)</f>
        <v>40942.702615740738</v>
      </c>
      <c r="C1474">
        <v>80</v>
      </c>
      <c r="D1474">
        <v>68.248840332</v>
      </c>
      <c r="E1474">
        <v>50</v>
      </c>
      <c r="F1474">
        <v>49.977577209000003</v>
      </c>
      <c r="G1474">
        <v>1328.2214355000001</v>
      </c>
      <c r="H1474">
        <v>1326.9903564000001</v>
      </c>
      <c r="I1474">
        <v>1334.8625488</v>
      </c>
      <c r="J1474">
        <v>1333.5316161999999</v>
      </c>
      <c r="K1474">
        <v>0</v>
      </c>
      <c r="L1474">
        <v>2400</v>
      </c>
      <c r="M1474">
        <v>2400</v>
      </c>
      <c r="N1474">
        <v>0</v>
      </c>
    </row>
    <row r="1475" spans="1:14" x14ac:dyDescent="0.25">
      <c r="A1475">
        <v>646.57860700000003</v>
      </c>
      <c r="B1475" s="1">
        <f>DATE(2012,2,6) + TIME(13,53,11)</f>
        <v>40945.578599537039</v>
      </c>
      <c r="C1475">
        <v>80</v>
      </c>
      <c r="D1475">
        <v>67.931564331000004</v>
      </c>
      <c r="E1475">
        <v>50</v>
      </c>
      <c r="F1475">
        <v>49.977577209000003</v>
      </c>
      <c r="G1475">
        <v>1328.1989745999999</v>
      </c>
      <c r="H1475">
        <v>1326.9643555</v>
      </c>
      <c r="I1475">
        <v>1334.8591309000001</v>
      </c>
      <c r="J1475">
        <v>1333.5310059000001</v>
      </c>
      <c r="K1475">
        <v>0</v>
      </c>
      <c r="L1475">
        <v>2400</v>
      </c>
      <c r="M1475">
        <v>2400</v>
      </c>
      <c r="N1475">
        <v>0</v>
      </c>
    </row>
    <row r="1476" spans="1:14" x14ac:dyDescent="0.25">
      <c r="A1476">
        <v>649.51797999999997</v>
      </c>
      <c r="B1476" s="1">
        <f>DATE(2012,2,9) + TIME(12,25,53)</f>
        <v>40948.517974537041</v>
      </c>
      <c r="C1476">
        <v>80</v>
      </c>
      <c r="D1476">
        <v>67.591636657999999</v>
      </c>
      <c r="E1476">
        <v>50</v>
      </c>
      <c r="F1476">
        <v>49.977573395</v>
      </c>
      <c r="G1476">
        <v>1328.1739502</v>
      </c>
      <c r="H1476">
        <v>1326.9335937999999</v>
      </c>
      <c r="I1476">
        <v>1334.8555908000001</v>
      </c>
      <c r="J1476">
        <v>1333.5305175999999</v>
      </c>
      <c r="K1476">
        <v>0</v>
      </c>
      <c r="L1476">
        <v>2400</v>
      </c>
      <c r="M1476">
        <v>2400</v>
      </c>
      <c r="N1476">
        <v>0</v>
      </c>
    </row>
    <row r="1477" spans="1:14" x14ac:dyDescent="0.25">
      <c r="A1477">
        <v>652.56358</v>
      </c>
      <c r="B1477" s="1">
        <f>DATE(2012,2,12) + TIME(13,31,33)</f>
        <v>40951.563576388886</v>
      </c>
      <c r="C1477">
        <v>80</v>
      </c>
      <c r="D1477">
        <v>67.242134093999994</v>
      </c>
      <c r="E1477">
        <v>50</v>
      </c>
      <c r="F1477">
        <v>49.977573395</v>
      </c>
      <c r="G1477">
        <v>1328.1485596</v>
      </c>
      <c r="H1477">
        <v>1326.9020995999999</v>
      </c>
      <c r="I1477">
        <v>1334.8520507999999</v>
      </c>
      <c r="J1477">
        <v>1333.5299072</v>
      </c>
      <c r="K1477">
        <v>0</v>
      </c>
      <c r="L1477">
        <v>2400</v>
      </c>
      <c r="M1477">
        <v>2400</v>
      </c>
      <c r="N1477">
        <v>0</v>
      </c>
    </row>
    <row r="1478" spans="1:14" x14ac:dyDescent="0.25">
      <c r="A1478">
        <v>655.73214299999995</v>
      </c>
      <c r="B1478" s="1">
        <f>DATE(2012,2,15) + TIME(17,34,17)</f>
        <v>40954.732141203705</v>
      </c>
      <c r="C1478">
        <v>80</v>
      </c>
      <c r="D1478">
        <v>66.884506225999999</v>
      </c>
      <c r="E1478">
        <v>50</v>
      </c>
      <c r="F1478">
        <v>49.977573395</v>
      </c>
      <c r="G1478">
        <v>1328.1230469</v>
      </c>
      <c r="H1478">
        <v>1326.8703613</v>
      </c>
      <c r="I1478">
        <v>1334.8485106999999</v>
      </c>
      <c r="J1478">
        <v>1333.5292969</v>
      </c>
      <c r="K1478">
        <v>0</v>
      </c>
      <c r="L1478">
        <v>2400</v>
      </c>
      <c r="M1478">
        <v>2400</v>
      </c>
      <c r="N1478">
        <v>0</v>
      </c>
    </row>
    <row r="1479" spans="1:14" x14ac:dyDescent="0.25">
      <c r="A1479">
        <v>658.99769200000003</v>
      </c>
      <c r="B1479" s="1">
        <f>DATE(2012,2,18) + TIME(23,56,40)</f>
        <v>40957.997685185182</v>
      </c>
      <c r="C1479">
        <v>80</v>
      </c>
      <c r="D1479">
        <v>66.515014648000005</v>
      </c>
      <c r="E1479">
        <v>50</v>
      </c>
      <c r="F1479">
        <v>49.977573395</v>
      </c>
      <c r="G1479">
        <v>1328.0974120999999</v>
      </c>
      <c r="H1479">
        <v>1326.8386230000001</v>
      </c>
      <c r="I1479">
        <v>1334.8448486</v>
      </c>
      <c r="J1479">
        <v>1333.5286865</v>
      </c>
      <c r="K1479">
        <v>0</v>
      </c>
      <c r="L1479">
        <v>2400</v>
      </c>
      <c r="M1479">
        <v>2400</v>
      </c>
      <c r="N1479">
        <v>0</v>
      </c>
    </row>
    <row r="1480" spans="1:14" x14ac:dyDescent="0.25">
      <c r="A1480">
        <v>662.28337799999997</v>
      </c>
      <c r="B1480" s="1">
        <f>DATE(2012,2,22) + TIME(6,48,3)</f>
        <v>40961.283368055556</v>
      </c>
      <c r="C1480">
        <v>80</v>
      </c>
      <c r="D1480">
        <v>66.140762328999998</v>
      </c>
      <c r="E1480">
        <v>50</v>
      </c>
      <c r="F1480">
        <v>49.977577209000003</v>
      </c>
      <c r="G1480">
        <v>1328.0718993999999</v>
      </c>
      <c r="H1480">
        <v>1326.8067627</v>
      </c>
      <c r="I1480">
        <v>1334.8411865</v>
      </c>
      <c r="J1480">
        <v>1333.5280762</v>
      </c>
      <c r="K1480">
        <v>0</v>
      </c>
      <c r="L1480">
        <v>2400</v>
      </c>
      <c r="M1480">
        <v>2400</v>
      </c>
      <c r="N1480">
        <v>0</v>
      </c>
    </row>
    <row r="1481" spans="1:14" x14ac:dyDescent="0.25">
      <c r="A1481">
        <v>665.63771399999996</v>
      </c>
      <c r="B1481" s="1">
        <f>DATE(2012,2,25) + TIME(15,18,18)</f>
        <v>40964.637708333335</v>
      </c>
      <c r="C1481">
        <v>80</v>
      </c>
      <c r="D1481">
        <v>65.763305664000001</v>
      </c>
      <c r="E1481">
        <v>50</v>
      </c>
      <c r="F1481">
        <v>49.977581024000003</v>
      </c>
      <c r="G1481">
        <v>1328.0467529</v>
      </c>
      <c r="H1481">
        <v>1326.7753906</v>
      </c>
      <c r="I1481">
        <v>1334.8376464999999</v>
      </c>
      <c r="J1481">
        <v>1333.5273437999999</v>
      </c>
      <c r="K1481">
        <v>0</v>
      </c>
      <c r="L1481">
        <v>2400</v>
      </c>
      <c r="M1481">
        <v>2400</v>
      </c>
      <c r="N1481">
        <v>0</v>
      </c>
    </row>
    <row r="1482" spans="1:14" x14ac:dyDescent="0.25">
      <c r="A1482">
        <v>669.10891700000002</v>
      </c>
      <c r="B1482" s="1">
        <f>DATE(2012,2,29) + TIME(2,36,50)</f>
        <v>40968.108912037038</v>
      </c>
      <c r="C1482">
        <v>80</v>
      </c>
      <c r="D1482">
        <v>65.385215759000005</v>
      </c>
      <c r="E1482">
        <v>50</v>
      </c>
      <c r="F1482">
        <v>49.977584839000002</v>
      </c>
      <c r="G1482">
        <v>1328.0220947</v>
      </c>
      <c r="H1482">
        <v>1326.7446289</v>
      </c>
      <c r="I1482">
        <v>1334.8341064000001</v>
      </c>
      <c r="J1482">
        <v>1333.5266113</v>
      </c>
      <c r="K1482">
        <v>0</v>
      </c>
      <c r="L1482">
        <v>2400</v>
      </c>
      <c r="M1482">
        <v>2400</v>
      </c>
      <c r="N1482">
        <v>0</v>
      </c>
    </row>
    <row r="1483" spans="1:14" x14ac:dyDescent="0.25">
      <c r="A1483">
        <v>670</v>
      </c>
      <c r="B1483" s="1">
        <f>DATE(2012,3,1) + TIME(0,0,0)</f>
        <v>40969</v>
      </c>
      <c r="C1483">
        <v>80</v>
      </c>
      <c r="D1483">
        <v>65.096687317000004</v>
      </c>
      <c r="E1483">
        <v>50</v>
      </c>
      <c r="F1483">
        <v>49.977565765000001</v>
      </c>
      <c r="G1483">
        <v>1327.9973144999999</v>
      </c>
      <c r="H1483">
        <v>1326.715332</v>
      </c>
      <c r="I1483">
        <v>1334.8305664</v>
      </c>
      <c r="J1483">
        <v>1333.5258789</v>
      </c>
      <c r="K1483">
        <v>0</v>
      </c>
      <c r="L1483">
        <v>2400</v>
      </c>
      <c r="M1483">
        <v>2400</v>
      </c>
      <c r="N1483">
        <v>0</v>
      </c>
    </row>
    <row r="1484" spans="1:14" x14ac:dyDescent="0.25">
      <c r="A1484">
        <v>673.57200999999998</v>
      </c>
      <c r="B1484" s="1">
        <f>DATE(2012,3,4) + TIME(13,43,41)</f>
        <v>40972.572002314817</v>
      </c>
      <c r="C1484">
        <v>80</v>
      </c>
      <c r="D1484">
        <v>64.871490479000002</v>
      </c>
      <c r="E1484">
        <v>50</v>
      </c>
      <c r="F1484">
        <v>49.977592467999997</v>
      </c>
      <c r="G1484">
        <v>1327.9869385</v>
      </c>
      <c r="H1484">
        <v>1326.6975098</v>
      </c>
      <c r="I1484">
        <v>1334.8297118999999</v>
      </c>
      <c r="J1484">
        <v>1333.5257568</v>
      </c>
      <c r="K1484">
        <v>0</v>
      </c>
      <c r="L1484">
        <v>2400</v>
      </c>
      <c r="M1484">
        <v>2400</v>
      </c>
      <c r="N1484">
        <v>0</v>
      </c>
    </row>
    <row r="1485" spans="1:14" x14ac:dyDescent="0.25">
      <c r="A1485">
        <v>677.35458400000005</v>
      </c>
      <c r="B1485" s="1">
        <f>DATE(2012,3,8) + TIME(8,30,36)</f>
        <v>40976.354583333334</v>
      </c>
      <c r="C1485">
        <v>80</v>
      </c>
      <c r="D1485">
        <v>64.492439270000006</v>
      </c>
      <c r="E1485">
        <v>50</v>
      </c>
      <c r="F1485">
        <v>49.977607726999999</v>
      </c>
      <c r="G1485">
        <v>1327.9664307</v>
      </c>
      <c r="H1485">
        <v>1326.6746826000001</v>
      </c>
      <c r="I1485">
        <v>1334.8261719</v>
      </c>
      <c r="J1485">
        <v>1333.5250243999999</v>
      </c>
      <c r="K1485">
        <v>0</v>
      </c>
      <c r="L1485">
        <v>2400</v>
      </c>
      <c r="M1485">
        <v>2400</v>
      </c>
      <c r="N1485">
        <v>0</v>
      </c>
    </row>
    <row r="1486" spans="1:14" x14ac:dyDescent="0.25">
      <c r="A1486">
        <v>681.290167</v>
      </c>
      <c r="B1486" s="1">
        <f>DATE(2012,3,12) + TIME(6,57,50)</f>
        <v>40980.290162037039</v>
      </c>
      <c r="C1486">
        <v>80</v>
      </c>
      <c r="D1486">
        <v>64.082946777000004</v>
      </c>
      <c r="E1486">
        <v>50</v>
      </c>
      <c r="F1486">
        <v>49.977619171000001</v>
      </c>
      <c r="G1486">
        <v>1327.9425048999999</v>
      </c>
      <c r="H1486">
        <v>1326.6452637</v>
      </c>
      <c r="I1486">
        <v>1334.8225098</v>
      </c>
      <c r="J1486">
        <v>1333.5241699000001</v>
      </c>
      <c r="K1486">
        <v>0</v>
      </c>
      <c r="L1486">
        <v>2400</v>
      </c>
      <c r="M1486">
        <v>2400</v>
      </c>
      <c r="N1486">
        <v>0</v>
      </c>
    </row>
    <row r="1487" spans="1:14" x14ac:dyDescent="0.25">
      <c r="A1487">
        <v>683.37302399999999</v>
      </c>
      <c r="B1487" s="1">
        <f>DATE(2012,3,14) + TIME(8,57,9)</f>
        <v>40982.373020833336</v>
      </c>
      <c r="C1487">
        <v>80</v>
      </c>
      <c r="D1487">
        <v>63.698951721</v>
      </c>
      <c r="E1487">
        <v>50</v>
      </c>
      <c r="F1487">
        <v>49.977607726999999</v>
      </c>
      <c r="G1487">
        <v>1327.9178466999999</v>
      </c>
      <c r="H1487">
        <v>1326.6153564000001</v>
      </c>
      <c r="I1487">
        <v>1334.8187256000001</v>
      </c>
      <c r="J1487">
        <v>1333.5233154</v>
      </c>
      <c r="K1487">
        <v>0</v>
      </c>
      <c r="L1487">
        <v>2400</v>
      </c>
      <c r="M1487">
        <v>2400</v>
      </c>
      <c r="N1487">
        <v>0</v>
      </c>
    </row>
    <row r="1488" spans="1:14" x14ac:dyDescent="0.25">
      <c r="A1488">
        <v>687.50675000000001</v>
      </c>
      <c r="B1488" s="1">
        <f>DATE(2012,3,18) + TIME(12,9,43)</f>
        <v>40986.506747685184</v>
      </c>
      <c r="C1488">
        <v>80</v>
      </c>
      <c r="D1488">
        <v>63.414901733000001</v>
      </c>
      <c r="E1488">
        <v>50</v>
      </c>
      <c r="F1488">
        <v>49.977638245000001</v>
      </c>
      <c r="G1488">
        <v>1327.9016113</v>
      </c>
      <c r="H1488">
        <v>1326.5917969</v>
      </c>
      <c r="I1488">
        <v>1334.8167725000001</v>
      </c>
      <c r="J1488">
        <v>1333.5228271000001</v>
      </c>
      <c r="K1488">
        <v>0</v>
      </c>
      <c r="L1488">
        <v>2400</v>
      </c>
      <c r="M1488">
        <v>2400</v>
      </c>
      <c r="N1488">
        <v>0</v>
      </c>
    </row>
    <row r="1489" spans="1:14" x14ac:dyDescent="0.25">
      <c r="A1489">
        <v>691.645578</v>
      </c>
      <c r="B1489" s="1">
        <f>DATE(2012,3,22) + TIME(15,29,37)</f>
        <v>40990.645567129628</v>
      </c>
      <c r="C1489">
        <v>80</v>
      </c>
      <c r="D1489">
        <v>62.990993500000002</v>
      </c>
      <c r="E1489">
        <v>50</v>
      </c>
      <c r="F1489">
        <v>49.977653502999999</v>
      </c>
      <c r="G1489">
        <v>1327.8803711</v>
      </c>
      <c r="H1489">
        <v>1326.5676269999999</v>
      </c>
      <c r="I1489">
        <v>1334.8131103999999</v>
      </c>
      <c r="J1489">
        <v>1333.5219727000001</v>
      </c>
      <c r="K1489">
        <v>0</v>
      </c>
      <c r="L1489">
        <v>2400</v>
      </c>
      <c r="M1489">
        <v>2400</v>
      </c>
      <c r="N1489">
        <v>0</v>
      </c>
    </row>
    <row r="1490" spans="1:14" x14ac:dyDescent="0.25">
      <c r="A1490">
        <v>695.87288599999999</v>
      </c>
      <c r="B1490" s="1">
        <f>DATE(2012,3,26) + TIME(20,56,57)</f>
        <v>40994.872881944444</v>
      </c>
      <c r="C1490">
        <v>80</v>
      </c>
      <c r="D1490">
        <v>62.552478790000002</v>
      </c>
      <c r="E1490">
        <v>50</v>
      </c>
      <c r="F1490">
        <v>49.977672577</v>
      </c>
      <c r="G1490">
        <v>1327.8570557</v>
      </c>
      <c r="H1490">
        <v>1326.5384521000001</v>
      </c>
      <c r="I1490">
        <v>1334.8093262</v>
      </c>
      <c r="J1490">
        <v>1333.5209961</v>
      </c>
      <c r="K1490">
        <v>0</v>
      </c>
      <c r="L1490">
        <v>2400</v>
      </c>
      <c r="M1490">
        <v>2400</v>
      </c>
      <c r="N1490">
        <v>0</v>
      </c>
    </row>
    <row r="1491" spans="1:14" x14ac:dyDescent="0.25">
      <c r="A1491">
        <v>700.276704</v>
      </c>
      <c r="B1491" s="1">
        <f>DATE(2012,3,31) + TIME(6,38,27)</f>
        <v>40999.276701388888</v>
      </c>
      <c r="C1491">
        <v>80</v>
      </c>
      <c r="D1491">
        <v>62.120960236000002</v>
      </c>
      <c r="E1491">
        <v>50</v>
      </c>
      <c r="F1491">
        <v>49.977691649999997</v>
      </c>
      <c r="G1491">
        <v>1327.8339844</v>
      </c>
      <c r="H1491">
        <v>1326.5095214999999</v>
      </c>
      <c r="I1491">
        <v>1334.8056641000001</v>
      </c>
      <c r="J1491">
        <v>1333.5200195</v>
      </c>
      <c r="K1491">
        <v>0</v>
      </c>
      <c r="L1491">
        <v>2400</v>
      </c>
      <c r="M1491">
        <v>2400</v>
      </c>
      <c r="N1491">
        <v>0</v>
      </c>
    </row>
    <row r="1492" spans="1:14" x14ac:dyDescent="0.25">
      <c r="A1492">
        <v>701</v>
      </c>
      <c r="B1492" s="1">
        <f>DATE(2012,4,1) + TIME(0,0,0)</f>
        <v>41000</v>
      </c>
      <c r="C1492">
        <v>80</v>
      </c>
      <c r="D1492">
        <v>61.801551818999997</v>
      </c>
      <c r="E1492">
        <v>50</v>
      </c>
      <c r="F1492">
        <v>49.977672577</v>
      </c>
      <c r="G1492">
        <v>1327.8103027</v>
      </c>
      <c r="H1492">
        <v>1326.4824219</v>
      </c>
      <c r="I1492">
        <v>1334.8020019999999</v>
      </c>
      <c r="J1492">
        <v>1333.519043</v>
      </c>
      <c r="K1492">
        <v>0</v>
      </c>
      <c r="L1492">
        <v>2400</v>
      </c>
      <c r="M1492">
        <v>2400</v>
      </c>
      <c r="N1492">
        <v>0</v>
      </c>
    </row>
    <row r="1493" spans="1:14" x14ac:dyDescent="0.25">
      <c r="A1493">
        <v>705.62037799999996</v>
      </c>
      <c r="B1493" s="1">
        <f>DATE(2012,4,5) + TIME(14,53,20)</f>
        <v>41004.620370370372</v>
      </c>
      <c r="C1493">
        <v>80</v>
      </c>
      <c r="D1493">
        <v>61.547763824</v>
      </c>
      <c r="E1493">
        <v>50</v>
      </c>
      <c r="F1493">
        <v>49.977718353</v>
      </c>
      <c r="G1493">
        <v>1327.8031006000001</v>
      </c>
      <c r="H1493">
        <v>1326.4676514</v>
      </c>
      <c r="I1493">
        <v>1334.8013916</v>
      </c>
      <c r="J1493">
        <v>1333.5189209</v>
      </c>
      <c r="K1493">
        <v>0</v>
      </c>
      <c r="L1493">
        <v>2400</v>
      </c>
      <c r="M1493">
        <v>2400</v>
      </c>
      <c r="N1493">
        <v>0</v>
      </c>
    </row>
    <row r="1494" spans="1:14" x14ac:dyDescent="0.25">
      <c r="A1494">
        <v>710.484734</v>
      </c>
      <c r="B1494" s="1">
        <f>DATE(2012,4,10) + TIME(11,38,1)</f>
        <v>41009.484733796293</v>
      </c>
      <c r="C1494">
        <v>80</v>
      </c>
      <c r="D1494">
        <v>61.121112822999997</v>
      </c>
      <c r="E1494">
        <v>50</v>
      </c>
      <c r="F1494">
        <v>49.977745056000003</v>
      </c>
      <c r="G1494">
        <v>1327.7839355000001</v>
      </c>
      <c r="H1494">
        <v>1326.4466553</v>
      </c>
      <c r="I1494">
        <v>1334.7976074000001</v>
      </c>
      <c r="J1494">
        <v>1333.5178223</v>
      </c>
      <c r="K1494">
        <v>0</v>
      </c>
      <c r="L1494">
        <v>2400</v>
      </c>
      <c r="M1494">
        <v>2400</v>
      </c>
      <c r="N1494">
        <v>0</v>
      </c>
    </row>
    <row r="1495" spans="1:14" x14ac:dyDescent="0.25">
      <c r="A1495">
        <v>713.00380500000006</v>
      </c>
      <c r="B1495" s="1">
        <f>DATE(2012,4,13) + TIME(0,5,28)</f>
        <v>41012.003796296296</v>
      </c>
      <c r="C1495">
        <v>80</v>
      </c>
      <c r="D1495">
        <v>60.599590302000003</v>
      </c>
      <c r="E1495">
        <v>50</v>
      </c>
      <c r="F1495">
        <v>49.977737427000001</v>
      </c>
      <c r="G1495">
        <v>1327.7612305</v>
      </c>
      <c r="H1495">
        <v>1326.4190673999999</v>
      </c>
      <c r="I1495">
        <v>1334.7937012</v>
      </c>
      <c r="J1495">
        <v>1333.5166016000001</v>
      </c>
      <c r="K1495">
        <v>0</v>
      </c>
      <c r="L1495">
        <v>2400</v>
      </c>
      <c r="M1495">
        <v>2400</v>
      </c>
      <c r="N1495">
        <v>0</v>
      </c>
    </row>
    <row r="1496" spans="1:14" x14ac:dyDescent="0.25">
      <c r="A1496">
        <v>715.41893100000004</v>
      </c>
      <c r="B1496" s="1">
        <f>DATE(2012,4,15) + TIME(10,3,15)</f>
        <v>41014.418923611112</v>
      </c>
      <c r="C1496">
        <v>80</v>
      </c>
      <c r="D1496">
        <v>60.344516753999997</v>
      </c>
      <c r="E1496">
        <v>50</v>
      </c>
      <c r="F1496">
        <v>49.977748871000003</v>
      </c>
      <c r="G1496">
        <v>1327.7462158000001</v>
      </c>
      <c r="H1496">
        <v>1326.3970947</v>
      </c>
      <c r="I1496">
        <v>1334.791626</v>
      </c>
      <c r="J1496">
        <v>1333.5159911999999</v>
      </c>
      <c r="K1496">
        <v>0</v>
      </c>
      <c r="L1496">
        <v>2400</v>
      </c>
      <c r="M1496">
        <v>2400</v>
      </c>
      <c r="N1496">
        <v>0</v>
      </c>
    </row>
    <row r="1497" spans="1:14" x14ac:dyDescent="0.25">
      <c r="A1497">
        <v>717.83405700000003</v>
      </c>
      <c r="B1497" s="1">
        <f>DATE(2012,4,17) + TIME(20,1,2)</f>
        <v>41016.834050925929</v>
      </c>
      <c r="C1497">
        <v>80</v>
      </c>
      <c r="D1497">
        <v>60.108852386000002</v>
      </c>
      <c r="E1497">
        <v>50</v>
      </c>
      <c r="F1497">
        <v>49.977760314999998</v>
      </c>
      <c r="G1497">
        <v>1327.7348632999999</v>
      </c>
      <c r="H1497">
        <v>1326.3824463000001</v>
      </c>
      <c r="I1497">
        <v>1334.7897949000001</v>
      </c>
      <c r="J1497">
        <v>1333.5153809000001</v>
      </c>
      <c r="K1497">
        <v>0</v>
      </c>
      <c r="L1497">
        <v>2400</v>
      </c>
      <c r="M1497">
        <v>2400</v>
      </c>
      <c r="N1497">
        <v>0</v>
      </c>
    </row>
    <row r="1498" spans="1:14" x14ac:dyDescent="0.25">
      <c r="A1498">
        <v>720.24918300000002</v>
      </c>
      <c r="B1498" s="1">
        <f>DATE(2012,4,20) + TIME(5,58,49)</f>
        <v>41019.249178240738</v>
      </c>
      <c r="C1498">
        <v>80</v>
      </c>
      <c r="D1498">
        <v>59.862796783</v>
      </c>
      <c r="E1498">
        <v>50</v>
      </c>
      <c r="F1498">
        <v>49.977775573999999</v>
      </c>
      <c r="G1498">
        <v>1327.7242432</v>
      </c>
      <c r="H1498">
        <v>1326.3690185999999</v>
      </c>
      <c r="I1498">
        <v>1334.7879639</v>
      </c>
      <c r="J1498">
        <v>1333.5148925999999</v>
      </c>
      <c r="K1498">
        <v>0</v>
      </c>
      <c r="L1498">
        <v>2400</v>
      </c>
      <c r="M1498">
        <v>2400</v>
      </c>
      <c r="N1498">
        <v>0</v>
      </c>
    </row>
    <row r="1499" spans="1:14" x14ac:dyDescent="0.25">
      <c r="A1499">
        <v>722.66431</v>
      </c>
      <c r="B1499" s="1">
        <f>DATE(2012,4,22) + TIME(15,56,36)</f>
        <v>41021.664305555554</v>
      </c>
      <c r="C1499">
        <v>80</v>
      </c>
      <c r="D1499">
        <v>59.621658324999999</v>
      </c>
      <c r="E1499">
        <v>50</v>
      </c>
      <c r="F1499">
        <v>49.977787018000001</v>
      </c>
      <c r="G1499">
        <v>1327.7141113</v>
      </c>
      <c r="H1499">
        <v>1326.3560791</v>
      </c>
      <c r="I1499">
        <v>1334.7861327999999</v>
      </c>
      <c r="J1499">
        <v>1333.5142822</v>
      </c>
      <c r="K1499">
        <v>0</v>
      </c>
      <c r="L1499">
        <v>2400</v>
      </c>
      <c r="M1499">
        <v>2400</v>
      </c>
      <c r="N1499">
        <v>0</v>
      </c>
    </row>
    <row r="1500" spans="1:14" x14ac:dyDescent="0.25">
      <c r="A1500">
        <v>725.07943599999999</v>
      </c>
      <c r="B1500" s="1">
        <f>DATE(2012,4,25) + TIME(1,54,23)</f>
        <v>41024.079432870371</v>
      </c>
      <c r="C1500">
        <v>80</v>
      </c>
      <c r="D1500">
        <v>59.378582000999998</v>
      </c>
      <c r="E1500">
        <v>50</v>
      </c>
      <c r="F1500">
        <v>49.977802277000002</v>
      </c>
      <c r="G1500">
        <v>1327.7041016000001</v>
      </c>
      <c r="H1500">
        <v>1326.3436279</v>
      </c>
      <c r="I1500">
        <v>1334.7843018000001</v>
      </c>
      <c r="J1500">
        <v>1333.5136719</v>
      </c>
      <c r="K1500">
        <v>0</v>
      </c>
      <c r="L1500">
        <v>2400</v>
      </c>
      <c r="M1500">
        <v>2400</v>
      </c>
      <c r="N1500">
        <v>0</v>
      </c>
    </row>
    <row r="1501" spans="1:14" x14ac:dyDescent="0.25">
      <c r="A1501">
        <v>727.49456199999997</v>
      </c>
      <c r="B1501" s="1">
        <f>DATE(2012,4,27) + TIME(11,52,10)</f>
        <v>41026.494560185187</v>
      </c>
      <c r="C1501">
        <v>80</v>
      </c>
      <c r="D1501">
        <v>59.138015746999997</v>
      </c>
      <c r="E1501">
        <v>50</v>
      </c>
      <c r="F1501">
        <v>49.977817535</v>
      </c>
      <c r="G1501">
        <v>1327.6944579999999</v>
      </c>
      <c r="H1501">
        <v>1326.3314209</v>
      </c>
      <c r="I1501">
        <v>1334.7825928</v>
      </c>
      <c r="J1501">
        <v>1333.5130615</v>
      </c>
      <c r="K1501">
        <v>0</v>
      </c>
      <c r="L1501">
        <v>2400</v>
      </c>
      <c r="M1501">
        <v>2400</v>
      </c>
      <c r="N1501">
        <v>0</v>
      </c>
    </row>
    <row r="1502" spans="1:14" x14ac:dyDescent="0.25">
      <c r="A1502">
        <v>731</v>
      </c>
      <c r="B1502" s="1">
        <f>DATE(2012,5,1) + TIME(0,0,0)</f>
        <v>41030</v>
      </c>
      <c r="C1502">
        <v>80</v>
      </c>
      <c r="D1502">
        <v>58.956119536999999</v>
      </c>
      <c r="E1502">
        <v>50</v>
      </c>
      <c r="F1502">
        <v>49.977848053000002</v>
      </c>
      <c r="G1502">
        <v>1327.6853027</v>
      </c>
      <c r="H1502">
        <v>1326.3199463000001</v>
      </c>
      <c r="I1502">
        <v>1334.7807617000001</v>
      </c>
      <c r="J1502">
        <v>1333.5124512</v>
      </c>
      <c r="K1502">
        <v>0</v>
      </c>
      <c r="L1502">
        <v>2400</v>
      </c>
      <c r="M1502">
        <v>2400</v>
      </c>
      <c r="N1502">
        <v>0</v>
      </c>
    </row>
    <row r="1503" spans="1:14" x14ac:dyDescent="0.25">
      <c r="A1503">
        <v>731.000001</v>
      </c>
      <c r="B1503" s="1">
        <f>DATE(2012,5,1) + TIME(0,0,0)</f>
        <v>41030</v>
      </c>
      <c r="C1503">
        <v>80</v>
      </c>
      <c r="D1503">
        <v>58.956260681000003</v>
      </c>
      <c r="E1503">
        <v>50</v>
      </c>
      <c r="F1503">
        <v>49.977783203000001</v>
      </c>
      <c r="G1503">
        <v>1329.7246094</v>
      </c>
      <c r="H1503">
        <v>1328.4692382999999</v>
      </c>
      <c r="I1503">
        <v>1332.9865723</v>
      </c>
      <c r="J1503">
        <v>1332.3366699000001</v>
      </c>
      <c r="K1503">
        <v>2400</v>
      </c>
      <c r="L1503">
        <v>0</v>
      </c>
      <c r="M1503">
        <v>0</v>
      </c>
      <c r="N1503">
        <v>2400</v>
      </c>
    </row>
    <row r="1504" spans="1:14" x14ac:dyDescent="0.25">
      <c r="A1504">
        <v>731.00000399999999</v>
      </c>
      <c r="B1504" s="1">
        <f>DATE(2012,5,1) + TIME(0,0,0)</f>
        <v>41030</v>
      </c>
      <c r="C1504">
        <v>80</v>
      </c>
      <c r="D1504">
        <v>58.956485747999999</v>
      </c>
      <c r="E1504">
        <v>50</v>
      </c>
      <c r="F1504">
        <v>49.977703093999999</v>
      </c>
      <c r="G1504">
        <v>1330.5566406</v>
      </c>
      <c r="H1504">
        <v>1329.3387451000001</v>
      </c>
      <c r="I1504">
        <v>1332.354126</v>
      </c>
      <c r="J1504">
        <v>1331.7037353999999</v>
      </c>
      <c r="K1504">
        <v>2400</v>
      </c>
      <c r="L1504">
        <v>0</v>
      </c>
      <c r="M1504">
        <v>0</v>
      </c>
      <c r="N1504">
        <v>2400</v>
      </c>
    </row>
    <row r="1505" spans="1:14" x14ac:dyDescent="0.25">
      <c r="A1505">
        <v>731.00001299999997</v>
      </c>
      <c r="B1505" s="1">
        <f>DATE(2012,5,1) + TIME(0,0,1)</f>
        <v>41030.000011574077</v>
      </c>
      <c r="C1505">
        <v>80</v>
      </c>
      <c r="D1505">
        <v>58.956939697000003</v>
      </c>
      <c r="E1505">
        <v>50</v>
      </c>
      <c r="F1505">
        <v>49.977622986</v>
      </c>
      <c r="G1505">
        <v>1331.4201660000001</v>
      </c>
      <c r="H1505">
        <v>1330.1669922000001</v>
      </c>
      <c r="I1505">
        <v>1331.7452393000001</v>
      </c>
      <c r="J1505">
        <v>1331.0904541</v>
      </c>
      <c r="K1505">
        <v>2400</v>
      </c>
      <c r="L1505">
        <v>0</v>
      </c>
      <c r="M1505">
        <v>0</v>
      </c>
      <c r="N1505">
        <v>2400</v>
      </c>
    </row>
    <row r="1506" spans="1:14" x14ac:dyDescent="0.25">
      <c r="A1506">
        <v>731.00004000000001</v>
      </c>
      <c r="B1506" s="1">
        <f>DATE(2012,5,1) + TIME(0,0,3)</f>
        <v>41030.000034722223</v>
      </c>
      <c r="C1506">
        <v>80</v>
      </c>
      <c r="D1506">
        <v>58.958103180000002</v>
      </c>
      <c r="E1506">
        <v>50</v>
      </c>
      <c r="F1506">
        <v>49.977546691999997</v>
      </c>
      <c r="G1506">
        <v>1332.2478027</v>
      </c>
      <c r="H1506">
        <v>1330.9559326000001</v>
      </c>
      <c r="I1506">
        <v>1331.1612548999999</v>
      </c>
      <c r="J1506">
        <v>1330.4940185999999</v>
      </c>
      <c r="K1506">
        <v>2400</v>
      </c>
      <c r="L1506">
        <v>0</v>
      </c>
      <c r="M1506">
        <v>0</v>
      </c>
      <c r="N1506">
        <v>2400</v>
      </c>
    </row>
    <row r="1507" spans="1:14" x14ac:dyDescent="0.25">
      <c r="A1507">
        <v>731.00012100000004</v>
      </c>
      <c r="B1507" s="1">
        <f>DATE(2012,5,1) + TIME(0,0,10)</f>
        <v>41030.000115740739</v>
      </c>
      <c r="C1507">
        <v>80</v>
      </c>
      <c r="D1507">
        <v>58.961483002000001</v>
      </c>
      <c r="E1507">
        <v>50</v>
      </c>
      <c r="F1507">
        <v>49.977466583000002</v>
      </c>
      <c r="G1507">
        <v>1333.0506591999999</v>
      </c>
      <c r="H1507">
        <v>1331.7220459</v>
      </c>
      <c r="I1507">
        <v>1330.5650635</v>
      </c>
      <c r="J1507">
        <v>1329.8736572</v>
      </c>
      <c r="K1507">
        <v>2400</v>
      </c>
      <c r="L1507">
        <v>0</v>
      </c>
      <c r="M1507">
        <v>0</v>
      </c>
      <c r="N1507">
        <v>2400</v>
      </c>
    </row>
    <row r="1508" spans="1:14" x14ac:dyDescent="0.25">
      <c r="A1508">
        <v>731.00036399999999</v>
      </c>
      <c r="B1508" s="1">
        <f>DATE(2012,5,1) + TIME(0,0,31)</f>
        <v>41030.000358796293</v>
      </c>
      <c r="C1508">
        <v>80</v>
      </c>
      <c r="D1508">
        <v>58.971672058000003</v>
      </c>
      <c r="E1508">
        <v>50</v>
      </c>
      <c r="F1508">
        <v>49.977367401000002</v>
      </c>
      <c r="G1508">
        <v>1333.8087158000001</v>
      </c>
      <c r="H1508">
        <v>1332.4439697</v>
      </c>
      <c r="I1508">
        <v>1329.9547118999999</v>
      </c>
      <c r="J1508">
        <v>1329.2327881000001</v>
      </c>
      <c r="K1508">
        <v>2400</v>
      </c>
      <c r="L1508">
        <v>0</v>
      </c>
      <c r="M1508">
        <v>0</v>
      </c>
      <c r="N1508">
        <v>2400</v>
      </c>
    </row>
    <row r="1509" spans="1:14" x14ac:dyDescent="0.25">
      <c r="A1509">
        <v>731.00109299999997</v>
      </c>
      <c r="B1509" s="1">
        <f>DATE(2012,5,1) + TIME(0,1,34)</f>
        <v>41030.001087962963</v>
      </c>
      <c r="C1509">
        <v>80</v>
      </c>
      <c r="D1509">
        <v>59.002620696999998</v>
      </c>
      <c r="E1509">
        <v>50</v>
      </c>
      <c r="F1509">
        <v>49.977230071999998</v>
      </c>
      <c r="G1509">
        <v>1334.4107666</v>
      </c>
      <c r="H1509">
        <v>1333.0181885</v>
      </c>
      <c r="I1509">
        <v>1329.4290771000001</v>
      </c>
      <c r="J1509">
        <v>1328.6843262</v>
      </c>
      <c r="K1509">
        <v>2400</v>
      </c>
      <c r="L1509">
        <v>0</v>
      </c>
      <c r="M1509">
        <v>0</v>
      </c>
      <c r="N1509">
        <v>2400</v>
      </c>
    </row>
    <row r="1510" spans="1:14" x14ac:dyDescent="0.25">
      <c r="A1510">
        <v>731.00328000000002</v>
      </c>
      <c r="B1510" s="1">
        <f>DATE(2012,5,1) + TIME(0,4,43)</f>
        <v>41030.003275462965</v>
      </c>
      <c r="C1510">
        <v>80</v>
      </c>
      <c r="D1510">
        <v>59.095779419000003</v>
      </c>
      <c r="E1510">
        <v>50</v>
      </c>
      <c r="F1510">
        <v>49.976985931000002</v>
      </c>
      <c r="G1510">
        <v>1334.7368164</v>
      </c>
      <c r="H1510">
        <v>1333.3322754000001</v>
      </c>
      <c r="I1510">
        <v>1329.1401367000001</v>
      </c>
      <c r="J1510">
        <v>1328.3857422000001</v>
      </c>
      <c r="K1510">
        <v>2400</v>
      </c>
      <c r="L1510">
        <v>0</v>
      </c>
      <c r="M1510">
        <v>0</v>
      </c>
      <c r="N1510">
        <v>2400</v>
      </c>
    </row>
    <row r="1511" spans="1:14" x14ac:dyDescent="0.25">
      <c r="A1511">
        <v>731.00984100000005</v>
      </c>
      <c r="B1511" s="1">
        <f>DATE(2012,5,1) + TIME(0,14,10)</f>
        <v>41030.009837962964</v>
      </c>
      <c r="C1511">
        <v>80</v>
      </c>
      <c r="D1511">
        <v>59.372070311999998</v>
      </c>
      <c r="E1511">
        <v>50</v>
      </c>
      <c r="F1511">
        <v>49.976348877</v>
      </c>
      <c r="G1511">
        <v>1334.8249512</v>
      </c>
      <c r="H1511">
        <v>1333.4228516000001</v>
      </c>
      <c r="I1511">
        <v>1329.0686035000001</v>
      </c>
      <c r="J1511">
        <v>1328.3121338000001</v>
      </c>
      <c r="K1511">
        <v>2400</v>
      </c>
      <c r="L1511">
        <v>0</v>
      </c>
      <c r="M1511">
        <v>0</v>
      </c>
      <c r="N1511">
        <v>2400</v>
      </c>
    </row>
    <row r="1512" spans="1:14" x14ac:dyDescent="0.25">
      <c r="A1512">
        <v>731.02708199999995</v>
      </c>
      <c r="B1512" s="1">
        <f>DATE(2012,5,1) + TIME(0,38,59)</f>
        <v>41030.027071759258</v>
      </c>
      <c r="C1512">
        <v>80</v>
      </c>
      <c r="D1512">
        <v>60.073886870999999</v>
      </c>
      <c r="E1512">
        <v>50</v>
      </c>
      <c r="F1512">
        <v>49.974720001000001</v>
      </c>
      <c r="G1512">
        <v>1334.8204346</v>
      </c>
      <c r="H1512">
        <v>1333.4312743999999</v>
      </c>
      <c r="I1512">
        <v>1329.0629882999999</v>
      </c>
      <c r="J1512">
        <v>1328.3063964999999</v>
      </c>
      <c r="K1512">
        <v>2400</v>
      </c>
      <c r="L1512">
        <v>0</v>
      </c>
      <c r="M1512">
        <v>0</v>
      </c>
      <c r="N1512">
        <v>2400</v>
      </c>
    </row>
    <row r="1513" spans="1:14" x14ac:dyDescent="0.25">
      <c r="A1513">
        <v>731.04464099999996</v>
      </c>
      <c r="B1513" s="1">
        <f>DATE(2012,5,1) + TIME(1,4,16)</f>
        <v>41030.044629629629</v>
      </c>
      <c r="C1513">
        <v>80</v>
      </c>
      <c r="D1513">
        <v>60.771175384999999</v>
      </c>
      <c r="E1513">
        <v>50</v>
      </c>
      <c r="F1513">
        <v>49.973072051999999</v>
      </c>
      <c r="G1513">
        <v>1334.8388672000001</v>
      </c>
      <c r="H1513">
        <v>1333.4479980000001</v>
      </c>
      <c r="I1513">
        <v>1329.0628661999999</v>
      </c>
      <c r="J1513">
        <v>1328.3061522999999</v>
      </c>
      <c r="K1513">
        <v>2400</v>
      </c>
      <c r="L1513">
        <v>0</v>
      </c>
      <c r="M1513">
        <v>0</v>
      </c>
      <c r="N1513">
        <v>2400</v>
      </c>
    </row>
    <row r="1514" spans="1:14" x14ac:dyDescent="0.25">
      <c r="A1514">
        <v>731.06253500000003</v>
      </c>
      <c r="B1514" s="1">
        <f>DATE(2012,5,1) + TIME(1,30,3)</f>
        <v>41030.062534722223</v>
      </c>
      <c r="C1514">
        <v>80</v>
      </c>
      <c r="D1514">
        <v>61.464427948000001</v>
      </c>
      <c r="E1514">
        <v>50</v>
      </c>
      <c r="F1514">
        <v>49.971401215</v>
      </c>
      <c r="G1514">
        <v>1334.8590088000001</v>
      </c>
      <c r="H1514">
        <v>1333.4655762</v>
      </c>
      <c r="I1514">
        <v>1329.0628661999999</v>
      </c>
      <c r="J1514">
        <v>1328.3060303</v>
      </c>
      <c r="K1514">
        <v>2400</v>
      </c>
      <c r="L1514">
        <v>0</v>
      </c>
      <c r="M1514">
        <v>0</v>
      </c>
      <c r="N1514">
        <v>2400</v>
      </c>
    </row>
    <row r="1515" spans="1:14" x14ac:dyDescent="0.25">
      <c r="A1515">
        <v>731.08077800000001</v>
      </c>
      <c r="B1515" s="1">
        <f>DATE(2012,5,1) + TIME(1,56,19)</f>
        <v>41030.080775462964</v>
      </c>
      <c r="C1515">
        <v>80</v>
      </c>
      <c r="D1515">
        <v>62.153446197999997</v>
      </c>
      <c r="E1515">
        <v>50</v>
      </c>
      <c r="F1515">
        <v>49.969703674000002</v>
      </c>
      <c r="G1515">
        <v>1334.8812256000001</v>
      </c>
      <c r="H1515">
        <v>1333.484375</v>
      </c>
      <c r="I1515">
        <v>1329.0627440999999</v>
      </c>
      <c r="J1515">
        <v>1328.3057861</v>
      </c>
      <c r="K1515">
        <v>2400</v>
      </c>
      <c r="L1515">
        <v>0</v>
      </c>
      <c r="M1515">
        <v>0</v>
      </c>
      <c r="N1515">
        <v>2400</v>
      </c>
    </row>
    <row r="1516" spans="1:14" x14ac:dyDescent="0.25">
      <c r="A1516">
        <v>731.09938299999999</v>
      </c>
      <c r="B1516" s="1">
        <f>DATE(2012,5,1) + TIME(2,23,6)</f>
        <v>41030.099374999998</v>
      </c>
      <c r="C1516">
        <v>80</v>
      </c>
      <c r="D1516">
        <v>62.837970734000002</v>
      </c>
      <c r="E1516">
        <v>50</v>
      </c>
      <c r="F1516">
        <v>49.967983246000003</v>
      </c>
      <c r="G1516">
        <v>1334.9056396000001</v>
      </c>
      <c r="H1516">
        <v>1333.5045166</v>
      </c>
      <c r="I1516">
        <v>1329.0626221</v>
      </c>
      <c r="J1516">
        <v>1328.3056641000001</v>
      </c>
      <c r="K1516">
        <v>2400</v>
      </c>
      <c r="L1516">
        <v>0</v>
      </c>
      <c r="M1516">
        <v>0</v>
      </c>
      <c r="N1516">
        <v>2400</v>
      </c>
    </row>
    <row r="1517" spans="1:14" x14ac:dyDescent="0.25">
      <c r="A1517">
        <v>731.11836400000004</v>
      </c>
      <c r="B1517" s="1">
        <f>DATE(2012,5,1) + TIME(2,50,26)</f>
        <v>41030.118356481478</v>
      </c>
      <c r="C1517">
        <v>80</v>
      </c>
      <c r="D1517">
        <v>63.517700195000003</v>
      </c>
      <c r="E1517">
        <v>50</v>
      </c>
      <c r="F1517">
        <v>49.966236115000001</v>
      </c>
      <c r="G1517">
        <v>1334.9321289</v>
      </c>
      <c r="H1517">
        <v>1333.5258789</v>
      </c>
      <c r="I1517">
        <v>1329.0625</v>
      </c>
      <c r="J1517">
        <v>1328.3054199000001</v>
      </c>
      <c r="K1517">
        <v>2400</v>
      </c>
      <c r="L1517">
        <v>0</v>
      </c>
      <c r="M1517">
        <v>0</v>
      </c>
      <c r="N1517">
        <v>2400</v>
      </c>
    </row>
    <row r="1518" spans="1:14" x14ac:dyDescent="0.25">
      <c r="A1518">
        <v>731.13773700000002</v>
      </c>
      <c r="B1518" s="1">
        <f>DATE(2012,5,1) + TIME(3,18,20)</f>
        <v>41030.137731481482</v>
      </c>
      <c r="C1518">
        <v>80</v>
      </c>
      <c r="D1518">
        <v>64.192276000999996</v>
      </c>
      <c r="E1518">
        <v>50</v>
      </c>
      <c r="F1518">
        <v>49.964462279999999</v>
      </c>
      <c r="G1518">
        <v>1334.9605713000001</v>
      </c>
      <c r="H1518">
        <v>1333.5484618999999</v>
      </c>
      <c r="I1518">
        <v>1329.0625</v>
      </c>
      <c r="J1518">
        <v>1328.3051757999999</v>
      </c>
      <c r="K1518">
        <v>2400</v>
      </c>
      <c r="L1518">
        <v>0</v>
      </c>
      <c r="M1518">
        <v>0</v>
      </c>
      <c r="N1518">
        <v>2400</v>
      </c>
    </row>
    <row r="1519" spans="1:14" x14ac:dyDescent="0.25">
      <c r="A1519">
        <v>731.15751899999998</v>
      </c>
      <c r="B1519" s="1">
        <f>DATE(2012,5,1) + TIME(3,46,49)</f>
        <v>41030.157511574071</v>
      </c>
      <c r="C1519">
        <v>80</v>
      </c>
      <c r="D1519">
        <v>64.861259459999999</v>
      </c>
      <c r="E1519">
        <v>50</v>
      </c>
      <c r="F1519">
        <v>49.962661742999998</v>
      </c>
      <c r="G1519">
        <v>1334.9909668</v>
      </c>
      <c r="H1519">
        <v>1333.5721435999999</v>
      </c>
      <c r="I1519">
        <v>1329.0622559000001</v>
      </c>
      <c r="J1519">
        <v>1328.3049315999999</v>
      </c>
      <c r="K1519">
        <v>2400</v>
      </c>
      <c r="L1519">
        <v>0</v>
      </c>
      <c r="M1519">
        <v>0</v>
      </c>
      <c r="N1519">
        <v>2400</v>
      </c>
    </row>
    <row r="1520" spans="1:14" x14ac:dyDescent="0.25">
      <c r="A1520">
        <v>731.17772600000001</v>
      </c>
      <c r="B1520" s="1">
        <f>DATE(2012,5,1) + TIME(4,15,55)</f>
        <v>41030.177719907406</v>
      </c>
      <c r="C1520">
        <v>80</v>
      </c>
      <c r="D1520">
        <v>65.524307250999996</v>
      </c>
      <c r="E1520">
        <v>50</v>
      </c>
      <c r="F1520">
        <v>49.960834503000001</v>
      </c>
      <c r="G1520">
        <v>1335.0233154</v>
      </c>
      <c r="H1520">
        <v>1333.5969238</v>
      </c>
      <c r="I1520">
        <v>1329.0621338000001</v>
      </c>
      <c r="J1520">
        <v>1328.3046875</v>
      </c>
      <c r="K1520">
        <v>2400</v>
      </c>
      <c r="L1520">
        <v>0</v>
      </c>
      <c r="M1520">
        <v>0</v>
      </c>
      <c r="N1520">
        <v>2400</v>
      </c>
    </row>
    <row r="1521" spans="1:14" x14ac:dyDescent="0.25">
      <c r="A1521">
        <v>731.19837299999995</v>
      </c>
      <c r="B1521" s="1">
        <f>DATE(2012,5,1) + TIME(4,45,39)</f>
        <v>41030.198368055557</v>
      </c>
      <c r="C1521">
        <v>80</v>
      </c>
      <c r="D1521">
        <v>66.180686950999998</v>
      </c>
      <c r="E1521">
        <v>50</v>
      </c>
      <c r="F1521">
        <v>49.958976745999998</v>
      </c>
      <c r="G1521">
        <v>1335.057251</v>
      </c>
      <c r="H1521">
        <v>1333.6229248</v>
      </c>
      <c r="I1521">
        <v>1329.0620117000001</v>
      </c>
      <c r="J1521">
        <v>1328.3044434000001</v>
      </c>
      <c r="K1521">
        <v>2400</v>
      </c>
      <c r="L1521">
        <v>0</v>
      </c>
      <c r="M1521">
        <v>0</v>
      </c>
      <c r="N1521">
        <v>2400</v>
      </c>
    </row>
    <row r="1522" spans="1:14" x14ac:dyDescent="0.25">
      <c r="A1522">
        <v>731.21948299999997</v>
      </c>
      <c r="B1522" s="1">
        <f>DATE(2012,5,1) + TIME(5,16,3)</f>
        <v>41030.21947916667</v>
      </c>
      <c r="C1522">
        <v>80</v>
      </c>
      <c r="D1522">
        <v>66.829833984000004</v>
      </c>
      <c r="E1522">
        <v>50</v>
      </c>
      <c r="F1522">
        <v>49.957084655999999</v>
      </c>
      <c r="G1522">
        <v>1335.0930175999999</v>
      </c>
      <c r="H1522">
        <v>1333.6499022999999</v>
      </c>
      <c r="I1522">
        <v>1329.0618896000001</v>
      </c>
      <c r="J1522">
        <v>1328.3040771000001</v>
      </c>
      <c r="K1522">
        <v>2400</v>
      </c>
      <c r="L1522">
        <v>0</v>
      </c>
      <c r="M1522">
        <v>0</v>
      </c>
      <c r="N1522">
        <v>2400</v>
      </c>
    </row>
    <row r="1523" spans="1:14" x14ac:dyDescent="0.25">
      <c r="A1523">
        <v>731.24107600000002</v>
      </c>
      <c r="B1523" s="1">
        <f>DATE(2012,5,1) + TIME(5,47,8)</f>
        <v>41030.241064814814</v>
      </c>
      <c r="C1523">
        <v>80</v>
      </c>
      <c r="D1523">
        <v>67.471145629999995</v>
      </c>
      <c r="E1523">
        <v>50</v>
      </c>
      <c r="F1523">
        <v>49.955162047999998</v>
      </c>
      <c r="G1523">
        <v>1335.130249</v>
      </c>
      <c r="H1523">
        <v>1333.6778564000001</v>
      </c>
      <c r="I1523">
        <v>1329.0616454999999</v>
      </c>
      <c r="J1523">
        <v>1328.3038329999999</v>
      </c>
      <c r="K1523">
        <v>2400</v>
      </c>
      <c r="L1523">
        <v>0</v>
      </c>
      <c r="M1523">
        <v>0</v>
      </c>
      <c r="N1523">
        <v>2400</v>
      </c>
    </row>
    <row r="1524" spans="1:14" x14ac:dyDescent="0.25">
      <c r="A1524">
        <v>731.26317700000004</v>
      </c>
      <c r="B1524" s="1">
        <f>DATE(2012,5,1) + TIME(6,18,58)</f>
        <v>41030.263171296298</v>
      </c>
      <c r="C1524">
        <v>80</v>
      </c>
      <c r="D1524">
        <v>68.103950499999996</v>
      </c>
      <c r="E1524">
        <v>50</v>
      </c>
      <c r="F1524">
        <v>49.953205109000002</v>
      </c>
      <c r="G1524">
        <v>1335.1690673999999</v>
      </c>
      <c r="H1524">
        <v>1333.7066649999999</v>
      </c>
      <c r="I1524">
        <v>1329.0615233999999</v>
      </c>
      <c r="J1524">
        <v>1328.3034668</v>
      </c>
      <c r="K1524">
        <v>2400</v>
      </c>
      <c r="L1524">
        <v>0</v>
      </c>
      <c r="M1524">
        <v>0</v>
      </c>
      <c r="N1524">
        <v>2400</v>
      </c>
    </row>
    <row r="1525" spans="1:14" x14ac:dyDescent="0.25">
      <c r="A1525">
        <v>731.28581099999997</v>
      </c>
      <c r="B1525" s="1">
        <f>DATE(2012,5,1) + TIME(6,51,34)</f>
        <v>41030.285810185182</v>
      </c>
      <c r="C1525">
        <v>80</v>
      </c>
      <c r="D1525">
        <v>68.727531432999996</v>
      </c>
      <c r="E1525">
        <v>50</v>
      </c>
      <c r="F1525">
        <v>49.951213836999997</v>
      </c>
      <c r="G1525">
        <v>1335.2092285000001</v>
      </c>
      <c r="H1525">
        <v>1333.7364502</v>
      </c>
      <c r="I1525">
        <v>1329.0612793</v>
      </c>
      <c r="J1525">
        <v>1328.3031006000001</v>
      </c>
      <c r="K1525">
        <v>2400</v>
      </c>
      <c r="L1525">
        <v>0</v>
      </c>
      <c r="M1525">
        <v>0</v>
      </c>
      <c r="N1525">
        <v>2400</v>
      </c>
    </row>
    <row r="1526" spans="1:14" x14ac:dyDescent="0.25">
      <c r="A1526">
        <v>731.30900299999996</v>
      </c>
      <c r="B1526" s="1">
        <f>DATE(2012,5,1) + TIME(7,24,57)</f>
        <v>41030.308993055558</v>
      </c>
      <c r="C1526">
        <v>80</v>
      </c>
      <c r="D1526">
        <v>69.341125488000003</v>
      </c>
      <c r="E1526">
        <v>50</v>
      </c>
      <c r="F1526">
        <v>49.949184418000002</v>
      </c>
      <c r="G1526">
        <v>1335.2508545000001</v>
      </c>
      <c r="H1526">
        <v>1333.7669678</v>
      </c>
      <c r="I1526">
        <v>1329.0611572</v>
      </c>
      <c r="J1526">
        <v>1328.3027344</v>
      </c>
      <c r="K1526">
        <v>2400</v>
      </c>
      <c r="L1526">
        <v>0</v>
      </c>
      <c r="M1526">
        <v>0</v>
      </c>
      <c r="N1526">
        <v>2400</v>
      </c>
    </row>
    <row r="1527" spans="1:14" x14ac:dyDescent="0.25">
      <c r="A1527">
        <v>731.33278299999995</v>
      </c>
      <c r="B1527" s="1">
        <f>DATE(2012,5,1) + TIME(7,59,12)</f>
        <v>41030.332777777781</v>
      </c>
      <c r="C1527">
        <v>80</v>
      </c>
      <c r="D1527">
        <v>69.943946838000002</v>
      </c>
      <c r="E1527">
        <v>50</v>
      </c>
      <c r="F1527">
        <v>49.947116852000001</v>
      </c>
      <c r="G1527">
        <v>1335.2937012</v>
      </c>
      <c r="H1527">
        <v>1333.7983397999999</v>
      </c>
      <c r="I1527">
        <v>1329.0609131000001</v>
      </c>
      <c r="J1527">
        <v>1328.3023682</v>
      </c>
      <c r="K1527">
        <v>2400</v>
      </c>
      <c r="L1527">
        <v>0</v>
      </c>
      <c r="M1527">
        <v>0</v>
      </c>
      <c r="N1527">
        <v>2400</v>
      </c>
    </row>
    <row r="1528" spans="1:14" x14ac:dyDescent="0.25">
      <c r="A1528">
        <v>731.35718199999997</v>
      </c>
      <c r="B1528" s="1">
        <f>DATE(2012,5,1) + TIME(8,34,20)</f>
        <v>41030.357175925928</v>
      </c>
      <c r="C1528">
        <v>80</v>
      </c>
      <c r="D1528">
        <v>70.534782410000005</v>
      </c>
      <c r="E1528">
        <v>50</v>
      </c>
      <c r="F1528">
        <v>49.945007324000002</v>
      </c>
      <c r="G1528">
        <v>1335.3376464999999</v>
      </c>
      <c r="H1528">
        <v>1333.8304443</v>
      </c>
      <c r="I1528">
        <v>1329.0606689000001</v>
      </c>
      <c r="J1528">
        <v>1328.3020019999999</v>
      </c>
      <c r="K1528">
        <v>2400</v>
      </c>
      <c r="L1528">
        <v>0</v>
      </c>
      <c r="M1528">
        <v>0</v>
      </c>
      <c r="N1528">
        <v>2400</v>
      </c>
    </row>
    <row r="1529" spans="1:14" x14ac:dyDescent="0.25">
      <c r="A1529">
        <v>731.38223500000004</v>
      </c>
      <c r="B1529" s="1">
        <f>DATE(2012,5,1) + TIME(9,10,25)</f>
        <v>41030.382233796299</v>
      </c>
      <c r="C1529">
        <v>80</v>
      </c>
      <c r="D1529">
        <v>71.113143921000002</v>
      </c>
      <c r="E1529">
        <v>50</v>
      </c>
      <c r="F1529">
        <v>49.942852019999997</v>
      </c>
      <c r="G1529">
        <v>1335.3826904</v>
      </c>
      <c r="H1529">
        <v>1333.8631591999999</v>
      </c>
      <c r="I1529">
        <v>1329.0604248</v>
      </c>
      <c r="J1529">
        <v>1328.3015137</v>
      </c>
      <c r="K1529">
        <v>2400</v>
      </c>
      <c r="L1529">
        <v>0</v>
      </c>
      <c r="M1529">
        <v>0</v>
      </c>
      <c r="N1529">
        <v>2400</v>
      </c>
    </row>
    <row r="1530" spans="1:14" x14ac:dyDescent="0.25">
      <c r="A1530">
        <v>731.40797799999996</v>
      </c>
      <c r="B1530" s="1">
        <f>DATE(2012,5,1) + TIME(9,47,29)</f>
        <v>41030.40797453704</v>
      </c>
      <c r="C1530">
        <v>80</v>
      </c>
      <c r="D1530">
        <v>71.678222656000003</v>
      </c>
      <c r="E1530">
        <v>50</v>
      </c>
      <c r="F1530">
        <v>49.940654754999997</v>
      </c>
      <c r="G1530">
        <v>1335.4287108999999</v>
      </c>
      <c r="H1530">
        <v>1333.8964844</v>
      </c>
      <c r="I1530">
        <v>1329.0601807</v>
      </c>
      <c r="J1530">
        <v>1328.3010254000001</v>
      </c>
      <c r="K1530">
        <v>2400</v>
      </c>
      <c r="L1530">
        <v>0</v>
      </c>
      <c r="M1530">
        <v>0</v>
      </c>
      <c r="N1530">
        <v>2400</v>
      </c>
    </row>
    <row r="1531" spans="1:14" x14ac:dyDescent="0.25">
      <c r="A1531">
        <v>731.43445999999994</v>
      </c>
      <c r="B1531" s="1">
        <f>DATE(2012,5,1) + TIME(10,25,37)</f>
        <v>41030.43445601852</v>
      </c>
      <c r="C1531">
        <v>80</v>
      </c>
      <c r="D1531">
        <v>72.229293823000006</v>
      </c>
      <c r="E1531">
        <v>50</v>
      </c>
      <c r="F1531">
        <v>49.938404083000002</v>
      </c>
      <c r="G1531">
        <v>1335.4755858999999</v>
      </c>
      <c r="H1531">
        <v>1333.9304199000001</v>
      </c>
      <c r="I1531">
        <v>1329.0598144999999</v>
      </c>
      <c r="J1531">
        <v>1328.3006591999999</v>
      </c>
      <c r="K1531">
        <v>2400</v>
      </c>
      <c r="L1531">
        <v>0</v>
      </c>
      <c r="M1531">
        <v>0</v>
      </c>
      <c r="N1531">
        <v>2400</v>
      </c>
    </row>
    <row r="1532" spans="1:14" x14ac:dyDescent="0.25">
      <c r="A1532">
        <v>731.461726</v>
      </c>
      <c r="B1532" s="1">
        <f>DATE(2012,5,1) + TIME(11,4,53)</f>
        <v>41030.461724537039</v>
      </c>
      <c r="C1532">
        <v>80</v>
      </c>
      <c r="D1532">
        <v>72.765518188000001</v>
      </c>
      <c r="E1532">
        <v>50</v>
      </c>
      <c r="F1532">
        <v>49.936103821000003</v>
      </c>
      <c r="G1532">
        <v>1335.5233154</v>
      </c>
      <c r="H1532">
        <v>1333.9647216999999</v>
      </c>
      <c r="I1532">
        <v>1329.0595702999999</v>
      </c>
      <c r="J1532">
        <v>1328.3001709</v>
      </c>
      <c r="K1532">
        <v>2400</v>
      </c>
      <c r="L1532">
        <v>0</v>
      </c>
      <c r="M1532">
        <v>0</v>
      </c>
      <c r="N1532">
        <v>2400</v>
      </c>
    </row>
    <row r="1533" spans="1:14" x14ac:dyDescent="0.25">
      <c r="A1533">
        <v>731.48982100000001</v>
      </c>
      <c r="B1533" s="1">
        <f>DATE(2012,5,1) + TIME(11,45,20)</f>
        <v>41030.489814814813</v>
      </c>
      <c r="C1533">
        <v>80</v>
      </c>
      <c r="D1533">
        <v>73.285934448000006</v>
      </c>
      <c r="E1533">
        <v>50</v>
      </c>
      <c r="F1533">
        <v>49.933750152999998</v>
      </c>
      <c r="G1533">
        <v>1335.5716553</v>
      </c>
      <c r="H1533">
        <v>1333.9995117000001</v>
      </c>
      <c r="I1533">
        <v>1329.0593262</v>
      </c>
      <c r="J1533">
        <v>1328.2995605000001</v>
      </c>
      <c r="K1533">
        <v>2400</v>
      </c>
      <c r="L1533">
        <v>0</v>
      </c>
      <c r="M1533">
        <v>0</v>
      </c>
      <c r="N1533">
        <v>2400</v>
      </c>
    </row>
    <row r="1534" spans="1:14" x14ac:dyDescent="0.25">
      <c r="A1534">
        <v>731.51879799999995</v>
      </c>
      <c r="B1534" s="1">
        <f>DATE(2012,5,1) + TIME(12,27,4)</f>
        <v>41030.518796296295</v>
      </c>
      <c r="C1534">
        <v>80</v>
      </c>
      <c r="D1534">
        <v>73.789726256999998</v>
      </c>
      <c r="E1534">
        <v>50</v>
      </c>
      <c r="F1534">
        <v>49.931339264000002</v>
      </c>
      <c r="G1534">
        <v>1335.6207274999999</v>
      </c>
      <c r="H1534">
        <v>1334.0345459</v>
      </c>
      <c r="I1534">
        <v>1329.0589600000001</v>
      </c>
      <c r="J1534">
        <v>1328.2990723</v>
      </c>
      <c r="K1534">
        <v>2400</v>
      </c>
      <c r="L1534">
        <v>0</v>
      </c>
      <c r="M1534">
        <v>0</v>
      </c>
      <c r="N1534">
        <v>2400</v>
      </c>
    </row>
    <row r="1535" spans="1:14" x14ac:dyDescent="0.25">
      <c r="A1535">
        <v>731.54871900000001</v>
      </c>
      <c r="B1535" s="1">
        <f>DATE(2012,5,1) + TIME(13,10,9)</f>
        <v>41030.548715277779</v>
      </c>
      <c r="C1535">
        <v>80</v>
      </c>
      <c r="D1535">
        <v>74.276107788000004</v>
      </c>
      <c r="E1535">
        <v>50</v>
      </c>
      <c r="F1535">
        <v>49.928863524999997</v>
      </c>
      <c r="G1535">
        <v>1335.6702881000001</v>
      </c>
      <c r="H1535">
        <v>1334.0699463000001</v>
      </c>
      <c r="I1535">
        <v>1329.0585937999999</v>
      </c>
      <c r="J1535">
        <v>1328.2984618999999</v>
      </c>
      <c r="K1535">
        <v>2400</v>
      </c>
      <c r="L1535">
        <v>0</v>
      </c>
      <c r="M1535">
        <v>0</v>
      </c>
      <c r="N1535">
        <v>2400</v>
      </c>
    </row>
    <row r="1536" spans="1:14" x14ac:dyDescent="0.25">
      <c r="A1536">
        <v>731.57965200000001</v>
      </c>
      <c r="B1536" s="1">
        <f>DATE(2012,5,1) + TIME(13,54,41)</f>
        <v>41030.579641203702</v>
      </c>
      <c r="C1536">
        <v>80</v>
      </c>
      <c r="D1536">
        <v>74.744331360000004</v>
      </c>
      <c r="E1536">
        <v>50</v>
      </c>
      <c r="F1536">
        <v>49.926322937000002</v>
      </c>
      <c r="G1536">
        <v>1335.7202147999999</v>
      </c>
      <c r="H1536">
        <v>1334.1055908000001</v>
      </c>
      <c r="I1536">
        <v>1329.0582274999999</v>
      </c>
      <c r="J1536">
        <v>1328.2979736</v>
      </c>
      <c r="K1536">
        <v>2400</v>
      </c>
      <c r="L1536">
        <v>0</v>
      </c>
      <c r="M1536">
        <v>0</v>
      </c>
      <c r="N1536">
        <v>2400</v>
      </c>
    </row>
    <row r="1537" spans="1:14" x14ac:dyDescent="0.25">
      <c r="A1537">
        <v>731.611673</v>
      </c>
      <c r="B1537" s="1">
        <f>DATE(2012,5,1) + TIME(14,40,48)</f>
        <v>41030.611666666664</v>
      </c>
      <c r="C1537">
        <v>80</v>
      </c>
      <c r="D1537">
        <v>75.193550110000004</v>
      </c>
      <c r="E1537">
        <v>50</v>
      </c>
      <c r="F1537">
        <v>49.923709869</v>
      </c>
      <c r="G1537">
        <v>1335.7705077999999</v>
      </c>
      <c r="H1537">
        <v>1334.1413574000001</v>
      </c>
      <c r="I1537">
        <v>1329.0578613</v>
      </c>
      <c r="J1537">
        <v>1328.2972411999999</v>
      </c>
      <c r="K1537">
        <v>2400</v>
      </c>
      <c r="L1537">
        <v>0</v>
      </c>
      <c r="M1537">
        <v>0</v>
      </c>
      <c r="N1537">
        <v>2400</v>
      </c>
    </row>
    <row r="1538" spans="1:14" x14ac:dyDescent="0.25">
      <c r="A1538">
        <v>731.64486499999998</v>
      </c>
      <c r="B1538" s="1">
        <f>DATE(2012,5,1) + TIME(15,28,36)</f>
        <v>41030.644861111112</v>
      </c>
      <c r="C1538">
        <v>80</v>
      </c>
      <c r="D1538">
        <v>75.623069763000004</v>
      </c>
      <c r="E1538">
        <v>50</v>
      </c>
      <c r="F1538">
        <v>49.921020507999998</v>
      </c>
      <c r="G1538">
        <v>1335.8210449000001</v>
      </c>
      <c r="H1538">
        <v>1334.177124</v>
      </c>
      <c r="I1538">
        <v>1329.0574951000001</v>
      </c>
      <c r="J1538">
        <v>1328.2966309000001</v>
      </c>
      <c r="K1538">
        <v>2400</v>
      </c>
      <c r="L1538">
        <v>0</v>
      </c>
      <c r="M1538">
        <v>0</v>
      </c>
      <c r="N1538">
        <v>2400</v>
      </c>
    </row>
    <row r="1539" spans="1:14" x14ac:dyDescent="0.25">
      <c r="A1539">
        <v>731.67932599999995</v>
      </c>
      <c r="B1539" s="1">
        <f>DATE(2012,5,1) + TIME(16,18,13)</f>
        <v>41030.67931712963</v>
      </c>
      <c r="C1539">
        <v>80</v>
      </c>
      <c r="D1539">
        <v>76.032501221000004</v>
      </c>
      <c r="E1539">
        <v>50</v>
      </c>
      <c r="F1539">
        <v>49.918251038000001</v>
      </c>
      <c r="G1539">
        <v>1335.8718262</v>
      </c>
      <c r="H1539">
        <v>1334.2130127</v>
      </c>
      <c r="I1539">
        <v>1329.0570068</v>
      </c>
      <c r="J1539">
        <v>1328.2960204999999</v>
      </c>
      <c r="K1539">
        <v>2400</v>
      </c>
      <c r="L1539">
        <v>0</v>
      </c>
      <c r="M1539">
        <v>0</v>
      </c>
      <c r="N1539">
        <v>2400</v>
      </c>
    </row>
    <row r="1540" spans="1:14" x14ac:dyDescent="0.25">
      <c r="A1540">
        <v>731.71516299999996</v>
      </c>
      <c r="B1540" s="1">
        <f>DATE(2012,5,1) + TIME(17,9,50)</f>
        <v>41030.715162037035</v>
      </c>
      <c r="C1540">
        <v>80</v>
      </c>
      <c r="D1540">
        <v>76.421325683999996</v>
      </c>
      <c r="E1540">
        <v>50</v>
      </c>
      <c r="F1540">
        <v>49.915390015</v>
      </c>
      <c r="G1540">
        <v>1335.9224853999999</v>
      </c>
      <c r="H1540">
        <v>1334.2487793</v>
      </c>
      <c r="I1540">
        <v>1329.0566406</v>
      </c>
      <c r="J1540">
        <v>1328.2952881000001</v>
      </c>
      <c r="K1540">
        <v>2400</v>
      </c>
      <c r="L1540">
        <v>0</v>
      </c>
      <c r="M1540">
        <v>0</v>
      </c>
      <c r="N1540">
        <v>2400</v>
      </c>
    </row>
    <row r="1541" spans="1:14" x14ac:dyDescent="0.25">
      <c r="A1541">
        <v>731.75250200000005</v>
      </c>
      <c r="B1541" s="1">
        <f>DATE(2012,5,1) + TIME(18,3,36)</f>
        <v>41030.752500000002</v>
      </c>
      <c r="C1541">
        <v>80</v>
      </c>
      <c r="D1541">
        <v>76.789161682</v>
      </c>
      <c r="E1541">
        <v>50</v>
      </c>
      <c r="F1541">
        <v>49.912433624000002</v>
      </c>
      <c r="G1541">
        <v>1335.9731445</v>
      </c>
      <c r="H1541">
        <v>1334.2845459</v>
      </c>
      <c r="I1541">
        <v>1329.0561522999999</v>
      </c>
      <c r="J1541">
        <v>1328.2945557</v>
      </c>
      <c r="K1541">
        <v>2400</v>
      </c>
      <c r="L1541">
        <v>0</v>
      </c>
      <c r="M1541">
        <v>0</v>
      </c>
      <c r="N1541">
        <v>2400</v>
      </c>
    </row>
    <row r="1542" spans="1:14" x14ac:dyDescent="0.25">
      <c r="A1542">
        <v>731.79151100000001</v>
      </c>
      <c r="B1542" s="1">
        <f>DATE(2012,5,1) + TIME(18,59,46)</f>
        <v>41030.791504629633</v>
      </c>
      <c r="C1542">
        <v>80</v>
      </c>
      <c r="D1542">
        <v>77.135833739999995</v>
      </c>
      <c r="E1542">
        <v>50</v>
      </c>
      <c r="F1542">
        <v>49.909366607999999</v>
      </c>
      <c r="G1542">
        <v>1336.0236815999999</v>
      </c>
      <c r="H1542">
        <v>1334.3200684000001</v>
      </c>
      <c r="I1542">
        <v>1329.0556641000001</v>
      </c>
      <c r="J1542">
        <v>1328.2937012</v>
      </c>
      <c r="K1542">
        <v>2400</v>
      </c>
      <c r="L1542">
        <v>0</v>
      </c>
      <c r="M1542">
        <v>0</v>
      </c>
      <c r="N1542">
        <v>2400</v>
      </c>
    </row>
    <row r="1543" spans="1:14" x14ac:dyDescent="0.25">
      <c r="A1543">
        <v>731.83213999999998</v>
      </c>
      <c r="B1543" s="1">
        <f>DATE(2012,5,1) + TIME(19,58,16)</f>
        <v>41030.832129629627</v>
      </c>
      <c r="C1543">
        <v>80</v>
      </c>
      <c r="D1543">
        <v>77.459571838000002</v>
      </c>
      <c r="E1543">
        <v>50</v>
      </c>
      <c r="F1543">
        <v>49.906200409</v>
      </c>
      <c r="G1543">
        <v>1336.0740966999999</v>
      </c>
      <c r="H1543">
        <v>1334.3554687999999</v>
      </c>
      <c r="I1543">
        <v>1329.0550536999999</v>
      </c>
      <c r="J1543">
        <v>1328.2928466999999</v>
      </c>
      <c r="K1543">
        <v>2400</v>
      </c>
      <c r="L1543">
        <v>0</v>
      </c>
      <c r="M1543">
        <v>0</v>
      </c>
      <c r="N1543">
        <v>2400</v>
      </c>
    </row>
    <row r="1544" spans="1:14" x14ac:dyDescent="0.25">
      <c r="A1544">
        <v>731.87445200000002</v>
      </c>
      <c r="B1544" s="1">
        <f>DATE(2012,5,1) + TIME(20,59,12)</f>
        <v>41030.874444444446</v>
      </c>
      <c r="C1544">
        <v>80</v>
      </c>
      <c r="D1544">
        <v>77.759872436999999</v>
      </c>
      <c r="E1544">
        <v>50</v>
      </c>
      <c r="F1544">
        <v>49.902927398999999</v>
      </c>
      <c r="G1544">
        <v>1336.1239014</v>
      </c>
      <c r="H1544">
        <v>1334.3903809000001</v>
      </c>
      <c r="I1544">
        <v>1329.0545654</v>
      </c>
      <c r="J1544">
        <v>1328.2919922000001</v>
      </c>
      <c r="K1544">
        <v>2400</v>
      </c>
      <c r="L1544">
        <v>0</v>
      </c>
      <c r="M1544">
        <v>0</v>
      </c>
      <c r="N1544">
        <v>2400</v>
      </c>
    </row>
    <row r="1545" spans="1:14" x14ac:dyDescent="0.25">
      <c r="A1545">
        <v>731.91857400000004</v>
      </c>
      <c r="B1545" s="1">
        <f>DATE(2012,5,1) + TIME(22,2,44)</f>
        <v>41030.918564814812</v>
      </c>
      <c r="C1545">
        <v>80</v>
      </c>
      <c r="D1545">
        <v>78.036865234000004</v>
      </c>
      <c r="E1545">
        <v>50</v>
      </c>
      <c r="F1545">
        <v>49.899543762</v>
      </c>
      <c r="G1545">
        <v>1336.1730957</v>
      </c>
      <c r="H1545">
        <v>1334.4246826000001</v>
      </c>
      <c r="I1545">
        <v>1329.0539550999999</v>
      </c>
      <c r="J1545">
        <v>1328.2910156</v>
      </c>
      <c r="K1545">
        <v>2400</v>
      </c>
      <c r="L1545">
        <v>0</v>
      </c>
      <c r="M1545">
        <v>0</v>
      </c>
      <c r="N1545">
        <v>2400</v>
      </c>
    </row>
    <row r="1546" spans="1:14" x14ac:dyDescent="0.25">
      <c r="A1546">
        <v>731.96464900000001</v>
      </c>
      <c r="B1546" s="1">
        <f>DATE(2012,5,1) + TIME(23,9,5)</f>
        <v>41030.964641203704</v>
      </c>
      <c r="C1546">
        <v>80</v>
      </c>
      <c r="D1546">
        <v>78.290832519999995</v>
      </c>
      <c r="E1546">
        <v>50</v>
      </c>
      <c r="F1546">
        <v>49.896038054999998</v>
      </c>
      <c r="G1546">
        <v>1336.2213135</v>
      </c>
      <c r="H1546">
        <v>1334.458374</v>
      </c>
      <c r="I1546">
        <v>1329.0533447</v>
      </c>
      <c r="J1546">
        <v>1328.2900391000001</v>
      </c>
      <c r="K1546">
        <v>2400</v>
      </c>
      <c r="L1546">
        <v>0</v>
      </c>
      <c r="M1546">
        <v>0</v>
      </c>
      <c r="N1546">
        <v>2400</v>
      </c>
    </row>
    <row r="1547" spans="1:14" x14ac:dyDescent="0.25">
      <c r="A1547">
        <v>732.012835</v>
      </c>
      <c r="B1547" s="1">
        <f>DATE(2012,5,2) + TIME(0,18,28)</f>
        <v>41031.012824074074</v>
      </c>
      <c r="C1547">
        <v>80</v>
      </c>
      <c r="D1547">
        <v>78.522209167</v>
      </c>
      <c r="E1547">
        <v>50</v>
      </c>
      <c r="F1547">
        <v>49.892402648999997</v>
      </c>
      <c r="G1547">
        <v>1336.2684326000001</v>
      </c>
      <c r="H1547">
        <v>1334.4912108999999</v>
      </c>
      <c r="I1547">
        <v>1329.0526123</v>
      </c>
      <c r="J1547">
        <v>1328.2890625</v>
      </c>
      <c r="K1547">
        <v>2400</v>
      </c>
      <c r="L1547">
        <v>0</v>
      </c>
      <c r="M1547">
        <v>0</v>
      </c>
      <c r="N1547">
        <v>2400</v>
      </c>
    </row>
    <row r="1548" spans="1:14" x14ac:dyDescent="0.25">
      <c r="A1548">
        <v>732.063312</v>
      </c>
      <c r="B1548" s="1">
        <f>DATE(2012,5,2) + TIME(1,31,10)</f>
        <v>41031.063310185185</v>
      </c>
      <c r="C1548">
        <v>80</v>
      </c>
      <c r="D1548">
        <v>78.731590271000002</v>
      </c>
      <c r="E1548">
        <v>50</v>
      </c>
      <c r="F1548">
        <v>49.888629913000003</v>
      </c>
      <c r="G1548">
        <v>1336.3144531</v>
      </c>
      <c r="H1548">
        <v>1334.5233154</v>
      </c>
      <c r="I1548">
        <v>1329.0518798999999</v>
      </c>
      <c r="J1548">
        <v>1328.2879639</v>
      </c>
      <c r="K1548">
        <v>2400</v>
      </c>
      <c r="L1548">
        <v>0</v>
      </c>
      <c r="M1548">
        <v>0</v>
      </c>
      <c r="N1548">
        <v>2400</v>
      </c>
    </row>
    <row r="1549" spans="1:14" x14ac:dyDescent="0.25">
      <c r="A1549">
        <v>732.11628199999996</v>
      </c>
      <c r="B1549" s="1">
        <f>DATE(2012,5,2) + TIME(2,47,26)</f>
        <v>41031.116273148145</v>
      </c>
      <c r="C1549">
        <v>80</v>
      </c>
      <c r="D1549">
        <v>78.919670104999994</v>
      </c>
      <c r="E1549">
        <v>50</v>
      </c>
      <c r="F1549">
        <v>49.884708404999998</v>
      </c>
      <c r="G1549">
        <v>1336.3577881000001</v>
      </c>
      <c r="H1549">
        <v>1334.5535889</v>
      </c>
      <c r="I1549">
        <v>1329.0511475000001</v>
      </c>
      <c r="J1549">
        <v>1328.2868652</v>
      </c>
      <c r="K1549">
        <v>2400</v>
      </c>
      <c r="L1549">
        <v>0</v>
      </c>
      <c r="M1549">
        <v>0</v>
      </c>
      <c r="N1549">
        <v>2400</v>
      </c>
    </row>
    <row r="1550" spans="1:14" x14ac:dyDescent="0.25">
      <c r="A1550">
        <v>732.17201899999998</v>
      </c>
      <c r="B1550" s="1">
        <f>DATE(2012,5,2) + TIME(4,7,42)</f>
        <v>41031.172013888892</v>
      </c>
      <c r="C1550">
        <v>80</v>
      </c>
      <c r="D1550">
        <v>79.087387085000003</v>
      </c>
      <c r="E1550">
        <v>50</v>
      </c>
      <c r="F1550">
        <v>49.880615233999997</v>
      </c>
      <c r="G1550">
        <v>1336.3977050999999</v>
      </c>
      <c r="H1550">
        <v>1334.5812988</v>
      </c>
      <c r="I1550">
        <v>1329.0504149999999</v>
      </c>
      <c r="J1550">
        <v>1328.2856445</v>
      </c>
      <c r="K1550">
        <v>2400</v>
      </c>
      <c r="L1550">
        <v>0</v>
      </c>
      <c r="M1550">
        <v>0</v>
      </c>
      <c r="N1550">
        <v>2400</v>
      </c>
    </row>
    <row r="1551" spans="1:14" x14ac:dyDescent="0.25">
      <c r="A1551">
        <v>732.23088499999994</v>
      </c>
      <c r="B1551" s="1">
        <f>DATE(2012,5,2) + TIME(5,32,28)</f>
        <v>41031.230879629627</v>
      </c>
      <c r="C1551">
        <v>80</v>
      </c>
      <c r="D1551">
        <v>79.235939025999997</v>
      </c>
      <c r="E1551">
        <v>50</v>
      </c>
      <c r="F1551">
        <v>49.876335144000002</v>
      </c>
      <c r="G1551">
        <v>1336.4360352000001</v>
      </c>
      <c r="H1551">
        <v>1334.6081543</v>
      </c>
      <c r="I1551">
        <v>1329.0495605000001</v>
      </c>
      <c r="J1551">
        <v>1328.2843018000001</v>
      </c>
      <c r="K1551">
        <v>2400</v>
      </c>
      <c r="L1551">
        <v>0</v>
      </c>
      <c r="M1551">
        <v>0</v>
      </c>
      <c r="N1551">
        <v>2400</v>
      </c>
    </row>
    <row r="1552" spans="1:14" x14ac:dyDescent="0.25">
      <c r="A1552">
        <v>732.29080499999998</v>
      </c>
      <c r="B1552" s="1">
        <f>DATE(2012,5,2) + TIME(6,58,45)</f>
        <v>41031.290798611109</v>
      </c>
      <c r="C1552">
        <v>80</v>
      </c>
      <c r="D1552">
        <v>79.362167357999994</v>
      </c>
      <c r="E1552">
        <v>50</v>
      </c>
      <c r="F1552">
        <v>49.872013092000003</v>
      </c>
      <c r="G1552">
        <v>1336.4732666</v>
      </c>
      <c r="H1552">
        <v>1334.6341553</v>
      </c>
      <c r="I1552">
        <v>1329.0485839999999</v>
      </c>
      <c r="J1552">
        <v>1328.2829589999999</v>
      </c>
      <c r="K1552">
        <v>2400</v>
      </c>
      <c r="L1552">
        <v>0</v>
      </c>
      <c r="M1552">
        <v>0</v>
      </c>
      <c r="N1552">
        <v>2400</v>
      </c>
    </row>
    <row r="1553" spans="1:14" x14ac:dyDescent="0.25">
      <c r="A1553">
        <v>732.35148500000003</v>
      </c>
      <c r="B1553" s="1">
        <f>DATE(2012,5,2) + TIME(8,26,8)</f>
        <v>41031.351481481484</v>
      </c>
      <c r="C1553">
        <v>80</v>
      </c>
      <c r="D1553">
        <v>79.468421935999999</v>
      </c>
      <c r="E1553">
        <v>50</v>
      </c>
      <c r="F1553">
        <v>49.867671967</v>
      </c>
      <c r="G1553">
        <v>1336.5036620999999</v>
      </c>
      <c r="H1553">
        <v>1334.6555175999999</v>
      </c>
      <c r="I1553">
        <v>1329.0476074000001</v>
      </c>
      <c r="J1553">
        <v>1328.2814940999999</v>
      </c>
      <c r="K1553">
        <v>2400</v>
      </c>
      <c r="L1553">
        <v>0</v>
      </c>
      <c r="M1553">
        <v>0</v>
      </c>
      <c r="N1553">
        <v>2400</v>
      </c>
    </row>
    <row r="1554" spans="1:14" x14ac:dyDescent="0.25">
      <c r="A1554">
        <v>732.41324399999996</v>
      </c>
      <c r="B1554" s="1">
        <f>DATE(2012,5,2) + TIME(9,55,4)</f>
        <v>41031.413240740738</v>
      </c>
      <c r="C1554">
        <v>80</v>
      </c>
      <c r="D1554">
        <v>79.557907103999995</v>
      </c>
      <c r="E1554">
        <v>50</v>
      </c>
      <c r="F1554">
        <v>49.86328125</v>
      </c>
      <c r="G1554">
        <v>1336.5308838000001</v>
      </c>
      <c r="H1554">
        <v>1334.6746826000001</v>
      </c>
      <c r="I1554">
        <v>1329.0466309000001</v>
      </c>
      <c r="J1554">
        <v>1328.2801514</v>
      </c>
      <c r="K1554">
        <v>2400</v>
      </c>
      <c r="L1554">
        <v>0</v>
      </c>
      <c r="M1554">
        <v>0</v>
      </c>
      <c r="N1554">
        <v>2400</v>
      </c>
    </row>
    <row r="1555" spans="1:14" x14ac:dyDescent="0.25">
      <c r="A1555">
        <v>732.476406</v>
      </c>
      <c r="B1555" s="1">
        <f>DATE(2012,5,2) + TIME(11,26,1)</f>
        <v>41031.476400462961</v>
      </c>
      <c r="C1555">
        <v>80</v>
      </c>
      <c r="D1555">
        <v>79.633239746000001</v>
      </c>
      <c r="E1555">
        <v>50</v>
      </c>
      <c r="F1555">
        <v>49.858825684000003</v>
      </c>
      <c r="G1555">
        <v>1336.5557861</v>
      </c>
      <c r="H1555">
        <v>1334.6923827999999</v>
      </c>
      <c r="I1555">
        <v>1329.0456543</v>
      </c>
      <c r="J1555">
        <v>1328.2786865</v>
      </c>
      <c r="K1555">
        <v>2400</v>
      </c>
      <c r="L1555">
        <v>0</v>
      </c>
      <c r="M1555">
        <v>0</v>
      </c>
      <c r="N1555">
        <v>2400</v>
      </c>
    </row>
    <row r="1556" spans="1:14" x14ac:dyDescent="0.25">
      <c r="A1556">
        <v>732.54131099999995</v>
      </c>
      <c r="B1556" s="1">
        <f>DATE(2012,5,2) + TIME(12,59,29)</f>
        <v>41031.541307870371</v>
      </c>
      <c r="C1556">
        <v>80</v>
      </c>
      <c r="D1556">
        <v>79.696594238000003</v>
      </c>
      <c r="E1556">
        <v>50</v>
      </c>
      <c r="F1556">
        <v>49.854286193999997</v>
      </c>
      <c r="G1556">
        <v>1336.5786132999999</v>
      </c>
      <c r="H1556">
        <v>1334.7087402</v>
      </c>
      <c r="I1556">
        <v>1329.0445557</v>
      </c>
      <c r="J1556">
        <v>1328.2770995999999</v>
      </c>
      <c r="K1556">
        <v>2400</v>
      </c>
      <c r="L1556">
        <v>0</v>
      </c>
      <c r="M1556">
        <v>0</v>
      </c>
      <c r="N1556">
        <v>2400</v>
      </c>
    </row>
    <row r="1557" spans="1:14" x14ac:dyDescent="0.25">
      <c r="A1557">
        <v>732.60776099999998</v>
      </c>
      <c r="B1557" s="1">
        <f>DATE(2012,5,2) + TIME(14,35,10)</f>
        <v>41031.607754629629</v>
      </c>
      <c r="C1557">
        <v>80</v>
      </c>
      <c r="D1557">
        <v>79.749397278000004</v>
      </c>
      <c r="E1557">
        <v>50</v>
      </c>
      <c r="F1557">
        <v>49.849670410000002</v>
      </c>
      <c r="G1557">
        <v>1336.5993652</v>
      </c>
      <c r="H1557">
        <v>1334.7237548999999</v>
      </c>
      <c r="I1557">
        <v>1329.0435791</v>
      </c>
      <c r="J1557">
        <v>1328.2755127</v>
      </c>
      <c r="K1557">
        <v>2400</v>
      </c>
      <c r="L1557">
        <v>0</v>
      </c>
      <c r="M1557">
        <v>0</v>
      </c>
      <c r="N1557">
        <v>2400</v>
      </c>
    </row>
    <row r="1558" spans="1:14" x14ac:dyDescent="0.25">
      <c r="A1558">
        <v>732.67467899999997</v>
      </c>
      <c r="B1558" s="1">
        <f>DATE(2012,5,2) + TIME(16,11,32)</f>
        <v>41031.674675925926</v>
      </c>
      <c r="C1558">
        <v>80</v>
      </c>
      <c r="D1558">
        <v>79.792579650999997</v>
      </c>
      <c r="E1558">
        <v>50</v>
      </c>
      <c r="F1558">
        <v>49.845054626</v>
      </c>
      <c r="G1558">
        <v>1336.6141356999999</v>
      </c>
      <c r="H1558">
        <v>1334.7347411999999</v>
      </c>
      <c r="I1558">
        <v>1329.0424805</v>
      </c>
      <c r="J1558">
        <v>1328.2739257999999</v>
      </c>
      <c r="K1558">
        <v>2400</v>
      </c>
      <c r="L1558">
        <v>0</v>
      </c>
      <c r="M1558">
        <v>0</v>
      </c>
      <c r="N1558">
        <v>2400</v>
      </c>
    </row>
    <row r="1559" spans="1:14" x14ac:dyDescent="0.25">
      <c r="A1559">
        <v>732.74236299999995</v>
      </c>
      <c r="B1559" s="1">
        <f>DATE(2012,5,2) + TIME(17,49,0)</f>
        <v>41031.742361111108</v>
      </c>
      <c r="C1559">
        <v>80</v>
      </c>
      <c r="D1559">
        <v>79.827957153</v>
      </c>
      <c r="E1559">
        <v>50</v>
      </c>
      <c r="F1559">
        <v>49.840415954999997</v>
      </c>
      <c r="G1559">
        <v>1336.6273193</v>
      </c>
      <c r="H1559">
        <v>1334.744751</v>
      </c>
      <c r="I1559">
        <v>1329.0412598</v>
      </c>
      <c r="J1559">
        <v>1328.2723389</v>
      </c>
      <c r="K1559">
        <v>2400</v>
      </c>
      <c r="L1559">
        <v>0</v>
      </c>
      <c r="M1559">
        <v>0</v>
      </c>
      <c r="N1559">
        <v>2400</v>
      </c>
    </row>
    <row r="1560" spans="1:14" x14ac:dyDescent="0.25">
      <c r="A1560">
        <v>732.81097999999997</v>
      </c>
      <c r="B1560" s="1">
        <f>DATE(2012,5,2) + TIME(19,27,48)</f>
        <v>41031.810972222222</v>
      </c>
      <c r="C1560">
        <v>80</v>
      </c>
      <c r="D1560">
        <v>79.856933593999997</v>
      </c>
      <c r="E1560">
        <v>50</v>
      </c>
      <c r="F1560">
        <v>49.835742949999997</v>
      </c>
      <c r="G1560">
        <v>1336.6390381000001</v>
      </c>
      <c r="H1560">
        <v>1334.7537841999999</v>
      </c>
      <c r="I1560">
        <v>1329.0401611</v>
      </c>
      <c r="J1560">
        <v>1328.2706298999999</v>
      </c>
      <c r="K1560">
        <v>2400</v>
      </c>
      <c r="L1560">
        <v>0</v>
      </c>
      <c r="M1560">
        <v>0</v>
      </c>
      <c r="N1560">
        <v>2400</v>
      </c>
    </row>
    <row r="1561" spans="1:14" x14ac:dyDescent="0.25">
      <c r="A1561">
        <v>732.88064699999995</v>
      </c>
      <c r="B1561" s="1">
        <f>DATE(2012,5,2) + TIME(21,8,7)</f>
        <v>41031.880636574075</v>
      </c>
      <c r="C1561">
        <v>80</v>
      </c>
      <c r="D1561">
        <v>79.880622864000003</v>
      </c>
      <c r="E1561">
        <v>50</v>
      </c>
      <c r="F1561">
        <v>49.831027984999999</v>
      </c>
      <c r="G1561">
        <v>1336.6494141000001</v>
      </c>
      <c r="H1561">
        <v>1334.7618408000001</v>
      </c>
      <c r="I1561">
        <v>1329.0389404</v>
      </c>
      <c r="J1561">
        <v>1328.269043</v>
      </c>
      <c r="K1561">
        <v>2400</v>
      </c>
      <c r="L1561">
        <v>0</v>
      </c>
      <c r="M1561">
        <v>0</v>
      </c>
      <c r="N1561">
        <v>2400</v>
      </c>
    </row>
    <row r="1562" spans="1:14" x14ac:dyDescent="0.25">
      <c r="A1562">
        <v>732.95152399999995</v>
      </c>
      <c r="B1562" s="1">
        <f>DATE(2012,5,2) + TIME(22,50,11)</f>
        <v>41031.951516203706</v>
      </c>
      <c r="C1562">
        <v>80</v>
      </c>
      <c r="D1562">
        <v>79.899978637999993</v>
      </c>
      <c r="E1562">
        <v>50</v>
      </c>
      <c r="F1562">
        <v>49.826267242</v>
      </c>
      <c r="G1562">
        <v>1336.6584473</v>
      </c>
      <c r="H1562">
        <v>1334.7692870999999</v>
      </c>
      <c r="I1562">
        <v>1329.0377197</v>
      </c>
      <c r="J1562">
        <v>1328.2672118999999</v>
      </c>
      <c r="K1562">
        <v>2400</v>
      </c>
      <c r="L1562">
        <v>0</v>
      </c>
      <c r="M1562">
        <v>0</v>
      </c>
      <c r="N1562">
        <v>2400</v>
      </c>
    </row>
    <row r="1563" spans="1:14" x14ac:dyDescent="0.25">
      <c r="A1563">
        <v>733.02377799999999</v>
      </c>
      <c r="B1563" s="1">
        <f>DATE(2012,5,3) + TIME(0,34,14)</f>
        <v>41032.023773148147</v>
      </c>
      <c r="C1563">
        <v>80</v>
      </c>
      <c r="D1563">
        <v>79.915756225999999</v>
      </c>
      <c r="E1563">
        <v>50</v>
      </c>
      <c r="F1563">
        <v>49.821441649999997</v>
      </c>
      <c r="G1563">
        <v>1336.6663818</v>
      </c>
      <c r="H1563">
        <v>1334.7758789</v>
      </c>
      <c r="I1563">
        <v>1329.036499</v>
      </c>
      <c r="J1563">
        <v>1328.2655029</v>
      </c>
      <c r="K1563">
        <v>2400</v>
      </c>
      <c r="L1563">
        <v>0</v>
      </c>
      <c r="M1563">
        <v>0</v>
      </c>
      <c r="N1563">
        <v>2400</v>
      </c>
    </row>
    <row r="1564" spans="1:14" x14ac:dyDescent="0.25">
      <c r="A1564">
        <v>733.09758699999998</v>
      </c>
      <c r="B1564" s="1">
        <f>DATE(2012,5,3) + TIME(2,20,31)</f>
        <v>41032.097581018519</v>
      </c>
      <c r="C1564">
        <v>80</v>
      </c>
      <c r="D1564">
        <v>79.928596497000001</v>
      </c>
      <c r="E1564">
        <v>50</v>
      </c>
      <c r="F1564">
        <v>49.816543578999998</v>
      </c>
      <c r="G1564">
        <v>1336.6732178</v>
      </c>
      <c r="H1564">
        <v>1334.7818603999999</v>
      </c>
      <c r="I1564">
        <v>1329.0352783000001</v>
      </c>
      <c r="J1564">
        <v>1328.2636719</v>
      </c>
      <c r="K1564">
        <v>2400</v>
      </c>
      <c r="L1564">
        <v>0</v>
      </c>
      <c r="M1564">
        <v>0</v>
      </c>
      <c r="N1564">
        <v>2400</v>
      </c>
    </row>
    <row r="1565" spans="1:14" x14ac:dyDescent="0.25">
      <c r="A1565">
        <v>733.17314399999998</v>
      </c>
      <c r="B1565" s="1">
        <f>DATE(2012,5,3) + TIME(4,9,19)</f>
        <v>41032.173136574071</v>
      </c>
      <c r="C1565">
        <v>80</v>
      </c>
      <c r="D1565">
        <v>79.939033507999994</v>
      </c>
      <c r="E1565">
        <v>50</v>
      </c>
      <c r="F1565">
        <v>49.811561584000003</v>
      </c>
      <c r="G1565">
        <v>1336.6790771000001</v>
      </c>
      <c r="H1565">
        <v>1334.7872314000001</v>
      </c>
      <c r="I1565">
        <v>1329.0339355000001</v>
      </c>
      <c r="J1565">
        <v>1328.2618408000001</v>
      </c>
      <c r="K1565">
        <v>2400</v>
      </c>
      <c r="L1565">
        <v>0</v>
      </c>
      <c r="M1565">
        <v>0</v>
      </c>
      <c r="N1565">
        <v>2400</v>
      </c>
    </row>
    <row r="1566" spans="1:14" x14ac:dyDescent="0.25">
      <c r="A1566">
        <v>733.25065700000005</v>
      </c>
      <c r="B1566" s="1">
        <f>DATE(2012,5,3) + TIME(6,0,56)</f>
        <v>41032.250648148147</v>
      </c>
      <c r="C1566">
        <v>80</v>
      </c>
      <c r="D1566">
        <v>79.947486877000003</v>
      </c>
      <c r="E1566">
        <v>50</v>
      </c>
      <c r="F1566">
        <v>49.806488037000001</v>
      </c>
      <c r="G1566">
        <v>1336.6839600000001</v>
      </c>
      <c r="H1566">
        <v>1334.7919922000001</v>
      </c>
      <c r="I1566">
        <v>1329.0327147999999</v>
      </c>
      <c r="J1566">
        <v>1328.2598877</v>
      </c>
      <c r="K1566">
        <v>2400</v>
      </c>
      <c r="L1566">
        <v>0</v>
      </c>
      <c r="M1566">
        <v>0</v>
      </c>
      <c r="N1566">
        <v>2400</v>
      </c>
    </row>
    <row r="1567" spans="1:14" x14ac:dyDescent="0.25">
      <c r="A1567">
        <v>733.33035800000005</v>
      </c>
      <c r="B1567" s="1">
        <f>DATE(2012,5,3) + TIME(7,55,42)</f>
        <v>41032.330347222225</v>
      </c>
      <c r="C1567">
        <v>80</v>
      </c>
      <c r="D1567">
        <v>79.954307556000003</v>
      </c>
      <c r="E1567">
        <v>50</v>
      </c>
      <c r="F1567">
        <v>49.801303863999998</v>
      </c>
      <c r="G1567">
        <v>1336.6853027</v>
      </c>
      <c r="H1567">
        <v>1334.7945557</v>
      </c>
      <c r="I1567">
        <v>1329.03125</v>
      </c>
      <c r="J1567">
        <v>1328.2579346</v>
      </c>
      <c r="K1567">
        <v>2400</v>
      </c>
      <c r="L1567">
        <v>0</v>
      </c>
      <c r="M1567">
        <v>0</v>
      </c>
      <c r="N1567">
        <v>2400</v>
      </c>
    </row>
    <row r="1568" spans="1:14" x14ac:dyDescent="0.25">
      <c r="A1568">
        <v>733.41258900000003</v>
      </c>
      <c r="B1568" s="1">
        <f>DATE(2012,5,3) + TIME(9,54,7)</f>
        <v>41032.412581018521</v>
      </c>
      <c r="C1568">
        <v>80</v>
      </c>
      <c r="D1568">
        <v>79.959808350000003</v>
      </c>
      <c r="E1568">
        <v>50</v>
      </c>
      <c r="F1568">
        <v>49.795989990000002</v>
      </c>
      <c r="G1568">
        <v>1336.6861572</v>
      </c>
      <c r="H1568">
        <v>1334.7967529</v>
      </c>
      <c r="I1568">
        <v>1329.0299072</v>
      </c>
      <c r="J1568">
        <v>1328.2559814000001</v>
      </c>
      <c r="K1568">
        <v>2400</v>
      </c>
      <c r="L1568">
        <v>0</v>
      </c>
      <c r="M1568">
        <v>0</v>
      </c>
      <c r="N1568">
        <v>2400</v>
      </c>
    </row>
    <row r="1569" spans="1:14" x14ac:dyDescent="0.25">
      <c r="A1569">
        <v>733.49780699999997</v>
      </c>
      <c r="B1569" s="1">
        <f>DATE(2012,5,3) + TIME(11,56,50)</f>
        <v>41032.497800925928</v>
      </c>
      <c r="C1569">
        <v>80</v>
      </c>
      <c r="D1569">
        <v>79.964233398000005</v>
      </c>
      <c r="E1569">
        <v>50</v>
      </c>
      <c r="F1569">
        <v>49.790527343999997</v>
      </c>
      <c r="G1569">
        <v>1336.6865233999999</v>
      </c>
      <c r="H1569">
        <v>1334.7987060999999</v>
      </c>
      <c r="I1569">
        <v>1329.0284423999999</v>
      </c>
      <c r="J1569">
        <v>1328.2537841999999</v>
      </c>
      <c r="K1569">
        <v>2400</v>
      </c>
      <c r="L1569">
        <v>0</v>
      </c>
      <c r="M1569">
        <v>0</v>
      </c>
      <c r="N1569">
        <v>2400</v>
      </c>
    </row>
    <row r="1570" spans="1:14" x14ac:dyDescent="0.25">
      <c r="A1570">
        <v>733.58579199999997</v>
      </c>
      <c r="B1570" s="1">
        <f>DATE(2012,5,3) + TIME(14,3,32)</f>
        <v>41032.585787037038</v>
      </c>
      <c r="C1570">
        <v>80</v>
      </c>
      <c r="D1570">
        <v>79.967758179</v>
      </c>
      <c r="E1570">
        <v>50</v>
      </c>
      <c r="F1570">
        <v>49.784919739000003</v>
      </c>
      <c r="G1570">
        <v>1336.6864014</v>
      </c>
      <c r="H1570">
        <v>1334.8004149999999</v>
      </c>
      <c r="I1570">
        <v>1329.0268555</v>
      </c>
      <c r="J1570">
        <v>1328.2515868999999</v>
      </c>
      <c r="K1570">
        <v>2400</v>
      </c>
      <c r="L1570">
        <v>0</v>
      </c>
      <c r="M1570">
        <v>0</v>
      </c>
      <c r="N1570">
        <v>2400</v>
      </c>
    </row>
    <row r="1571" spans="1:14" x14ac:dyDescent="0.25">
      <c r="A1571">
        <v>733.67629199999999</v>
      </c>
      <c r="B1571" s="1">
        <f>DATE(2012,5,3) + TIME(16,13,51)</f>
        <v>41032.67628472222</v>
      </c>
      <c r="C1571">
        <v>80</v>
      </c>
      <c r="D1571">
        <v>79.970542907999999</v>
      </c>
      <c r="E1571">
        <v>50</v>
      </c>
      <c r="F1571">
        <v>49.779193878000001</v>
      </c>
      <c r="G1571">
        <v>1336.6859131000001</v>
      </c>
      <c r="H1571">
        <v>1334.8018798999999</v>
      </c>
      <c r="I1571">
        <v>1329.0252685999999</v>
      </c>
      <c r="J1571">
        <v>1328.2493896000001</v>
      </c>
      <c r="K1571">
        <v>2400</v>
      </c>
      <c r="L1571">
        <v>0</v>
      </c>
      <c r="M1571">
        <v>0</v>
      </c>
      <c r="N1571">
        <v>2400</v>
      </c>
    </row>
    <row r="1572" spans="1:14" x14ac:dyDescent="0.25">
      <c r="A1572">
        <v>733.76960099999997</v>
      </c>
      <c r="B1572" s="1">
        <f>DATE(2012,5,3) + TIME(18,28,13)</f>
        <v>41032.769594907404</v>
      </c>
      <c r="C1572">
        <v>80</v>
      </c>
      <c r="D1572">
        <v>79.972732543999996</v>
      </c>
      <c r="E1572">
        <v>50</v>
      </c>
      <c r="F1572">
        <v>49.773323058999999</v>
      </c>
      <c r="G1572">
        <v>1336.6849365</v>
      </c>
      <c r="H1572">
        <v>1334.8031006000001</v>
      </c>
      <c r="I1572">
        <v>1329.0236815999999</v>
      </c>
      <c r="J1572">
        <v>1328.2470702999999</v>
      </c>
      <c r="K1572">
        <v>2400</v>
      </c>
      <c r="L1572">
        <v>0</v>
      </c>
      <c r="M1572">
        <v>0</v>
      </c>
      <c r="N1572">
        <v>2400</v>
      </c>
    </row>
    <row r="1573" spans="1:14" x14ac:dyDescent="0.25">
      <c r="A1573">
        <v>733.86601900000005</v>
      </c>
      <c r="B1573" s="1">
        <f>DATE(2012,5,3) + TIME(20,47,4)</f>
        <v>41032.866018518522</v>
      </c>
      <c r="C1573">
        <v>80</v>
      </c>
      <c r="D1573">
        <v>79.974456786999994</v>
      </c>
      <c r="E1573">
        <v>50</v>
      </c>
      <c r="F1573">
        <v>49.767299651999998</v>
      </c>
      <c r="G1573">
        <v>1336.6834716999999</v>
      </c>
      <c r="H1573">
        <v>1334.8041992000001</v>
      </c>
      <c r="I1573">
        <v>1329.0219727000001</v>
      </c>
      <c r="J1573">
        <v>1328.2446289</v>
      </c>
      <c r="K1573">
        <v>2400</v>
      </c>
      <c r="L1573">
        <v>0</v>
      </c>
      <c r="M1573">
        <v>0</v>
      </c>
      <c r="N1573">
        <v>2400</v>
      </c>
    </row>
    <row r="1574" spans="1:14" x14ac:dyDescent="0.25">
      <c r="A1574">
        <v>733.96590700000002</v>
      </c>
      <c r="B1574" s="1">
        <f>DATE(2012,5,3) + TIME(23,10,54)</f>
        <v>41032.965902777774</v>
      </c>
      <c r="C1574">
        <v>80</v>
      </c>
      <c r="D1574">
        <v>79.975807189999998</v>
      </c>
      <c r="E1574">
        <v>50</v>
      </c>
      <c r="F1574">
        <v>49.761104584000002</v>
      </c>
      <c r="G1574">
        <v>1336.6817627</v>
      </c>
      <c r="H1574">
        <v>1334.8050536999999</v>
      </c>
      <c r="I1574">
        <v>1329.0202637</v>
      </c>
      <c r="J1574">
        <v>1328.2421875</v>
      </c>
      <c r="K1574">
        <v>2400</v>
      </c>
      <c r="L1574">
        <v>0</v>
      </c>
      <c r="M1574">
        <v>0</v>
      </c>
      <c r="N1574">
        <v>2400</v>
      </c>
    </row>
    <row r="1575" spans="1:14" x14ac:dyDescent="0.25">
      <c r="A1575">
        <v>734.06967199999997</v>
      </c>
      <c r="B1575" s="1">
        <f>DATE(2012,5,4) + TIME(1,40,19)</f>
        <v>41033.069664351853</v>
      </c>
      <c r="C1575">
        <v>80</v>
      </c>
      <c r="D1575">
        <v>79.976860045999999</v>
      </c>
      <c r="E1575">
        <v>50</v>
      </c>
      <c r="F1575">
        <v>49.754707336000003</v>
      </c>
      <c r="G1575">
        <v>1336.6796875</v>
      </c>
      <c r="H1575">
        <v>1334.8059082</v>
      </c>
      <c r="I1575">
        <v>1329.0184326000001</v>
      </c>
      <c r="J1575">
        <v>1328.2395019999999</v>
      </c>
      <c r="K1575">
        <v>2400</v>
      </c>
      <c r="L1575">
        <v>0</v>
      </c>
      <c r="M1575">
        <v>0</v>
      </c>
      <c r="N1575">
        <v>2400</v>
      </c>
    </row>
    <row r="1576" spans="1:14" x14ac:dyDescent="0.25">
      <c r="A1576">
        <v>734.17791299999999</v>
      </c>
      <c r="B1576" s="1">
        <f>DATE(2012,5,4) + TIME(4,16,11)</f>
        <v>41033.177905092591</v>
      </c>
      <c r="C1576">
        <v>80</v>
      </c>
      <c r="D1576">
        <v>79.977676392000006</v>
      </c>
      <c r="E1576">
        <v>50</v>
      </c>
      <c r="F1576">
        <v>49.748085021999998</v>
      </c>
      <c r="G1576">
        <v>1336.6772461</v>
      </c>
      <c r="H1576">
        <v>1334.8065185999999</v>
      </c>
      <c r="I1576">
        <v>1329.0166016000001</v>
      </c>
      <c r="J1576">
        <v>1328.2368164</v>
      </c>
      <c r="K1576">
        <v>2400</v>
      </c>
      <c r="L1576">
        <v>0</v>
      </c>
      <c r="M1576">
        <v>0</v>
      </c>
      <c r="N1576">
        <v>2400</v>
      </c>
    </row>
    <row r="1577" spans="1:14" x14ac:dyDescent="0.25">
      <c r="A1577">
        <v>734.29164900000001</v>
      </c>
      <c r="B1577" s="1">
        <f>DATE(2012,5,4) + TIME(6,59,58)</f>
        <v>41033.291643518518</v>
      </c>
      <c r="C1577">
        <v>80</v>
      </c>
      <c r="D1577">
        <v>79.978302002000007</v>
      </c>
      <c r="E1577">
        <v>50</v>
      </c>
      <c r="F1577">
        <v>49.741184234999999</v>
      </c>
      <c r="G1577">
        <v>1336.6744385</v>
      </c>
      <c r="H1577">
        <v>1334.8070068</v>
      </c>
      <c r="I1577">
        <v>1329.0145264</v>
      </c>
      <c r="J1577">
        <v>1328.2340088000001</v>
      </c>
      <c r="K1577">
        <v>2400</v>
      </c>
      <c r="L1577">
        <v>0</v>
      </c>
      <c r="M1577">
        <v>0</v>
      </c>
      <c r="N1577">
        <v>2400</v>
      </c>
    </row>
    <row r="1578" spans="1:14" x14ac:dyDescent="0.25">
      <c r="A1578">
        <v>734.41164300000003</v>
      </c>
      <c r="B1578" s="1">
        <f>DATE(2012,5,4) + TIME(9,52,45)</f>
        <v>41033.411631944444</v>
      </c>
      <c r="C1578">
        <v>80</v>
      </c>
      <c r="D1578">
        <v>79.978790282999995</v>
      </c>
      <c r="E1578">
        <v>50</v>
      </c>
      <c r="F1578">
        <v>49.733959198000001</v>
      </c>
      <c r="G1578">
        <v>1336.6712646000001</v>
      </c>
      <c r="H1578">
        <v>1334.807251</v>
      </c>
      <c r="I1578">
        <v>1329.0124512</v>
      </c>
      <c r="J1578">
        <v>1328.2310791</v>
      </c>
      <c r="K1578">
        <v>2400</v>
      </c>
      <c r="L1578">
        <v>0</v>
      </c>
      <c r="M1578">
        <v>0</v>
      </c>
      <c r="N1578">
        <v>2400</v>
      </c>
    </row>
    <row r="1579" spans="1:14" x14ac:dyDescent="0.25">
      <c r="A1579">
        <v>734.53715499999998</v>
      </c>
      <c r="B1579" s="1">
        <f>DATE(2012,5,4) + TIME(12,53,30)</f>
        <v>41033.537152777775</v>
      </c>
      <c r="C1579">
        <v>80</v>
      </c>
      <c r="D1579">
        <v>79.979156493999994</v>
      </c>
      <c r="E1579">
        <v>50</v>
      </c>
      <c r="F1579">
        <v>49.726459503000001</v>
      </c>
      <c r="G1579">
        <v>1336.6678466999999</v>
      </c>
      <c r="H1579">
        <v>1334.8074951000001</v>
      </c>
      <c r="I1579">
        <v>1329.0102539</v>
      </c>
      <c r="J1579">
        <v>1328.2279053</v>
      </c>
      <c r="K1579">
        <v>2400</v>
      </c>
      <c r="L1579">
        <v>0</v>
      </c>
      <c r="M1579">
        <v>0</v>
      </c>
      <c r="N1579">
        <v>2400</v>
      </c>
    </row>
    <row r="1580" spans="1:14" x14ac:dyDescent="0.25">
      <c r="A1580">
        <v>734.66609600000004</v>
      </c>
      <c r="B1580" s="1">
        <f>DATE(2012,5,4) + TIME(15,59,10)</f>
        <v>41033.666087962964</v>
      </c>
      <c r="C1580">
        <v>80</v>
      </c>
      <c r="D1580">
        <v>79.979423522999994</v>
      </c>
      <c r="E1580">
        <v>50</v>
      </c>
      <c r="F1580">
        <v>49.718795776</v>
      </c>
      <c r="G1580">
        <v>1336.6640625</v>
      </c>
      <c r="H1580">
        <v>1334.8076172000001</v>
      </c>
      <c r="I1580">
        <v>1329.0080565999999</v>
      </c>
      <c r="J1580">
        <v>1328.2246094</v>
      </c>
      <c r="K1580">
        <v>2400</v>
      </c>
      <c r="L1580">
        <v>0</v>
      </c>
      <c r="M1580">
        <v>0</v>
      </c>
      <c r="N1580">
        <v>2400</v>
      </c>
    </row>
    <row r="1581" spans="1:14" x14ac:dyDescent="0.25">
      <c r="A1581">
        <v>734.79856500000005</v>
      </c>
      <c r="B1581" s="1">
        <f>DATE(2012,5,4) + TIME(19,9,56)</f>
        <v>41033.798564814817</v>
      </c>
      <c r="C1581">
        <v>80</v>
      </c>
      <c r="D1581">
        <v>79.979621886999993</v>
      </c>
      <c r="E1581">
        <v>50</v>
      </c>
      <c r="F1581">
        <v>49.710964203000003</v>
      </c>
      <c r="G1581">
        <v>1336.6601562000001</v>
      </c>
      <c r="H1581">
        <v>1334.8076172000001</v>
      </c>
      <c r="I1581">
        <v>1329.0056152</v>
      </c>
      <c r="J1581">
        <v>1328.2211914</v>
      </c>
      <c r="K1581">
        <v>2400</v>
      </c>
      <c r="L1581">
        <v>0</v>
      </c>
      <c r="M1581">
        <v>0</v>
      </c>
      <c r="N1581">
        <v>2400</v>
      </c>
    </row>
    <row r="1582" spans="1:14" x14ac:dyDescent="0.25">
      <c r="A1582">
        <v>734.93344100000002</v>
      </c>
      <c r="B1582" s="1">
        <f>DATE(2012,5,4) + TIME(22,24,9)</f>
        <v>41033.933437500003</v>
      </c>
      <c r="C1582">
        <v>80</v>
      </c>
      <c r="D1582">
        <v>79.979759216000005</v>
      </c>
      <c r="E1582">
        <v>50</v>
      </c>
      <c r="F1582">
        <v>49.703022003000001</v>
      </c>
      <c r="G1582">
        <v>1336.6560059000001</v>
      </c>
      <c r="H1582">
        <v>1334.8076172000001</v>
      </c>
      <c r="I1582">
        <v>1329.0031738</v>
      </c>
      <c r="J1582">
        <v>1328.2177733999999</v>
      </c>
      <c r="K1582">
        <v>2400</v>
      </c>
      <c r="L1582">
        <v>0</v>
      </c>
      <c r="M1582">
        <v>0</v>
      </c>
      <c r="N1582">
        <v>2400</v>
      </c>
    </row>
    <row r="1583" spans="1:14" x14ac:dyDescent="0.25">
      <c r="A1583">
        <v>735.06918900000005</v>
      </c>
      <c r="B1583" s="1">
        <f>DATE(2012,5,5) + TIME(1,39,37)</f>
        <v>41034.069178240738</v>
      </c>
      <c r="C1583">
        <v>80</v>
      </c>
      <c r="D1583">
        <v>79.979850768999995</v>
      </c>
      <c r="E1583">
        <v>50</v>
      </c>
      <c r="F1583">
        <v>49.695049286</v>
      </c>
      <c r="G1583">
        <v>1336.6517334</v>
      </c>
      <c r="H1583">
        <v>1334.8074951000001</v>
      </c>
      <c r="I1583">
        <v>1329.0007324000001</v>
      </c>
      <c r="J1583">
        <v>1328.2142334</v>
      </c>
      <c r="K1583">
        <v>2400</v>
      </c>
      <c r="L1583">
        <v>0</v>
      </c>
      <c r="M1583">
        <v>0</v>
      </c>
      <c r="N1583">
        <v>2400</v>
      </c>
    </row>
    <row r="1584" spans="1:14" x14ac:dyDescent="0.25">
      <c r="A1584">
        <v>735.20620899999994</v>
      </c>
      <c r="B1584" s="1">
        <f>DATE(2012,5,5) + TIME(4,56,56)</f>
        <v>41034.206203703703</v>
      </c>
      <c r="C1584">
        <v>80</v>
      </c>
      <c r="D1584">
        <v>79.979919433999996</v>
      </c>
      <c r="E1584">
        <v>50</v>
      </c>
      <c r="F1584">
        <v>49.687030792000002</v>
      </c>
      <c r="G1584">
        <v>1336.6474608999999</v>
      </c>
      <c r="H1584">
        <v>1334.8073730000001</v>
      </c>
      <c r="I1584">
        <v>1328.9982910000001</v>
      </c>
      <c r="J1584">
        <v>1328.2106934000001</v>
      </c>
      <c r="K1584">
        <v>2400</v>
      </c>
      <c r="L1584">
        <v>0</v>
      </c>
      <c r="M1584">
        <v>0</v>
      </c>
      <c r="N1584">
        <v>2400</v>
      </c>
    </row>
    <row r="1585" spans="1:14" x14ac:dyDescent="0.25">
      <c r="A1585">
        <v>735.34490500000004</v>
      </c>
      <c r="B1585" s="1">
        <f>DATE(2012,5,5) + TIME(8,16,39)</f>
        <v>41034.344895833332</v>
      </c>
      <c r="C1585">
        <v>80</v>
      </c>
      <c r="D1585">
        <v>79.979957580999994</v>
      </c>
      <c r="E1585">
        <v>50</v>
      </c>
      <c r="F1585">
        <v>49.678947448999999</v>
      </c>
      <c r="G1585">
        <v>1336.6430664</v>
      </c>
      <c r="H1585">
        <v>1334.8071289</v>
      </c>
      <c r="I1585">
        <v>1328.9957274999999</v>
      </c>
      <c r="J1585">
        <v>1328.2070312000001</v>
      </c>
      <c r="K1585">
        <v>2400</v>
      </c>
      <c r="L1585">
        <v>0</v>
      </c>
      <c r="M1585">
        <v>0</v>
      </c>
      <c r="N1585">
        <v>2400</v>
      </c>
    </row>
    <row r="1586" spans="1:14" x14ac:dyDescent="0.25">
      <c r="A1586">
        <v>735.48467800000003</v>
      </c>
      <c r="B1586" s="1">
        <f>DATE(2012,5,5) + TIME(11,37,56)</f>
        <v>41034.484675925924</v>
      </c>
      <c r="C1586">
        <v>80</v>
      </c>
      <c r="D1586">
        <v>79.979980468999997</v>
      </c>
      <c r="E1586">
        <v>50</v>
      </c>
      <c r="F1586">
        <v>49.670825958000002</v>
      </c>
      <c r="G1586">
        <v>1336.6386719</v>
      </c>
      <c r="H1586">
        <v>1334.8068848</v>
      </c>
      <c r="I1586">
        <v>1328.9931641000001</v>
      </c>
      <c r="J1586">
        <v>1328.2033690999999</v>
      </c>
      <c r="K1586">
        <v>2400</v>
      </c>
      <c r="L1586">
        <v>0</v>
      </c>
      <c r="M1586">
        <v>0</v>
      </c>
      <c r="N1586">
        <v>2400</v>
      </c>
    </row>
    <row r="1587" spans="1:14" x14ac:dyDescent="0.25">
      <c r="A1587">
        <v>735.62586099999999</v>
      </c>
      <c r="B1587" s="1">
        <f>DATE(2012,5,5) + TIME(15,1,14)</f>
        <v>41034.625856481478</v>
      </c>
      <c r="C1587">
        <v>80</v>
      </c>
      <c r="D1587">
        <v>79.979988098000007</v>
      </c>
      <c r="E1587">
        <v>50</v>
      </c>
      <c r="F1587">
        <v>49.662654877000001</v>
      </c>
      <c r="G1587">
        <v>1336.6341553</v>
      </c>
      <c r="H1587">
        <v>1334.8065185999999</v>
      </c>
      <c r="I1587">
        <v>1328.9906006000001</v>
      </c>
      <c r="J1587">
        <v>1328.199707</v>
      </c>
      <c r="K1587">
        <v>2400</v>
      </c>
      <c r="L1587">
        <v>0</v>
      </c>
      <c r="M1587">
        <v>0</v>
      </c>
      <c r="N1587">
        <v>2400</v>
      </c>
    </row>
    <row r="1588" spans="1:14" x14ac:dyDescent="0.25">
      <c r="A1588">
        <v>735.76879699999995</v>
      </c>
      <c r="B1588" s="1">
        <f>DATE(2012,5,5) + TIME(18,27,4)</f>
        <v>41034.768796296295</v>
      </c>
      <c r="C1588">
        <v>80</v>
      </c>
      <c r="D1588">
        <v>79.979980468999997</v>
      </c>
      <c r="E1588">
        <v>50</v>
      </c>
      <c r="F1588">
        <v>49.654415131</v>
      </c>
      <c r="G1588">
        <v>1336.6297606999999</v>
      </c>
      <c r="H1588">
        <v>1334.8062743999999</v>
      </c>
      <c r="I1588">
        <v>1328.9879149999999</v>
      </c>
      <c r="J1588">
        <v>1328.1959228999999</v>
      </c>
      <c r="K1588">
        <v>2400</v>
      </c>
      <c r="L1588">
        <v>0</v>
      </c>
      <c r="M1588">
        <v>0</v>
      </c>
      <c r="N1588">
        <v>2400</v>
      </c>
    </row>
    <row r="1589" spans="1:14" x14ac:dyDescent="0.25">
      <c r="A1589">
        <v>735.91385400000001</v>
      </c>
      <c r="B1589" s="1">
        <f>DATE(2012,5,5) + TIME(21,55,56)</f>
        <v>41034.913842592592</v>
      </c>
      <c r="C1589">
        <v>80</v>
      </c>
      <c r="D1589">
        <v>79.979972838999998</v>
      </c>
      <c r="E1589">
        <v>50</v>
      </c>
      <c r="F1589">
        <v>49.646087645999998</v>
      </c>
      <c r="G1589">
        <v>1336.6252440999999</v>
      </c>
      <c r="H1589">
        <v>1334.8060303</v>
      </c>
      <c r="I1589">
        <v>1328.9852295000001</v>
      </c>
      <c r="J1589">
        <v>1328.1921387</v>
      </c>
      <c r="K1589">
        <v>2400</v>
      </c>
      <c r="L1589">
        <v>0</v>
      </c>
      <c r="M1589">
        <v>0</v>
      </c>
      <c r="N1589">
        <v>2400</v>
      </c>
    </row>
    <row r="1590" spans="1:14" x14ac:dyDescent="0.25">
      <c r="A1590">
        <v>736.06141500000001</v>
      </c>
      <c r="B1590" s="1">
        <f>DATE(2012,5,6) + TIME(1,28,26)</f>
        <v>41035.061412037037</v>
      </c>
      <c r="C1590">
        <v>80</v>
      </c>
      <c r="D1590">
        <v>79.979949950999995</v>
      </c>
      <c r="E1590">
        <v>50</v>
      </c>
      <c r="F1590">
        <v>49.63766098</v>
      </c>
      <c r="G1590">
        <v>1336.6208495999999</v>
      </c>
      <c r="H1590">
        <v>1334.8056641000001</v>
      </c>
      <c r="I1590">
        <v>1328.9825439000001</v>
      </c>
      <c r="J1590">
        <v>1328.1882324000001</v>
      </c>
      <c r="K1590">
        <v>2400</v>
      </c>
      <c r="L1590">
        <v>0</v>
      </c>
      <c r="M1590">
        <v>0</v>
      </c>
      <c r="N1590">
        <v>2400</v>
      </c>
    </row>
    <row r="1591" spans="1:14" x14ac:dyDescent="0.25">
      <c r="A1591">
        <v>736.21188299999994</v>
      </c>
      <c r="B1591" s="1">
        <f>DATE(2012,5,6) + TIME(5,5,6)</f>
        <v>41035.211875000001</v>
      </c>
      <c r="C1591">
        <v>80</v>
      </c>
      <c r="D1591">
        <v>79.979927063000005</v>
      </c>
      <c r="E1591">
        <v>50</v>
      </c>
      <c r="F1591">
        <v>49.629112243999998</v>
      </c>
      <c r="G1591">
        <v>1336.6163329999999</v>
      </c>
      <c r="H1591">
        <v>1334.8054199000001</v>
      </c>
      <c r="I1591">
        <v>1328.9798584</v>
      </c>
      <c r="J1591">
        <v>1328.1843262</v>
      </c>
      <c r="K1591">
        <v>2400</v>
      </c>
      <c r="L1591">
        <v>0</v>
      </c>
      <c r="M1591">
        <v>0</v>
      </c>
      <c r="N1591">
        <v>2400</v>
      </c>
    </row>
    <row r="1592" spans="1:14" x14ac:dyDescent="0.25">
      <c r="A1592">
        <v>736.36568999999997</v>
      </c>
      <c r="B1592" s="1">
        <f>DATE(2012,5,6) + TIME(8,46,35)</f>
        <v>41035.365682870368</v>
      </c>
      <c r="C1592">
        <v>80</v>
      </c>
      <c r="D1592">
        <v>79.979904175000001</v>
      </c>
      <c r="E1592">
        <v>50</v>
      </c>
      <c r="F1592">
        <v>49.620418549</v>
      </c>
      <c r="G1592">
        <v>1336.6118164</v>
      </c>
      <c r="H1592">
        <v>1334.8050536999999</v>
      </c>
      <c r="I1592">
        <v>1328.9770507999999</v>
      </c>
      <c r="J1592">
        <v>1328.1802978999999</v>
      </c>
      <c r="K1592">
        <v>2400</v>
      </c>
      <c r="L1592">
        <v>0</v>
      </c>
      <c r="M1592">
        <v>0</v>
      </c>
      <c r="N1592">
        <v>2400</v>
      </c>
    </row>
    <row r="1593" spans="1:14" x14ac:dyDescent="0.25">
      <c r="A1593">
        <v>736.52332899999999</v>
      </c>
      <c r="B1593" s="1">
        <f>DATE(2012,5,6) + TIME(12,33,35)</f>
        <v>41035.523321759261</v>
      </c>
      <c r="C1593">
        <v>80</v>
      </c>
      <c r="D1593">
        <v>79.979873656999999</v>
      </c>
      <c r="E1593">
        <v>50</v>
      </c>
      <c r="F1593">
        <v>49.611557007000002</v>
      </c>
      <c r="G1593">
        <v>1336.6072998</v>
      </c>
      <c r="H1593">
        <v>1334.8048096</v>
      </c>
      <c r="I1593">
        <v>1328.9741211</v>
      </c>
      <c r="J1593">
        <v>1328.1761475000001</v>
      </c>
      <c r="K1593">
        <v>2400</v>
      </c>
      <c r="L1593">
        <v>0</v>
      </c>
      <c r="M1593">
        <v>0</v>
      </c>
      <c r="N1593">
        <v>2400</v>
      </c>
    </row>
    <row r="1594" spans="1:14" x14ac:dyDescent="0.25">
      <c r="A1594">
        <v>736.68532400000004</v>
      </c>
      <c r="B1594" s="1">
        <f>DATE(2012,5,6) + TIME(16,26,52)</f>
        <v>41035.685324074075</v>
      </c>
      <c r="C1594">
        <v>80</v>
      </c>
      <c r="D1594">
        <v>79.979835510000001</v>
      </c>
      <c r="E1594">
        <v>50</v>
      </c>
      <c r="F1594">
        <v>49.602508544999999</v>
      </c>
      <c r="G1594">
        <v>1336.6026611</v>
      </c>
      <c r="H1594">
        <v>1334.8045654</v>
      </c>
      <c r="I1594">
        <v>1328.9711914</v>
      </c>
      <c r="J1594">
        <v>1328.1719971</v>
      </c>
      <c r="K1594">
        <v>2400</v>
      </c>
      <c r="L1594">
        <v>0</v>
      </c>
      <c r="M1594">
        <v>0</v>
      </c>
      <c r="N1594">
        <v>2400</v>
      </c>
    </row>
    <row r="1595" spans="1:14" x14ac:dyDescent="0.25">
      <c r="A1595">
        <v>736.85224000000005</v>
      </c>
      <c r="B1595" s="1">
        <f>DATE(2012,5,6) + TIME(20,27,13)</f>
        <v>41035.852233796293</v>
      </c>
      <c r="C1595">
        <v>80</v>
      </c>
      <c r="D1595">
        <v>79.979797363000003</v>
      </c>
      <c r="E1595">
        <v>50</v>
      </c>
      <c r="F1595">
        <v>49.593242644999997</v>
      </c>
      <c r="G1595">
        <v>1336.5981445</v>
      </c>
      <c r="H1595">
        <v>1334.8041992000001</v>
      </c>
      <c r="I1595">
        <v>1328.9682617000001</v>
      </c>
      <c r="J1595">
        <v>1328.1676024999999</v>
      </c>
      <c r="K1595">
        <v>2400</v>
      </c>
      <c r="L1595">
        <v>0</v>
      </c>
      <c r="M1595">
        <v>0</v>
      </c>
      <c r="N1595">
        <v>2400</v>
      </c>
    </row>
    <row r="1596" spans="1:14" x14ac:dyDescent="0.25">
      <c r="A1596">
        <v>737.02474299999994</v>
      </c>
      <c r="B1596" s="1">
        <f>DATE(2012,5,7) + TIME(0,35,37)</f>
        <v>41036.024733796294</v>
      </c>
      <c r="C1596">
        <v>80</v>
      </c>
      <c r="D1596">
        <v>79.979759216000005</v>
      </c>
      <c r="E1596">
        <v>50</v>
      </c>
      <c r="F1596">
        <v>49.583728790000002</v>
      </c>
      <c r="G1596">
        <v>1336.5935059000001</v>
      </c>
      <c r="H1596">
        <v>1334.8039550999999</v>
      </c>
      <c r="I1596">
        <v>1328.9650879000001</v>
      </c>
      <c r="J1596">
        <v>1328.1632079999999</v>
      </c>
      <c r="K1596">
        <v>2400</v>
      </c>
      <c r="L1596">
        <v>0</v>
      </c>
      <c r="M1596">
        <v>0</v>
      </c>
      <c r="N1596">
        <v>2400</v>
      </c>
    </row>
    <row r="1597" spans="1:14" x14ac:dyDescent="0.25">
      <c r="A1597">
        <v>737.203577</v>
      </c>
      <c r="B1597" s="1">
        <f>DATE(2012,5,7) + TIME(4,53,9)</f>
        <v>41036.203576388885</v>
      </c>
      <c r="C1597">
        <v>80</v>
      </c>
      <c r="D1597">
        <v>79.979721068999993</v>
      </c>
      <c r="E1597">
        <v>50</v>
      </c>
      <c r="F1597">
        <v>49.573936461999999</v>
      </c>
      <c r="G1597">
        <v>1336.5887451000001</v>
      </c>
      <c r="H1597">
        <v>1334.8037108999999</v>
      </c>
      <c r="I1597">
        <v>1328.9619141000001</v>
      </c>
      <c r="J1597">
        <v>1328.1585693</v>
      </c>
      <c r="K1597">
        <v>2400</v>
      </c>
      <c r="L1597">
        <v>0</v>
      </c>
      <c r="M1597">
        <v>0</v>
      </c>
      <c r="N1597">
        <v>2400</v>
      </c>
    </row>
    <row r="1598" spans="1:14" x14ac:dyDescent="0.25">
      <c r="A1598">
        <v>737.39117499999998</v>
      </c>
      <c r="B1598" s="1">
        <f>DATE(2012,5,7) + TIME(9,23,17)</f>
        <v>41036.391168981485</v>
      </c>
      <c r="C1598">
        <v>80</v>
      </c>
      <c r="D1598">
        <v>79.979675293</v>
      </c>
      <c r="E1598">
        <v>50</v>
      </c>
      <c r="F1598">
        <v>49.563755035</v>
      </c>
      <c r="G1598">
        <v>1336.5841064000001</v>
      </c>
      <c r="H1598">
        <v>1334.8034668</v>
      </c>
      <c r="I1598">
        <v>1328.9584961</v>
      </c>
      <c r="J1598">
        <v>1328.1538086</v>
      </c>
      <c r="K1598">
        <v>2400</v>
      </c>
      <c r="L1598">
        <v>0</v>
      </c>
      <c r="M1598">
        <v>0</v>
      </c>
      <c r="N1598">
        <v>2400</v>
      </c>
    </row>
    <row r="1599" spans="1:14" x14ac:dyDescent="0.25">
      <c r="A1599">
        <v>737.58492699999999</v>
      </c>
      <c r="B1599" s="1">
        <f>DATE(2012,5,7) + TIME(14,2,17)</f>
        <v>41036.584918981483</v>
      </c>
      <c r="C1599">
        <v>80</v>
      </c>
      <c r="D1599">
        <v>79.979629517000006</v>
      </c>
      <c r="E1599">
        <v>50</v>
      </c>
      <c r="F1599">
        <v>49.553298949999999</v>
      </c>
      <c r="G1599">
        <v>1336.5792236</v>
      </c>
      <c r="H1599">
        <v>1334.8032227000001</v>
      </c>
      <c r="I1599">
        <v>1328.9550781</v>
      </c>
      <c r="J1599">
        <v>1328.1488036999999</v>
      </c>
      <c r="K1599">
        <v>2400</v>
      </c>
      <c r="L1599">
        <v>0</v>
      </c>
      <c r="M1599">
        <v>0</v>
      </c>
      <c r="N1599">
        <v>2400</v>
      </c>
    </row>
    <row r="1600" spans="1:14" x14ac:dyDescent="0.25">
      <c r="A1600">
        <v>737.78607699999998</v>
      </c>
      <c r="B1600" s="1">
        <f>DATE(2012,5,7) + TIME(18,51,57)</f>
        <v>41036.786076388889</v>
      </c>
      <c r="C1600">
        <v>80</v>
      </c>
      <c r="D1600">
        <v>79.979576111</v>
      </c>
      <c r="E1600">
        <v>50</v>
      </c>
      <c r="F1600">
        <v>49.542518616000002</v>
      </c>
      <c r="G1600">
        <v>1336.5743408000001</v>
      </c>
      <c r="H1600">
        <v>1334.8029785000001</v>
      </c>
      <c r="I1600">
        <v>1328.9515381000001</v>
      </c>
      <c r="J1600">
        <v>1328.1436768000001</v>
      </c>
      <c r="K1600">
        <v>2400</v>
      </c>
      <c r="L1600">
        <v>0</v>
      </c>
      <c r="M1600">
        <v>0</v>
      </c>
      <c r="N1600">
        <v>2400</v>
      </c>
    </row>
    <row r="1601" spans="1:14" x14ac:dyDescent="0.25">
      <c r="A1601">
        <v>737.99719800000003</v>
      </c>
      <c r="B1601" s="1">
        <f>DATE(2012,5,7) + TIME(23,55,57)</f>
        <v>41036.997187499997</v>
      </c>
      <c r="C1601">
        <v>80</v>
      </c>
      <c r="D1601">
        <v>79.979530334000003</v>
      </c>
      <c r="E1601">
        <v>50</v>
      </c>
      <c r="F1601">
        <v>49.531299591</v>
      </c>
      <c r="G1601">
        <v>1336.5694579999999</v>
      </c>
      <c r="H1601">
        <v>1334.8027344</v>
      </c>
      <c r="I1601">
        <v>1328.9477539</v>
      </c>
      <c r="J1601">
        <v>1328.1383057</v>
      </c>
      <c r="K1601">
        <v>2400</v>
      </c>
      <c r="L1601">
        <v>0</v>
      </c>
      <c r="M1601">
        <v>0</v>
      </c>
      <c r="N1601">
        <v>2400</v>
      </c>
    </row>
    <row r="1602" spans="1:14" x14ac:dyDescent="0.25">
      <c r="A1602">
        <v>738.219695</v>
      </c>
      <c r="B1602" s="1">
        <f>DATE(2012,5,8) + TIME(5,16,21)</f>
        <v>41037.219687500001</v>
      </c>
      <c r="C1602">
        <v>80</v>
      </c>
      <c r="D1602">
        <v>79.979476929</v>
      </c>
      <c r="E1602">
        <v>50</v>
      </c>
      <c r="F1602">
        <v>49.519584655999999</v>
      </c>
      <c r="G1602">
        <v>1336.5645752</v>
      </c>
      <c r="H1602">
        <v>1334.8024902</v>
      </c>
      <c r="I1602">
        <v>1328.9438477000001</v>
      </c>
      <c r="J1602">
        <v>1328.1326904</v>
      </c>
      <c r="K1602">
        <v>2400</v>
      </c>
      <c r="L1602">
        <v>0</v>
      </c>
      <c r="M1602">
        <v>0</v>
      </c>
      <c r="N1602">
        <v>2400</v>
      </c>
    </row>
    <row r="1603" spans="1:14" x14ac:dyDescent="0.25">
      <c r="A1603">
        <v>738.44741799999997</v>
      </c>
      <c r="B1603" s="1">
        <f>DATE(2012,5,8) + TIME(10,44,16)</f>
        <v>41037.44740740741</v>
      </c>
      <c r="C1603">
        <v>80</v>
      </c>
      <c r="D1603">
        <v>79.979423522999994</v>
      </c>
      <c r="E1603">
        <v>50</v>
      </c>
      <c r="F1603">
        <v>49.507633208999998</v>
      </c>
      <c r="G1603">
        <v>1336.5594481999999</v>
      </c>
      <c r="H1603">
        <v>1334.8023682</v>
      </c>
      <c r="I1603">
        <v>1328.9398193</v>
      </c>
      <c r="J1603">
        <v>1328.1268310999999</v>
      </c>
      <c r="K1603">
        <v>2400</v>
      </c>
      <c r="L1603">
        <v>0</v>
      </c>
      <c r="M1603">
        <v>0</v>
      </c>
      <c r="N1603">
        <v>2400</v>
      </c>
    </row>
    <row r="1604" spans="1:14" x14ac:dyDescent="0.25">
      <c r="A1604">
        <v>738.67671700000005</v>
      </c>
      <c r="B1604" s="1">
        <f>DATE(2012,5,8) + TIME(16,14,28)</f>
        <v>41037.676712962966</v>
      </c>
      <c r="C1604">
        <v>80</v>
      </c>
      <c r="D1604">
        <v>79.979370117000002</v>
      </c>
      <c r="E1604">
        <v>50</v>
      </c>
      <c r="F1604">
        <v>49.495609283</v>
      </c>
      <c r="G1604">
        <v>1336.5543213000001</v>
      </c>
      <c r="H1604">
        <v>1334.8022461</v>
      </c>
      <c r="I1604">
        <v>1328.9355469</v>
      </c>
      <c r="J1604">
        <v>1328.1209716999999</v>
      </c>
      <c r="K1604">
        <v>2400</v>
      </c>
      <c r="L1604">
        <v>0</v>
      </c>
      <c r="M1604">
        <v>0</v>
      </c>
      <c r="N1604">
        <v>2400</v>
      </c>
    </row>
    <row r="1605" spans="1:14" x14ac:dyDescent="0.25">
      <c r="A1605">
        <v>738.908411</v>
      </c>
      <c r="B1605" s="1">
        <f>DATE(2012,5,8) + TIME(21,48,6)</f>
        <v>41037.908402777779</v>
      </c>
      <c r="C1605">
        <v>80</v>
      </c>
      <c r="D1605">
        <v>79.979316710999996</v>
      </c>
      <c r="E1605">
        <v>50</v>
      </c>
      <c r="F1605">
        <v>49.483486176</v>
      </c>
      <c r="G1605">
        <v>1336.5494385</v>
      </c>
      <c r="H1605">
        <v>1334.802124</v>
      </c>
      <c r="I1605">
        <v>1328.9313964999999</v>
      </c>
      <c r="J1605">
        <v>1328.1148682</v>
      </c>
      <c r="K1605">
        <v>2400</v>
      </c>
      <c r="L1605">
        <v>0</v>
      </c>
      <c r="M1605">
        <v>0</v>
      </c>
      <c r="N1605">
        <v>2400</v>
      </c>
    </row>
    <row r="1606" spans="1:14" x14ac:dyDescent="0.25">
      <c r="A1606">
        <v>739.14329899999996</v>
      </c>
      <c r="B1606" s="1">
        <f>DATE(2012,5,9) + TIME(3,26,20)</f>
        <v>41038.143287037034</v>
      </c>
      <c r="C1606">
        <v>80</v>
      </c>
      <c r="D1606">
        <v>79.979263306000007</v>
      </c>
      <c r="E1606">
        <v>50</v>
      </c>
      <c r="F1606">
        <v>49.471240997000002</v>
      </c>
      <c r="G1606">
        <v>1336.5446777</v>
      </c>
      <c r="H1606">
        <v>1334.802124</v>
      </c>
      <c r="I1606">
        <v>1328.927124</v>
      </c>
      <c r="J1606">
        <v>1328.1087646000001</v>
      </c>
      <c r="K1606">
        <v>2400</v>
      </c>
      <c r="L1606">
        <v>0</v>
      </c>
      <c r="M1606">
        <v>0</v>
      </c>
      <c r="N1606">
        <v>2400</v>
      </c>
    </row>
    <row r="1607" spans="1:14" x14ac:dyDescent="0.25">
      <c r="A1607">
        <v>739.37892499999998</v>
      </c>
      <c r="B1607" s="1">
        <f>DATE(2012,5,9) + TIME(9,5,39)</f>
        <v>41038.378923611112</v>
      </c>
      <c r="C1607">
        <v>80</v>
      </c>
      <c r="D1607">
        <v>79.979209900000001</v>
      </c>
      <c r="E1607">
        <v>50</v>
      </c>
      <c r="F1607">
        <v>49.458980560000001</v>
      </c>
      <c r="G1607">
        <v>1336.5399170000001</v>
      </c>
      <c r="H1607">
        <v>1334.8020019999999</v>
      </c>
      <c r="I1607">
        <v>1328.9228516000001</v>
      </c>
      <c r="J1607">
        <v>1328.1026611</v>
      </c>
      <c r="K1607">
        <v>2400</v>
      </c>
      <c r="L1607">
        <v>0</v>
      </c>
      <c r="M1607">
        <v>0</v>
      </c>
      <c r="N1607">
        <v>2400</v>
      </c>
    </row>
    <row r="1608" spans="1:14" x14ac:dyDescent="0.25">
      <c r="A1608">
        <v>739.61607700000002</v>
      </c>
      <c r="B1608" s="1">
        <f>DATE(2012,5,9) + TIME(14,47,9)</f>
        <v>41038.616076388891</v>
      </c>
      <c r="C1608">
        <v>80</v>
      </c>
      <c r="D1608">
        <v>79.979156493999994</v>
      </c>
      <c r="E1608">
        <v>50</v>
      </c>
      <c r="F1608">
        <v>49.446681976000001</v>
      </c>
      <c r="G1608">
        <v>1336.5352783000001</v>
      </c>
      <c r="H1608">
        <v>1334.802124</v>
      </c>
      <c r="I1608">
        <v>1328.918457</v>
      </c>
      <c r="J1608">
        <v>1328.0964355000001</v>
      </c>
      <c r="K1608">
        <v>2400</v>
      </c>
      <c r="L1608">
        <v>0</v>
      </c>
      <c r="M1608">
        <v>0</v>
      </c>
      <c r="N1608">
        <v>2400</v>
      </c>
    </row>
    <row r="1609" spans="1:14" x14ac:dyDescent="0.25">
      <c r="A1609">
        <v>739.85542999999996</v>
      </c>
      <c r="B1609" s="1">
        <f>DATE(2012,5,9) + TIME(20,31,49)</f>
        <v>41038.855428240742</v>
      </c>
      <c r="C1609">
        <v>80</v>
      </c>
      <c r="D1609">
        <v>79.979103088000002</v>
      </c>
      <c r="E1609">
        <v>50</v>
      </c>
      <c r="F1609">
        <v>49.434322356999999</v>
      </c>
      <c r="G1609">
        <v>1336.5308838000001</v>
      </c>
      <c r="H1609">
        <v>1334.802124</v>
      </c>
      <c r="I1609">
        <v>1328.9141846</v>
      </c>
      <c r="J1609">
        <v>1328.0902100000001</v>
      </c>
      <c r="K1609">
        <v>2400</v>
      </c>
      <c r="L1609">
        <v>0</v>
      </c>
      <c r="M1609">
        <v>0</v>
      </c>
      <c r="N1609">
        <v>2400</v>
      </c>
    </row>
    <row r="1610" spans="1:14" x14ac:dyDescent="0.25">
      <c r="A1610">
        <v>740.09772899999996</v>
      </c>
      <c r="B1610" s="1">
        <f>DATE(2012,5,10) + TIME(2,20,43)</f>
        <v>41039.097719907404</v>
      </c>
      <c r="C1610">
        <v>80</v>
      </c>
      <c r="D1610">
        <v>79.979049683</v>
      </c>
      <c r="E1610">
        <v>50</v>
      </c>
      <c r="F1610">
        <v>49.421875</v>
      </c>
      <c r="G1610">
        <v>1336.5264893000001</v>
      </c>
      <c r="H1610">
        <v>1334.8022461</v>
      </c>
      <c r="I1610">
        <v>1328.9097899999999</v>
      </c>
      <c r="J1610">
        <v>1328.0839844</v>
      </c>
      <c r="K1610">
        <v>2400</v>
      </c>
      <c r="L1610">
        <v>0</v>
      </c>
      <c r="M1610">
        <v>0</v>
      </c>
      <c r="N1610">
        <v>2400</v>
      </c>
    </row>
    <row r="1611" spans="1:14" x14ac:dyDescent="0.25">
      <c r="A1611">
        <v>740.34375199999999</v>
      </c>
      <c r="B1611" s="1">
        <f>DATE(2012,5,10) + TIME(8,15,0)</f>
        <v>41039.34375</v>
      </c>
      <c r="C1611">
        <v>80</v>
      </c>
      <c r="D1611">
        <v>79.978996276999993</v>
      </c>
      <c r="E1611">
        <v>50</v>
      </c>
      <c r="F1611">
        <v>49.409313202</v>
      </c>
      <c r="G1611">
        <v>1336.5222168</v>
      </c>
      <c r="H1611">
        <v>1334.8023682</v>
      </c>
      <c r="I1611">
        <v>1328.9053954999999</v>
      </c>
      <c r="J1611">
        <v>1328.0776367000001</v>
      </c>
      <c r="K1611">
        <v>2400</v>
      </c>
      <c r="L1611">
        <v>0</v>
      </c>
      <c r="M1611">
        <v>0</v>
      </c>
      <c r="N1611">
        <v>2400</v>
      </c>
    </row>
    <row r="1612" spans="1:14" x14ac:dyDescent="0.25">
      <c r="A1612">
        <v>740.59432300000003</v>
      </c>
      <c r="B1612" s="1">
        <f>DATE(2012,5,10) + TIME(14,15,49)</f>
        <v>41039.594317129631</v>
      </c>
      <c r="C1612">
        <v>80</v>
      </c>
      <c r="D1612">
        <v>79.978950499999996</v>
      </c>
      <c r="E1612">
        <v>50</v>
      </c>
      <c r="F1612">
        <v>49.396598816000001</v>
      </c>
      <c r="G1612">
        <v>1336.5179443</v>
      </c>
      <c r="H1612">
        <v>1334.8023682</v>
      </c>
      <c r="I1612">
        <v>1328.9008789</v>
      </c>
      <c r="J1612">
        <v>1328.0711670000001</v>
      </c>
      <c r="K1612">
        <v>2400</v>
      </c>
      <c r="L1612">
        <v>0</v>
      </c>
      <c r="M1612">
        <v>0</v>
      </c>
      <c r="N1612">
        <v>2400</v>
      </c>
    </row>
    <row r="1613" spans="1:14" x14ac:dyDescent="0.25">
      <c r="A1613">
        <v>740.85029399999996</v>
      </c>
      <c r="B1613" s="1">
        <f>DATE(2012,5,10) + TIME(20,24,25)</f>
        <v>41039.850289351853</v>
      </c>
      <c r="C1613">
        <v>80</v>
      </c>
      <c r="D1613">
        <v>79.978897094999994</v>
      </c>
      <c r="E1613">
        <v>50</v>
      </c>
      <c r="F1613">
        <v>49.383705139</v>
      </c>
      <c r="G1613">
        <v>1336.5137939000001</v>
      </c>
      <c r="H1613">
        <v>1334.8024902</v>
      </c>
      <c r="I1613">
        <v>1328.8963623</v>
      </c>
      <c r="J1613">
        <v>1328.0646973</v>
      </c>
      <c r="K1613">
        <v>2400</v>
      </c>
      <c r="L1613">
        <v>0</v>
      </c>
      <c r="M1613">
        <v>0</v>
      </c>
      <c r="N1613">
        <v>2400</v>
      </c>
    </row>
    <row r="1614" spans="1:14" x14ac:dyDescent="0.25">
      <c r="A1614">
        <v>741.11262899999997</v>
      </c>
      <c r="B1614" s="1">
        <f>DATE(2012,5,11) + TIME(2,42,11)</f>
        <v>41040.112627314818</v>
      </c>
      <c r="C1614">
        <v>80</v>
      </c>
      <c r="D1614">
        <v>79.978843689000001</v>
      </c>
      <c r="E1614">
        <v>50</v>
      </c>
      <c r="F1614">
        <v>49.370586394999997</v>
      </c>
      <c r="G1614">
        <v>1336.5096435999999</v>
      </c>
      <c r="H1614">
        <v>1334.8027344</v>
      </c>
      <c r="I1614">
        <v>1328.8916016000001</v>
      </c>
      <c r="J1614">
        <v>1328.0579834</v>
      </c>
      <c r="K1614">
        <v>2400</v>
      </c>
      <c r="L1614">
        <v>0</v>
      </c>
      <c r="M1614">
        <v>0</v>
      </c>
      <c r="N1614">
        <v>2400</v>
      </c>
    </row>
    <row r="1615" spans="1:14" x14ac:dyDescent="0.25">
      <c r="A1615">
        <v>741.38243399999999</v>
      </c>
      <c r="B1615" s="1">
        <f>DATE(2012,5,11) + TIME(9,10,42)</f>
        <v>41040.382430555554</v>
      </c>
      <c r="C1615">
        <v>80</v>
      </c>
      <c r="D1615">
        <v>79.978790282999995</v>
      </c>
      <c r="E1615">
        <v>50</v>
      </c>
      <c r="F1615">
        <v>49.357208252</v>
      </c>
      <c r="G1615">
        <v>1336.5054932</v>
      </c>
      <c r="H1615">
        <v>1334.8028564000001</v>
      </c>
      <c r="I1615">
        <v>1328.8869629000001</v>
      </c>
      <c r="J1615">
        <v>1328.0512695</v>
      </c>
      <c r="K1615">
        <v>2400</v>
      </c>
      <c r="L1615">
        <v>0</v>
      </c>
      <c r="M1615">
        <v>0</v>
      </c>
      <c r="N1615">
        <v>2400</v>
      </c>
    </row>
    <row r="1616" spans="1:14" x14ac:dyDescent="0.25">
      <c r="A1616">
        <v>741.66091100000006</v>
      </c>
      <c r="B1616" s="1">
        <f>DATE(2012,5,11) + TIME(15,51,42)</f>
        <v>41040.660902777781</v>
      </c>
      <c r="C1616">
        <v>80</v>
      </c>
      <c r="D1616">
        <v>79.978744507000002</v>
      </c>
      <c r="E1616">
        <v>50</v>
      </c>
      <c r="F1616">
        <v>49.343517302999999</v>
      </c>
      <c r="G1616">
        <v>1336.5014647999999</v>
      </c>
      <c r="H1616">
        <v>1334.8029785000001</v>
      </c>
      <c r="I1616">
        <v>1328.8820800999999</v>
      </c>
      <c r="J1616">
        <v>1328.0443115</v>
      </c>
      <c r="K1616">
        <v>2400</v>
      </c>
      <c r="L1616">
        <v>0</v>
      </c>
      <c r="M1616">
        <v>0</v>
      </c>
      <c r="N1616">
        <v>2400</v>
      </c>
    </row>
    <row r="1617" spans="1:14" x14ac:dyDescent="0.25">
      <c r="A1617">
        <v>741.94940899999995</v>
      </c>
      <c r="B1617" s="1">
        <f>DATE(2012,5,11) + TIME(22,47,8)</f>
        <v>41040.94939814815</v>
      </c>
      <c r="C1617">
        <v>80</v>
      </c>
      <c r="D1617">
        <v>79.978691100999995</v>
      </c>
      <c r="E1617">
        <v>50</v>
      </c>
      <c r="F1617">
        <v>49.329460144000002</v>
      </c>
      <c r="G1617">
        <v>1336.4973144999999</v>
      </c>
      <c r="H1617">
        <v>1334.8031006000001</v>
      </c>
      <c r="I1617">
        <v>1328.8770752</v>
      </c>
      <c r="J1617">
        <v>1328.0371094</v>
      </c>
      <c r="K1617">
        <v>2400</v>
      </c>
      <c r="L1617">
        <v>0</v>
      </c>
      <c r="M1617">
        <v>0</v>
      </c>
      <c r="N1617">
        <v>2400</v>
      </c>
    </row>
    <row r="1618" spans="1:14" x14ac:dyDescent="0.25">
      <c r="A1618">
        <v>742.25210200000004</v>
      </c>
      <c r="B1618" s="1">
        <f>DATE(2012,5,12) + TIME(6,3,1)</f>
        <v>41041.25209490741</v>
      </c>
      <c r="C1618">
        <v>80</v>
      </c>
      <c r="D1618">
        <v>79.978637695000003</v>
      </c>
      <c r="E1618">
        <v>50</v>
      </c>
      <c r="F1618">
        <v>49.314884186</v>
      </c>
      <c r="G1618">
        <v>1336.4931641000001</v>
      </c>
      <c r="H1618">
        <v>1334.8033447</v>
      </c>
      <c r="I1618">
        <v>1328.8718262</v>
      </c>
      <c r="J1618">
        <v>1328.0296631000001</v>
      </c>
      <c r="K1618">
        <v>2400</v>
      </c>
      <c r="L1618">
        <v>0</v>
      </c>
      <c r="M1618">
        <v>0</v>
      </c>
      <c r="N1618">
        <v>2400</v>
      </c>
    </row>
    <row r="1619" spans="1:14" x14ac:dyDescent="0.25">
      <c r="A1619">
        <v>742.570245</v>
      </c>
      <c r="B1619" s="1">
        <f>DATE(2012,5,12) + TIME(13,41,9)</f>
        <v>41041.570243055554</v>
      </c>
      <c r="C1619">
        <v>80</v>
      </c>
      <c r="D1619">
        <v>79.978584290000001</v>
      </c>
      <c r="E1619">
        <v>50</v>
      </c>
      <c r="F1619">
        <v>49.299736023000001</v>
      </c>
      <c r="G1619">
        <v>1336.4890137</v>
      </c>
      <c r="H1619">
        <v>1334.8035889</v>
      </c>
      <c r="I1619">
        <v>1328.8664550999999</v>
      </c>
      <c r="J1619">
        <v>1328.0219727000001</v>
      </c>
      <c r="K1619">
        <v>2400</v>
      </c>
      <c r="L1619">
        <v>0</v>
      </c>
      <c r="M1619">
        <v>0</v>
      </c>
      <c r="N1619">
        <v>2400</v>
      </c>
    </row>
    <row r="1620" spans="1:14" x14ac:dyDescent="0.25">
      <c r="A1620">
        <v>742.89983500000005</v>
      </c>
      <c r="B1620" s="1">
        <f>DATE(2012,5,12) + TIME(21,35,45)</f>
        <v>41041.899826388886</v>
      </c>
      <c r="C1620">
        <v>80</v>
      </c>
      <c r="D1620">
        <v>79.978530883999994</v>
      </c>
      <c r="E1620">
        <v>50</v>
      </c>
      <c r="F1620">
        <v>49.284152984999999</v>
      </c>
      <c r="G1620">
        <v>1336.4847411999999</v>
      </c>
      <c r="H1620">
        <v>1334.8038329999999</v>
      </c>
      <c r="I1620">
        <v>1328.8608397999999</v>
      </c>
      <c r="J1620">
        <v>1328.0139160000001</v>
      </c>
      <c r="K1620">
        <v>2400</v>
      </c>
      <c r="L1620">
        <v>0</v>
      </c>
      <c r="M1620">
        <v>0</v>
      </c>
      <c r="N1620">
        <v>2400</v>
      </c>
    </row>
    <row r="1621" spans="1:14" x14ac:dyDescent="0.25">
      <c r="A1621">
        <v>743.23918100000003</v>
      </c>
      <c r="B1621" s="1">
        <f>DATE(2012,5,13) + TIME(5,44,25)</f>
        <v>41042.239178240743</v>
      </c>
      <c r="C1621">
        <v>80</v>
      </c>
      <c r="D1621">
        <v>79.978477478000002</v>
      </c>
      <c r="E1621">
        <v>50</v>
      </c>
      <c r="F1621">
        <v>49.268192290999998</v>
      </c>
      <c r="G1621">
        <v>1336.4804687999999</v>
      </c>
      <c r="H1621">
        <v>1334.8040771000001</v>
      </c>
      <c r="I1621">
        <v>1328.8551024999999</v>
      </c>
      <c r="J1621">
        <v>1328.0057373</v>
      </c>
      <c r="K1621">
        <v>2400</v>
      </c>
      <c r="L1621">
        <v>0</v>
      </c>
      <c r="M1621">
        <v>0</v>
      </c>
      <c r="N1621">
        <v>2400</v>
      </c>
    </row>
    <row r="1622" spans="1:14" x14ac:dyDescent="0.25">
      <c r="A1622">
        <v>743.58237299999996</v>
      </c>
      <c r="B1622" s="1">
        <f>DATE(2012,5,13) + TIME(13,58,37)</f>
        <v>41042.582372685189</v>
      </c>
      <c r="C1622">
        <v>80</v>
      </c>
      <c r="D1622">
        <v>79.978424071999996</v>
      </c>
      <c r="E1622">
        <v>50</v>
      </c>
      <c r="F1622">
        <v>49.252067566000001</v>
      </c>
      <c r="G1622">
        <v>1336.4763184000001</v>
      </c>
      <c r="H1622">
        <v>1334.8044434000001</v>
      </c>
      <c r="I1622">
        <v>1328.8491211</v>
      </c>
      <c r="J1622">
        <v>1327.9971923999999</v>
      </c>
      <c r="K1622">
        <v>2400</v>
      </c>
      <c r="L1622">
        <v>0</v>
      </c>
      <c r="M1622">
        <v>0</v>
      </c>
      <c r="N1622">
        <v>2400</v>
      </c>
    </row>
    <row r="1623" spans="1:14" x14ac:dyDescent="0.25">
      <c r="A1623">
        <v>743.93104700000004</v>
      </c>
      <c r="B1623" s="1">
        <f>DATE(2012,5,13) + TIME(22,20,42)</f>
        <v>41042.931041666663</v>
      </c>
      <c r="C1623">
        <v>80</v>
      </c>
      <c r="D1623">
        <v>79.978370666999993</v>
      </c>
      <c r="E1623">
        <v>50</v>
      </c>
      <c r="F1623">
        <v>49.235752106</v>
      </c>
      <c r="G1623">
        <v>1336.472168</v>
      </c>
      <c r="H1623">
        <v>1334.8048096</v>
      </c>
      <c r="I1623">
        <v>1328.8431396000001</v>
      </c>
      <c r="J1623">
        <v>1327.9886475000001</v>
      </c>
      <c r="K1623">
        <v>2400</v>
      </c>
      <c r="L1623">
        <v>0</v>
      </c>
      <c r="M1623">
        <v>0</v>
      </c>
      <c r="N1623">
        <v>2400</v>
      </c>
    </row>
    <row r="1624" spans="1:14" x14ac:dyDescent="0.25">
      <c r="A1624">
        <v>744.28684299999998</v>
      </c>
      <c r="B1624" s="1">
        <f>DATE(2012,5,14) + TIME(6,53,3)</f>
        <v>41043.286840277775</v>
      </c>
      <c r="C1624">
        <v>80</v>
      </c>
      <c r="D1624">
        <v>79.978317261000001</v>
      </c>
      <c r="E1624">
        <v>50</v>
      </c>
      <c r="F1624">
        <v>49.219203948999997</v>
      </c>
      <c r="G1624">
        <v>1336.4680175999999</v>
      </c>
      <c r="H1624">
        <v>1334.8050536999999</v>
      </c>
      <c r="I1624">
        <v>1328.8370361</v>
      </c>
      <c r="J1624">
        <v>1327.9799805</v>
      </c>
      <c r="K1624">
        <v>2400</v>
      </c>
      <c r="L1624">
        <v>0</v>
      </c>
      <c r="M1624">
        <v>0</v>
      </c>
      <c r="N1624">
        <v>2400</v>
      </c>
    </row>
    <row r="1625" spans="1:14" x14ac:dyDescent="0.25">
      <c r="A1625">
        <v>744.64294299999995</v>
      </c>
      <c r="B1625" s="1">
        <f>DATE(2012,5,14) + TIME(15,25,50)</f>
        <v>41043.642939814818</v>
      </c>
      <c r="C1625">
        <v>80</v>
      </c>
      <c r="D1625">
        <v>79.978263854999994</v>
      </c>
      <c r="E1625">
        <v>50</v>
      </c>
      <c r="F1625">
        <v>49.202659607000001</v>
      </c>
      <c r="G1625">
        <v>1336.4639893000001</v>
      </c>
      <c r="H1625">
        <v>1334.8054199000001</v>
      </c>
      <c r="I1625">
        <v>1328.8309326000001</v>
      </c>
      <c r="J1625">
        <v>1327.9711914</v>
      </c>
      <c r="K1625">
        <v>2400</v>
      </c>
      <c r="L1625">
        <v>0</v>
      </c>
      <c r="M1625">
        <v>0</v>
      </c>
      <c r="N1625">
        <v>2400</v>
      </c>
    </row>
    <row r="1626" spans="1:14" x14ac:dyDescent="0.25">
      <c r="A1626">
        <v>745.00089500000001</v>
      </c>
      <c r="B1626" s="1">
        <f>DATE(2012,5,15) + TIME(0,1,17)</f>
        <v>41044.000891203701</v>
      </c>
      <c r="C1626">
        <v>80</v>
      </c>
      <c r="D1626">
        <v>79.978210449000002</v>
      </c>
      <c r="E1626">
        <v>50</v>
      </c>
      <c r="F1626">
        <v>49.186092377000001</v>
      </c>
      <c r="G1626">
        <v>1336.4600829999999</v>
      </c>
      <c r="H1626">
        <v>1334.8057861</v>
      </c>
      <c r="I1626">
        <v>1328.824707</v>
      </c>
      <c r="J1626">
        <v>1327.9622803</v>
      </c>
      <c r="K1626">
        <v>2400</v>
      </c>
      <c r="L1626">
        <v>0</v>
      </c>
      <c r="M1626">
        <v>0</v>
      </c>
      <c r="N1626">
        <v>2400</v>
      </c>
    </row>
    <row r="1627" spans="1:14" x14ac:dyDescent="0.25">
      <c r="A1627">
        <v>745.36205399999994</v>
      </c>
      <c r="B1627" s="1">
        <f>DATE(2012,5,15) + TIME(8,41,21)</f>
        <v>41044.36204861111</v>
      </c>
      <c r="C1627">
        <v>80</v>
      </c>
      <c r="D1627">
        <v>79.978157042999996</v>
      </c>
      <c r="E1627">
        <v>50</v>
      </c>
      <c r="F1627">
        <v>49.169475554999998</v>
      </c>
      <c r="G1627">
        <v>1336.4562988</v>
      </c>
      <c r="H1627">
        <v>1334.8061522999999</v>
      </c>
      <c r="I1627">
        <v>1328.8184814000001</v>
      </c>
      <c r="J1627">
        <v>1327.9534911999999</v>
      </c>
      <c r="K1627">
        <v>2400</v>
      </c>
      <c r="L1627">
        <v>0</v>
      </c>
      <c r="M1627">
        <v>0</v>
      </c>
      <c r="N1627">
        <v>2400</v>
      </c>
    </row>
    <row r="1628" spans="1:14" x14ac:dyDescent="0.25">
      <c r="A1628">
        <v>745.72790299999997</v>
      </c>
      <c r="B1628" s="1">
        <f>DATE(2012,5,15) + TIME(17,28,10)</f>
        <v>41044.727893518517</v>
      </c>
      <c r="C1628">
        <v>80</v>
      </c>
      <c r="D1628">
        <v>79.978111267000003</v>
      </c>
      <c r="E1628">
        <v>50</v>
      </c>
      <c r="F1628">
        <v>49.152763366999999</v>
      </c>
      <c r="G1628">
        <v>1336.4526367000001</v>
      </c>
      <c r="H1628">
        <v>1334.8065185999999</v>
      </c>
      <c r="I1628">
        <v>1328.8122559000001</v>
      </c>
      <c r="J1628">
        <v>1327.9445800999999</v>
      </c>
      <c r="K1628">
        <v>2400</v>
      </c>
      <c r="L1628">
        <v>0</v>
      </c>
      <c r="M1628">
        <v>0</v>
      </c>
      <c r="N1628">
        <v>2400</v>
      </c>
    </row>
    <row r="1629" spans="1:14" x14ac:dyDescent="0.25">
      <c r="A1629">
        <v>746.10003200000006</v>
      </c>
      <c r="B1629" s="1">
        <f>DATE(2012,5,16) + TIME(2,24,2)</f>
        <v>41045.100023148145</v>
      </c>
      <c r="C1629">
        <v>80</v>
      </c>
      <c r="D1629">
        <v>79.978065490999995</v>
      </c>
      <c r="E1629">
        <v>50</v>
      </c>
      <c r="F1629">
        <v>49.135910033999998</v>
      </c>
      <c r="G1629">
        <v>1336.4489745999999</v>
      </c>
      <c r="H1629">
        <v>1334.8067627</v>
      </c>
      <c r="I1629">
        <v>1328.8060303</v>
      </c>
      <c r="J1629">
        <v>1327.9356689000001</v>
      </c>
      <c r="K1629">
        <v>2400</v>
      </c>
      <c r="L1629">
        <v>0</v>
      </c>
      <c r="M1629">
        <v>0</v>
      </c>
      <c r="N1629">
        <v>2400</v>
      </c>
    </row>
    <row r="1630" spans="1:14" x14ac:dyDescent="0.25">
      <c r="A1630">
        <v>746.48031900000001</v>
      </c>
      <c r="B1630" s="1">
        <f>DATE(2012,5,16) + TIME(11,31,39)</f>
        <v>41045.480312500003</v>
      </c>
      <c r="C1630">
        <v>80</v>
      </c>
      <c r="D1630">
        <v>79.978012085000003</v>
      </c>
      <c r="E1630">
        <v>50</v>
      </c>
      <c r="F1630">
        <v>49.118854523000003</v>
      </c>
      <c r="G1630">
        <v>1336.4454346</v>
      </c>
      <c r="H1630">
        <v>1334.8071289</v>
      </c>
      <c r="I1630">
        <v>1328.7996826000001</v>
      </c>
      <c r="J1630">
        <v>1327.9265137</v>
      </c>
      <c r="K1630">
        <v>2400</v>
      </c>
      <c r="L1630">
        <v>0</v>
      </c>
      <c r="M1630">
        <v>0</v>
      </c>
      <c r="N1630">
        <v>2400</v>
      </c>
    </row>
    <row r="1631" spans="1:14" x14ac:dyDescent="0.25">
      <c r="A1631">
        <v>746.87045599999999</v>
      </c>
      <c r="B1631" s="1">
        <f>DATE(2012,5,16) + TIME(20,53,27)</f>
        <v>41045.870451388888</v>
      </c>
      <c r="C1631">
        <v>80</v>
      </c>
      <c r="D1631">
        <v>79.977966308999996</v>
      </c>
      <c r="E1631">
        <v>50</v>
      </c>
      <c r="F1631">
        <v>49.101531981999997</v>
      </c>
      <c r="G1631">
        <v>1336.4418945</v>
      </c>
      <c r="H1631">
        <v>1334.8074951000001</v>
      </c>
      <c r="I1631">
        <v>1328.7932129000001</v>
      </c>
      <c r="J1631">
        <v>1327.9172363</v>
      </c>
      <c r="K1631">
        <v>2400</v>
      </c>
      <c r="L1631">
        <v>0</v>
      </c>
      <c r="M1631">
        <v>0</v>
      </c>
      <c r="N1631">
        <v>2400</v>
      </c>
    </row>
    <row r="1632" spans="1:14" x14ac:dyDescent="0.25">
      <c r="A1632">
        <v>747.27230499999996</v>
      </c>
      <c r="B1632" s="1">
        <f>DATE(2012,5,17) + TIME(6,32,7)</f>
        <v>41046.272303240738</v>
      </c>
      <c r="C1632">
        <v>80</v>
      </c>
      <c r="D1632">
        <v>79.977920531999999</v>
      </c>
      <c r="E1632">
        <v>50</v>
      </c>
      <c r="F1632">
        <v>49.083881378000001</v>
      </c>
      <c r="G1632">
        <v>1336.4383545000001</v>
      </c>
      <c r="H1632">
        <v>1334.8078613</v>
      </c>
      <c r="I1632">
        <v>1328.7866211</v>
      </c>
      <c r="J1632">
        <v>1327.9078368999999</v>
      </c>
      <c r="K1632">
        <v>2400</v>
      </c>
      <c r="L1632">
        <v>0</v>
      </c>
      <c r="M1632">
        <v>0</v>
      </c>
      <c r="N1632">
        <v>2400</v>
      </c>
    </row>
    <row r="1633" spans="1:14" x14ac:dyDescent="0.25">
      <c r="A1633">
        <v>747.68795699999998</v>
      </c>
      <c r="B1633" s="1">
        <f>DATE(2012,5,17) + TIME(16,30,39)</f>
        <v>41046.687951388885</v>
      </c>
      <c r="C1633">
        <v>80</v>
      </c>
      <c r="D1633">
        <v>79.977874756000006</v>
      </c>
      <c r="E1633">
        <v>50</v>
      </c>
      <c r="F1633">
        <v>49.065826416</v>
      </c>
      <c r="G1633">
        <v>1336.4348144999999</v>
      </c>
      <c r="H1633">
        <v>1334.8082274999999</v>
      </c>
      <c r="I1633">
        <v>1328.7797852000001</v>
      </c>
      <c r="J1633">
        <v>1327.8981934000001</v>
      </c>
      <c r="K1633">
        <v>2400</v>
      </c>
      <c r="L1633">
        <v>0</v>
      </c>
      <c r="M1633">
        <v>0</v>
      </c>
      <c r="N1633">
        <v>2400</v>
      </c>
    </row>
    <row r="1634" spans="1:14" x14ac:dyDescent="0.25">
      <c r="A1634">
        <v>748.11978499999998</v>
      </c>
      <c r="B1634" s="1">
        <f>DATE(2012,5,18) + TIME(2,52,29)</f>
        <v>41047.119780092595</v>
      </c>
      <c r="C1634">
        <v>80</v>
      </c>
      <c r="D1634">
        <v>79.977821349999999</v>
      </c>
      <c r="E1634">
        <v>50</v>
      </c>
      <c r="F1634">
        <v>49.047294616999999</v>
      </c>
      <c r="G1634">
        <v>1336.4312743999999</v>
      </c>
      <c r="H1634">
        <v>1334.8085937999999</v>
      </c>
      <c r="I1634">
        <v>1328.7728271000001</v>
      </c>
      <c r="J1634">
        <v>1327.8883057</v>
      </c>
      <c r="K1634">
        <v>2400</v>
      </c>
      <c r="L1634">
        <v>0</v>
      </c>
      <c r="M1634">
        <v>0</v>
      </c>
      <c r="N1634">
        <v>2400</v>
      </c>
    </row>
    <row r="1635" spans="1:14" x14ac:dyDescent="0.25">
      <c r="A1635">
        <v>748.56892700000003</v>
      </c>
      <c r="B1635" s="1">
        <f>DATE(2012,5,18) + TIME(13,39,15)</f>
        <v>41047.568923611114</v>
      </c>
      <c r="C1635">
        <v>80</v>
      </c>
      <c r="D1635">
        <v>79.977775574000006</v>
      </c>
      <c r="E1635">
        <v>50</v>
      </c>
      <c r="F1635">
        <v>49.028232574</v>
      </c>
      <c r="G1635">
        <v>1336.4277344</v>
      </c>
      <c r="H1635">
        <v>1334.8089600000001</v>
      </c>
      <c r="I1635">
        <v>1328.7657471</v>
      </c>
      <c r="J1635">
        <v>1327.8781738</v>
      </c>
      <c r="K1635">
        <v>2400</v>
      </c>
      <c r="L1635">
        <v>0</v>
      </c>
      <c r="M1635">
        <v>0</v>
      </c>
      <c r="N1635">
        <v>2400</v>
      </c>
    </row>
    <row r="1636" spans="1:14" x14ac:dyDescent="0.25">
      <c r="A1636">
        <v>749.03494499999999</v>
      </c>
      <c r="B1636" s="1">
        <f>DATE(2012,5,19) + TIME(0,50,19)</f>
        <v>41048.034942129627</v>
      </c>
      <c r="C1636">
        <v>80</v>
      </c>
      <c r="D1636">
        <v>79.977729796999995</v>
      </c>
      <c r="E1636">
        <v>50</v>
      </c>
      <c r="F1636">
        <v>49.008644103999998</v>
      </c>
      <c r="G1636">
        <v>1336.4240723</v>
      </c>
      <c r="H1636">
        <v>1334.8093262</v>
      </c>
      <c r="I1636">
        <v>1328.7583007999999</v>
      </c>
      <c r="J1636">
        <v>1327.8676757999999</v>
      </c>
      <c r="K1636">
        <v>2400</v>
      </c>
      <c r="L1636">
        <v>0</v>
      </c>
      <c r="M1636">
        <v>0</v>
      </c>
      <c r="N1636">
        <v>2400</v>
      </c>
    </row>
    <row r="1637" spans="1:14" x14ac:dyDescent="0.25">
      <c r="A1637">
        <v>749.52873199999999</v>
      </c>
      <c r="B1637" s="1">
        <f>DATE(2012,5,19) + TIME(12,41,22)</f>
        <v>41048.528726851851</v>
      </c>
      <c r="C1637">
        <v>80</v>
      </c>
      <c r="D1637">
        <v>79.977684021000002</v>
      </c>
      <c r="E1637">
        <v>50</v>
      </c>
      <c r="F1637">
        <v>48.988235474</v>
      </c>
      <c r="G1637">
        <v>1336.4205322</v>
      </c>
      <c r="H1637">
        <v>1334.8098144999999</v>
      </c>
      <c r="I1637">
        <v>1328.7507324000001</v>
      </c>
      <c r="J1637">
        <v>1327.8566894999999</v>
      </c>
      <c r="K1637">
        <v>2400</v>
      </c>
      <c r="L1637">
        <v>0</v>
      </c>
      <c r="M1637">
        <v>0</v>
      </c>
      <c r="N1637">
        <v>2400</v>
      </c>
    </row>
    <row r="1638" spans="1:14" x14ac:dyDescent="0.25">
      <c r="A1638">
        <v>750.04039399999999</v>
      </c>
      <c r="B1638" s="1">
        <f>DATE(2012,5,20) + TIME(0,58,10)</f>
        <v>41049.040393518517</v>
      </c>
      <c r="C1638">
        <v>80</v>
      </c>
      <c r="D1638">
        <v>79.977630614999995</v>
      </c>
      <c r="E1638">
        <v>50</v>
      </c>
      <c r="F1638">
        <v>48.967220306000002</v>
      </c>
      <c r="G1638">
        <v>1336.4168701000001</v>
      </c>
      <c r="H1638">
        <v>1334.8101807</v>
      </c>
      <c r="I1638">
        <v>1328.7426757999999</v>
      </c>
      <c r="J1638">
        <v>1327.8453368999999</v>
      </c>
      <c r="K1638">
        <v>2400</v>
      </c>
      <c r="L1638">
        <v>0</v>
      </c>
      <c r="M1638">
        <v>0</v>
      </c>
      <c r="N1638">
        <v>2400</v>
      </c>
    </row>
    <row r="1639" spans="1:14" x14ac:dyDescent="0.25">
      <c r="A1639">
        <v>750.56412399999999</v>
      </c>
      <c r="B1639" s="1">
        <f>DATE(2012,5,20) + TIME(13,32,20)</f>
        <v>41049.564120370371</v>
      </c>
      <c r="C1639">
        <v>80</v>
      </c>
      <c r="D1639">
        <v>79.977584839000002</v>
      </c>
      <c r="E1639">
        <v>50</v>
      </c>
      <c r="F1639">
        <v>48.945777892999999</v>
      </c>
      <c r="G1639">
        <v>1336.4130858999999</v>
      </c>
      <c r="H1639">
        <v>1334.8105469</v>
      </c>
      <c r="I1639">
        <v>1328.7344971</v>
      </c>
      <c r="J1639">
        <v>1327.8336182</v>
      </c>
      <c r="K1639">
        <v>2400</v>
      </c>
      <c r="L1639">
        <v>0</v>
      </c>
      <c r="M1639">
        <v>0</v>
      </c>
      <c r="N1639">
        <v>2400</v>
      </c>
    </row>
    <row r="1640" spans="1:14" x14ac:dyDescent="0.25">
      <c r="A1640">
        <v>751.09955100000002</v>
      </c>
      <c r="B1640" s="1">
        <f>DATE(2012,5,21) + TIME(2,23,21)</f>
        <v>41050.099548611113</v>
      </c>
      <c r="C1640">
        <v>80</v>
      </c>
      <c r="D1640">
        <v>79.977531432999996</v>
      </c>
      <c r="E1640">
        <v>50</v>
      </c>
      <c r="F1640">
        <v>48.923957825000002</v>
      </c>
      <c r="G1640">
        <v>1336.4094238</v>
      </c>
      <c r="H1640">
        <v>1334.8110352000001</v>
      </c>
      <c r="I1640">
        <v>1328.7260742000001</v>
      </c>
      <c r="J1640">
        <v>1327.8217772999999</v>
      </c>
      <c r="K1640">
        <v>2400</v>
      </c>
      <c r="L1640">
        <v>0</v>
      </c>
      <c r="M1640">
        <v>0</v>
      </c>
      <c r="N1640">
        <v>2400</v>
      </c>
    </row>
    <row r="1641" spans="1:14" x14ac:dyDescent="0.25">
      <c r="A1641">
        <v>751.36963900000001</v>
      </c>
      <c r="B1641" s="1">
        <f>DATE(2012,5,21) + TIME(8,52,16)</f>
        <v>41050.369629629633</v>
      </c>
      <c r="C1641">
        <v>80</v>
      </c>
      <c r="D1641">
        <v>79.977493285999998</v>
      </c>
      <c r="E1641">
        <v>50</v>
      </c>
      <c r="F1641">
        <v>48.910430908000002</v>
      </c>
      <c r="G1641">
        <v>1336.4058838000001</v>
      </c>
      <c r="H1641">
        <v>1334.8115233999999</v>
      </c>
      <c r="I1641">
        <v>1328.7181396000001</v>
      </c>
      <c r="J1641">
        <v>1327.8106689000001</v>
      </c>
      <c r="K1641">
        <v>2400</v>
      </c>
      <c r="L1641">
        <v>0</v>
      </c>
      <c r="M1641">
        <v>0</v>
      </c>
      <c r="N1641">
        <v>2400</v>
      </c>
    </row>
    <row r="1642" spans="1:14" x14ac:dyDescent="0.25">
      <c r="A1642">
        <v>751.63972799999999</v>
      </c>
      <c r="B1642" s="1">
        <f>DATE(2012,5,21) + TIME(15,21,12)</f>
        <v>41050.639722222222</v>
      </c>
      <c r="C1642">
        <v>80</v>
      </c>
      <c r="D1642">
        <v>79.977462768999999</v>
      </c>
      <c r="E1642">
        <v>50</v>
      </c>
      <c r="F1642">
        <v>48.897491455000001</v>
      </c>
      <c r="G1642">
        <v>1336.4041748</v>
      </c>
      <c r="H1642">
        <v>1334.8116454999999</v>
      </c>
      <c r="I1642">
        <v>1328.7132568</v>
      </c>
      <c r="J1642">
        <v>1327.8035889</v>
      </c>
      <c r="K1642">
        <v>2400</v>
      </c>
      <c r="L1642">
        <v>0</v>
      </c>
      <c r="M1642">
        <v>0</v>
      </c>
      <c r="N1642">
        <v>2400</v>
      </c>
    </row>
    <row r="1643" spans="1:14" x14ac:dyDescent="0.25">
      <c r="A1643">
        <v>752.17990599999996</v>
      </c>
      <c r="B1643" s="1">
        <f>DATE(2012,5,22) + TIME(4,19,3)</f>
        <v>41051.179895833331</v>
      </c>
      <c r="C1643">
        <v>80</v>
      </c>
      <c r="D1643">
        <v>79.977432250999996</v>
      </c>
      <c r="E1643">
        <v>50</v>
      </c>
      <c r="F1643">
        <v>48.877231598000002</v>
      </c>
      <c r="G1643">
        <v>1336.4023437999999</v>
      </c>
      <c r="H1643">
        <v>1334.8118896000001</v>
      </c>
      <c r="I1643">
        <v>1328.7080077999999</v>
      </c>
      <c r="J1643">
        <v>1327.7957764</v>
      </c>
      <c r="K1643">
        <v>2400</v>
      </c>
      <c r="L1643">
        <v>0</v>
      </c>
      <c r="M1643">
        <v>0</v>
      </c>
      <c r="N1643">
        <v>2400</v>
      </c>
    </row>
    <row r="1644" spans="1:14" x14ac:dyDescent="0.25">
      <c r="A1644">
        <v>752.72126000000003</v>
      </c>
      <c r="B1644" s="1">
        <f>DATE(2012,5,22) + TIME(17,18,36)</f>
        <v>41051.721250000002</v>
      </c>
      <c r="C1644">
        <v>80</v>
      </c>
      <c r="D1644">
        <v>79.977394103999998</v>
      </c>
      <c r="E1644">
        <v>50</v>
      </c>
      <c r="F1644">
        <v>48.856395720999998</v>
      </c>
      <c r="G1644">
        <v>1336.3990478999999</v>
      </c>
      <c r="H1644">
        <v>1334.8122559000001</v>
      </c>
      <c r="I1644">
        <v>1328.6998291</v>
      </c>
      <c r="J1644">
        <v>1327.7843018000001</v>
      </c>
      <c r="K1644">
        <v>2400</v>
      </c>
      <c r="L1644">
        <v>0</v>
      </c>
      <c r="M1644">
        <v>0</v>
      </c>
      <c r="N1644">
        <v>2400</v>
      </c>
    </row>
    <row r="1645" spans="1:14" x14ac:dyDescent="0.25">
      <c r="A1645">
        <v>753.268148</v>
      </c>
      <c r="B1645" s="1">
        <f>DATE(2012,5,23) + TIME(6,26,8)</f>
        <v>41052.268148148149</v>
      </c>
      <c r="C1645">
        <v>80</v>
      </c>
      <c r="D1645">
        <v>79.977348328000005</v>
      </c>
      <c r="E1645">
        <v>50</v>
      </c>
      <c r="F1645">
        <v>48.835144043</v>
      </c>
      <c r="G1645">
        <v>1336.3956298999999</v>
      </c>
      <c r="H1645">
        <v>1334.8126221</v>
      </c>
      <c r="I1645">
        <v>1328.6915283000001</v>
      </c>
      <c r="J1645">
        <v>1327.7724608999999</v>
      </c>
      <c r="K1645">
        <v>2400</v>
      </c>
      <c r="L1645">
        <v>0</v>
      </c>
      <c r="M1645">
        <v>0</v>
      </c>
      <c r="N1645">
        <v>2400</v>
      </c>
    </row>
    <row r="1646" spans="1:14" x14ac:dyDescent="0.25">
      <c r="A1646">
        <v>753.82309299999997</v>
      </c>
      <c r="B1646" s="1">
        <f>DATE(2012,5,23) + TIME(19,45,15)</f>
        <v>41052.82309027778</v>
      </c>
      <c r="C1646">
        <v>80</v>
      </c>
      <c r="D1646">
        <v>79.977310181000007</v>
      </c>
      <c r="E1646">
        <v>50</v>
      </c>
      <c r="F1646">
        <v>48.813568115000002</v>
      </c>
      <c r="G1646">
        <v>1336.3924560999999</v>
      </c>
      <c r="H1646">
        <v>1334.8129882999999</v>
      </c>
      <c r="I1646">
        <v>1328.6831055</v>
      </c>
      <c r="J1646">
        <v>1327.7604980000001</v>
      </c>
      <c r="K1646">
        <v>2400</v>
      </c>
      <c r="L1646">
        <v>0</v>
      </c>
      <c r="M1646">
        <v>0</v>
      </c>
      <c r="N1646">
        <v>2400</v>
      </c>
    </row>
    <row r="1647" spans="1:14" x14ac:dyDescent="0.25">
      <c r="A1647">
        <v>754.388824</v>
      </c>
      <c r="B1647" s="1">
        <f>DATE(2012,5,24) + TIME(9,19,54)</f>
        <v>41053.388819444444</v>
      </c>
      <c r="C1647">
        <v>80</v>
      </c>
      <c r="D1647">
        <v>79.977264403999996</v>
      </c>
      <c r="E1647">
        <v>50</v>
      </c>
      <c r="F1647">
        <v>48.791675568000002</v>
      </c>
      <c r="G1647">
        <v>1336.3892822</v>
      </c>
      <c r="H1647">
        <v>1334.8133545000001</v>
      </c>
      <c r="I1647">
        <v>1328.6745605000001</v>
      </c>
      <c r="J1647">
        <v>1327.7482910000001</v>
      </c>
      <c r="K1647">
        <v>2400</v>
      </c>
      <c r="L1647">
        <v>0</v>
      </c>
      <c r="M1647">
        <v>0</v>
      </c>
      <c r="N1647">
        <v>2400</v>
      </c>
    </row>
    <row r="1648" spans="1:14" x14ac:dyDescent="0.25">
      <c r="A1648">
        <v>754.96823199999994</v>
      </c>
      <c r="B1648" s="1">
        <f>DATE(2012,5,24) + TIME(23,14,15)</f>
        <v>41053.968229166669</v>
      </c>
      <c r="C1648">
        <v>80</v>
      </c>
      <c r="D1648">
        <v>79.977226256999998</v>
      </c>
      <c r="E1648">
        <v>50</v>
      </c>
      <c r="F1648">
        <v>48.769439697000003</v>
      </c>
      <c r="G1648">
        <v>1336.3862305</v>
      </c>
      <c r="H1648">
        <v>1334.8137207</v>
      </c>
      <c r="I1648">
        <v>1328.6658935999999</v>
      </c>
      <c r="J1648">
        <v>1327.7359618999999</v>
      </c>
      <c r="K1648">
        <v>2400</v>
      </c>
      <c r="L1648">
        <v>0</v>
      </c>
      <c r="M1648">
        <v>0</v>
      </c>
      <c r="N1648">
        <v>2400</v>
      </c>
    </row>
    <row r="1649" spans="1:14" x14ac:dyDescent="0.25">
      <c r="A1649">
        <v>755.56447600000001</v>
      </c>
      <c r="B1649" s="1">
        <f>DATE(2012,5,25) + TIME(13,32,50)</f>
        <v>41054.564467592594</v>
      </c>
      <c r="C1649">
        <v>80</v>
      </c>
      <c r="D1649">
        <v>79.97718811</v>
      </c>
      <c r="E1649">
        <v>50</v>
      </c>
      <c r="F1649">
        <v>48.746799469000003</v>
      </c>
      <c r="G1649">
        <v>1336.3830565999999</v>
      </c>
      <c r="H1649">
        <v>1334.8140868999999</v>
      </c>
      <c r="I1649">
        <v>1328.6569824000001</v>
      </c>
      <c r="J1649">
        <v>1327.7233887</v>
      </c>
      <c r="K1649">
        <v>2400</v>
      </c>
      <c r="L1649">
        <v>0</v>
      </c>
      <c r="M1649">
        <v>0</v>
      </c>
      <c r="N1649">
        <v>2400</v>
      </c>
    </row>
    <row r="1650" spans="1:14" x14ac:dyDescent="0.25">
      <c r="A1650">
        <v>756.18102299999998</v>
      </c>
      <c r="B1650" s="1">
        <f>DATE(2012,5,26) + TIME(4,20,40)</f>
        <v>41055.181018518517</v>
      </c>
      <c r="C1650">
        <v>80</v>
      </c>
      <c r="D1650">
        <v>79.977149963000002</v>
      </c>
      <c r="E1650">
        <v>50</v>
      </c>
      <c r="F1650">
        <v>48.723670959000003</v>
      </c>
      <c r="G1650">
        <v>1336.3800048999999</v>
      </c>
      <c r="H1650">
        <v>1334.8144531</v>
      </c>
      <c r="I1650">
        <v>1328.6479492000001</v>
      </c>
      <c r="J1650">
        <v>1327.7105713000001</v>
      </c>
      <c r="K1650">
        <v>2400</v>
      </c>
      <c r="L1650">
        <v>0</v>
      </c>
      <c r="M1650">
        <v>0</v>
      </c>
      <c r="N1650">
        <v>2400</v>
      </c>
    </row>
    <row r="1651" spans="1:14" x14ac:dyDescent="0.25">
      <c r="A1651">
        <v>756.83059600000001</v>
      </c>
      <c r="B1651" s="1">
        <f>DATE(2012,5,26) + TIME(19,56,3)</f>
        <v>41055.830590277779</v>
      </c>
      <c r="C1651">
        <v>80</v>
      </c>
      <c r="D1651">
        <v>79.977104186999995</v>
      </c>
      <c r="E1651">
        <v>50</v>
      </c>
      <c r="F1651">
        <v>48.699768065999997</v>
      </c>
      <c r="G1651">
        <v>1336.3768310999999</v>
      </c>
      <c r="H1651">
        <v>1334.8148193</v>
      </c>
      <c r="I1651">
        <v>1328.6386719</v>
      </c>
      <c r="J1651">
        <v>1327.6973877</v>
      </c>
      <c r="K1651">
        <v>2400</v>
      </c>
      <c r="L1651">
        <v>0</v>
      </c>
      <c r="M1651">
        <v>0</v>
      </c>
      <c r="N1651">
        <v>2400</v>
      </c>
    </row>
    <row r="1652" spans="1:14" x14ac:dyDescent="0.25">
      <c r="A1652">
        <v>757.51945599999999</v>
      </c>
      <c r="B1652" s="1">
        <f>DATE(2012,5,27) + TIME(12,28,0)</f>
        <v>41056.519444444442</v>
      </c>
      <c r="C1652">
        <v>80</v>
      </c>
      <c r="D1652">
        <v>79.977066039999997</v>
      </c>
      <c r="E1652">
        <v>50</v>
      </c>
      <c r="F1652">
        <v>48.674880981000001</v>
      </c>
      <c r="G1652">
        <v>1336.3736572</v>
      </c>
      <c r="H1652">
        <v>1334.8151855000001</v>
      </c>
      <c r="I1652">
        <v>1328.6290283000001</v>
      </c>
      <c r="J1652">
        <v>1327.6837158000001</v>
      </c>
      <c r="K1652">
        <v>2400</v>
      </c>
      <c r="L1652">
        <v>0</v>
      </c>
      <c r="M1652">
        <v>0</v>
      </c>
      <c r="N1652">
        <v>2400</v>
      </c>
    </row>
    <row r="1653" spans="1:14" x14ac:dyDescent="0.25">
      <c r="A1653">
        <v>758.22593900000004</v>
      </c>
      <c r="B1653" s="1">
        <f>DATE(2012,5,28) + TIME(5,25,21)</f>
        <v>41057.225937499999</v>
      </c>
      <c r="C1653">
        <v>80</v>
      </c>
      <c r="D1653">
        <v>79.977027892999999</v>
      </c>
      <c r="E1653">
        <v>50</v>
      </c>
      <c r="F1653">
        <v>48.649356842000003</v>
      </c>
      <c r="G1653">
        <v>1336.3703613</v>
      </c>
      <c r="H1653">
        <v>1334.8155518000001</v>
      </c>
      <c r="I1653">
        <v>1328.6190185999999</v>
      </c>
      <c r="J1653">
        <v>1327.6694336</v>
      </c>
      <c r="K1653">
        <v>2400</v>
      </c>
      <c r="L1653">
        <v>0</v>
      </c>
      <c r="M1653">
        <v>0</v>
      </c>
      <c r="N1653">
        <v>2400</v>
      </c>
    </row>
    <row r="1654" spans="1:14" x14ac:dyDescent="0.25">
      <c r="A1654">
        <v>758.95880599999998</v>
      </c>
      <c r="B1654" s="1">
        <f>DATE(2012,5,28) + TIME(23,0,40)</f>
        <v>41057.958796296298</v>
      </c>
      <c r="C1654">
        <v>80</v>
      </c>
      <c r="D1654">
        <v>79.976989746000001</v>
      </c>
      <c r="E1654">
        <v>50</v>
      </c>
      <c r="F1654">
        <v>48.623134612999998</v>
      </c>
      <c r="G1654">
        <v>1336.3671875</v>
      </c>
      <c r="H1654">
        <v>1334.815918</v>
      </c>
      <c r="I1654">
        <v>1328.6086425999999</v>
      </c>
      <c r="J1654">
        <v>1327.6547852000001</v>
      </c>
      <c r="K1654">
        <v>2400</v>
      </c>
      <c r="L1654">
        <v>0</v>
      </c>
      <c r="M1654">
        <v>0</v>
      </c>
      <c r="N1654">
        <v>2400</v>
      </c>
    </row>
    <row r="1655" spans="1:14" x14ac:dyDescent="0.25">
      <c r="A1655">
        <v>759.72790999999995</v>
      </c>
      <c r="B1655" s="1">
        <f>DATE(2012,5,29) + TIME(17,28,11)</f>
        <v>41058.727905092594</v>
      </c>
      <c r="C1655">
        <v>80</v>
      </c>
      <c r="D1655">
        <v>79.976943969999994</v>
      </c>
      <c r="E1655">
        <v>50</v>
      </c>
      <c r="F1655">
        <v>48.596046448000003</v>
      </c>
      <c r="G1655">
        <v>1336.3638916</v>
      </c>
      <c r="H1655">
        <v>1334.8162841999999</v>
      </c>
      <c r="I1655">
        <v>1328.5980225000001</v>
      </c>
      <c r="J1655">
        <v>1327.6396483999999</v>
      </c>
      <c r="K1655">
        <v>2400</v>
      </c>
      <c r="L1655">
        <v>0</v>
      </c>
      <c r="M1655">
        <v>0</v>
      </c>
      <c r="N1655">
        <v>2400</v>
      </c>
    </row>
    <row r="1656" spans="1:14" x14ac:dyDescent="0.25">
      <c r="A1656">
        <v>760.11680799999999</v>
      </c>
      <c r="B1656" s="1">
        <f>DATE(2012,5,30) + TIME(2,48,12)</f>
        <v>41059.116805555554</v>
      </c>
      <c r="C1656">
        <v>80</v>
      </c>
      <c r="D1656">
        <v>79.976913452000005</v>
      </c>
      <c r="E1656">
        <v>50</v>
      </c>
      <c r="F1656">
        <v>48.577987671000002</v>
      </c>
      <c r="G1656">
        <v>1336.3607178</v>
      </c>
      <c r="H1656">
        <v>1334.8167725000001</v>
      </c>
      <c r="I1656">
        <v>1328.5877685999999</v>
      </c>
      <c r="J1656">
        <v>1327.6253661999999</v>
      </c>
      <c r="K1656">
        <v>2400</v>
      </c>
      <c r="L1656">
        <v>0</v>
      </c>
      <c r="M1656">
        <v>0</v>
      </c>
      <c r="N1656">
        <v>2400</v>
      </c>
    </row>
    <row r="1657" spans="1:14" x14ac:dyDescent="0.25">
      <c r="A1657">
        <v>760.50570500000003</v>
      </c>
      <c r="B1657" s="1">
        <f>DATE(2012,5,30) + TIME(12,8,12)</f>
        <v>41059.505694444444</v>
      </c>
      <c r="C1657">
        <v>80</v>
      </c>
      <c r="D1657">
        <v>79.976882935000006</v>
      </c>
      <c r="E1657">
        <v>50</v>
      </c>
      <c r="F1657">
        <v>48.561237335000001</v>
      </c>
      <c r="G1657">
        <v>1336.3591309000001</v>
      </c>
      <c r="H1657">
        <v>1334.8168945</v>
      </c>
      <c r="I1657">
        <v>1328.5811768000001</v>
      </c>
      <c r="J1657">
        <v>1327.6158447</v>
      </c>
      <c r="K1657">
        <v>2400</v>
      </c>
      <c r="L1657">
        <v>0</v>
      </c>
      <c r="M1657">
        <v>0</v>
      </c>
      <c r="N1657">
        <v>2400</v>
      </c>
    </row>
    <row r="1658" spans="1:14" x14ac:dyDescent="0.25">
      <c r="A1658">
        <v>761.283501</v>
      </c>
      <c r="B1658" s="1">
        <f>DATE(2012,5,31) + TIME(6,48,14)</f>
        <v>41060.283495370371</v>
      </c>
      <c r="C1658">
        <v>80</v>
      </c>
      <c r="D1658">
        <v>79.976867675999998</v>
      </c>
      <c r="E1658">
        <v>50</v>
      </c>
      <c r="F1658">
        <v>48.537147521999998</v>
      </c>
      <c r="G1658">
        <v>1336.3574219</v>
      </c>
      <c r="H1658">
        <v>1334.8170166</v>
      </c>
      <c r="I1658">
        <v>1328.5744629000001</v>
      </c>
      <c r="J1658">
        <v>1327.6058350000001</v>
      </c>
      <c r="K1658">
        <v>2400</v>
      </c>
      <c r="L1658">
        <v>0</v>
      </c>
      <c r="M1658">
        <v>0</v>
      </c>
      <c r="N1658">
        <v>2400</v>
      </c>
    </row>
    <row r="1659" spans="1:14" x14ac:dyDescent="0.25">
      <c r="A1659">
        <v>762</v>
      </c>
      <c r="B1659" s="1">
        <f>DATE(2012,6,1) + TIME(0,0,0)</f>
        <v>41061</v>
      </c>
      <c r="C1659">
        <v>80</v>
      </c>
      <c r="D1659">
        <v>79.976829529</v>
      </c>
      <c r="E1659">
        <v>50</v>
      </c>
      <c r="F1659">
        <v>48.512573242000002</v>
      </c>
      <c r="G1659">
        <v>1336.3543701000001</v>
      </c>
      <c r="H1659">
        <v>1334.8173827999999</v>
      </c>
      <c r="I1659">
        <v>1328.5642089999999</v>
      </c>
      <c r="J1659">
        <v>1327.5915527</v>
      </c>
      <c r="K1659">
        <v>2400</v>
      </c>
      <c r="L1659">
        <v>0</v>
      </c>
      <c r="M1659">
        <v>0</v>
      </c>
      <c r="N1659">
        <v>2400</v>
      </c>
    </row>
    <row r="1660" spans="1:14" x14ac:dyDescent="0.25">
      <c r="A1660">
        <v>762.77829499999996</v>
      </c>
      <c r="B1660" s="1">
        <f>DATE(2012,6,1) + TIME(18,40,44)</f>
        <v>41061.778287037036</v>
      </c>
      <c r="C1660">
        <v>80</v>
      </c>
      <c r="D1660">
        <v>79.976799010999997</v>
      </c>
      <c r="E1660">
        <v>50</v>
      </c>
      <c r="F1660">
        <v>48.486694335999999</v>
      </c>
      <c r="G1660">
        <v>1336.3516846</v>
      </c>
      <c r="H1660">
        <v>1334.817749</v>
      </c>
      <c r="I1660">
        <v>1328.5541992000001</v>
      </c>
      <c r="J1660">
        <v>1327.5773925999999</v>
      </c>
      <c r="K1660">
        <v>2400</v>
      </c>
      <c r="L1660">
        <v>0</v>
      </c>
      <c r="M1660">
        <v>0</v>
      </c>
      <c r="N1660">
        <v>2400</v>
      </c>
    </row>
    <row r="1661" spans="1:14" x14ac:dyDescent="0.25">
      <c r="A1661">
        <v>763.57395599999995</v>
      </c>
      <c r="B1661" s="1">
        <f>DATE(2012,6,2) + TIME(13,46,29)</f>
        <v>41062.573946759258</v>
      </c>
      <c r="C1661">
        <v>80</v>
      </c>
      <c r="D1661">
        <v>79.976768493999998</v>
      </c>
      <c r="E1661">
        <v>50</v>
      </c>
      <c r="F1661">
        <v>48.460021973000003</v>
      </c>
      <c r="G1661">
        <v>1336.3487548999999</v>
      </c>
      <c r="H1661">
        <v>1334.8181152</v>
      </c>
      <c r="I1661">
        <v>1328.5435791</v>
      </c>
      <c r="J1661">
        <v>1327.5622559000001</v>
      </c>
      <c r="K1661">
        <v>2400</v>
      </c>
      <c r="L1661">
        <v>0</v>
      </c>
      <c r="M1661">
        <v>0</v>
      </c>
      <c r="N1661">
        <v>2400</v>
      </c>
    </row>
    <row r="1662" spans="1:14" x14ac:dyDescent="0.25">
      <c r="A1662">
        <v>764.38520400000004</v>
      </c>
      <c r="B1662" s="1">
        <f>DATE(2012,6,3) + TIME(9,14,41)</f>
        <v>41063.385196759256</v>
      </c>
      <c r="C1662">
        <v>80</v>
      </c>
      <c r="D1662">
        <v>79.976737975999995</v>
      </c>
      <c r="E1662">
        <v>50</v>
      </c>
      <c r="F1662">
        <v>48.432800293</v>
      </c>
      <c r="G1662">
        <v>1336.3458252</v>
      </c>
      <c r="H1662">
        <v>1334.8183594</v>
      </c>
      <c r="I1662">
        <v>1328.5327147999999</v>
      </c>
      <c r="J1662">
        <v>1327.546875</v>
      </c>
      <c r="K1662">
        <v>2400</v>
      </c>
      <c r="L1662">
        <v>0</v>
      </c>
      <c r="M1662">
        <v>0</v>
      </c>
      <c r="N1662">
        <v>2400</v>
      </c>
    </row>
    <row r="1663" spans="1:14" x14ac:dyDescent="0.25">
      <c r="A1663">
        <v>765.21698400000002</v>
      </c>
      <c r="B1663" s="1">
        <f>DATE(2012,6,4) + TIME(5,12,27)</f>
        <v>41064.216979166667</v>
      </c>
      <c r="C1663">
        <v>80</v>
      </c>
      <c r="D1663">
        <v>79.976699828999998</v>
      </c>
      <c r="E1663">
        <v>50</v>
      </c>
      <c r="F1663">
        <v>48.405086517000001</v>
      </c>
      <c r="G1663">
        <v>1336.3430175999999</v>
      </c>
      <c r="H1663">
        <v>1334.8187256000001</v>
      </c>
      <c r="I1663">
        <v>1328.5217285000001</v>
      </c>
      <c r="J1663">
        <v>1327.53125</v>
      </c>
      <c r="K1663">
        <v>2400</v>
      </c>
      <c r="L1663">
        <v>0</v>
      </c>
      <c r="M1663">
        <v>0</v>
      </c>
      <c r="N1663">
        <v>2400</v>
      </c>
    </row>
    <row r="1664" spans="1:14" x14ac:dyDescent="0.25">
      <c r="A1664">
        <v>766.07452000000001</v>
      </c>
      <c r="B1664" s="1">
        <f>DATE(2012,6,5) + TIME(1,47,18)</f>
        <v>41065.074513888889</v>
      </c>
      <c r="C1664">
        <v>80</v>
      </c>
      <c r="D1664">
        <v>79.976669311999999</v>
      </c>
      <c r="E1664">
        <v>50</v>
      </c>
      <c r="F1664">
        <v>48.376819611000002</v>
      </c>
      <c r="G1664">
        <v>1336.3402100000001</v>
      </c>
      <c r="H1664">
        <v>1334.8189697</v>
      </c>
      <c r="I1664">
        <v>1328.5104980000001</v>
      </c>
      <c r="J1664">
        <v>1327.5153809000001</v>
      </c>
      <c r="K1664">
        <v>2400</v>
      </c>
      <c r="L1664">
        <v>0</v>
      </c>
      <c r="M1664">
        <v>0</v>
      </c>
      <c r="N1664">
        <v>2400</v>
      </c>
    </row>
    <row r="1665" spans="1:14" x14ac:dyDescent="0.25">
      <c r="A1665">
        <v>766.938804</v>
      </c>
      <c r="B1665" s="1">
        <f>DATE(2012,6,5) + TIME(22,31,52)</f>
        <v>41065.938796296294</v>
      </c>
      <c r="C1665">
        <v>80</v>
      </c>
      <c r="D1665">
        <v>79.976638793999996</v>
      </c>
      <c r="E1665">
        <v>50</v>
      </c>
      <c r="F1665">
        <v>48.348293304000002</v>
      </c>
      <c r="G1665">
        <v>1336.3374022999999</v>
      </c>
      <c r="H1665">
        <v>1334.8193358999999</v>
      </c>
      <c r="I1665">
        <v>1328.4991454999999</v>
      </c>
      <c r="J1665">
        <v>1327.4991454999999</v>
      </c>
      <c r="K1665">
        <v>2400</v>
      </c>
      <c r="L1665">
        <v>0</v>
      </c>
      <c r="M1665">
        <v>0</v>
      </c>
      <c r="N1665">
        <v>2400</v>
      </c>
    </row>
    <row r="1666" spans="1:14" x14ac:dyDescent="0.25">
      <c r="A1666">
        <v>767.81506000000002</v>
      </c>
      <c r="B1666" s="1">
        <f>DATE(2012,6,6) + TIME(19,33,41)</f>
        <v>41066.815057870372</v>
      </c>
      <c r="C1666">
        <v>80</v>
      </c>
      <c r="D1666">
        <v>79.976608275999993</v>
      </c>
      <c r="E1666">
        <v>50</v>
      </c>
      <c r="F1666">
        <v>48.319572448999999</v>
      </c>
      <c r="G1666">
        <v>1336.3342285000001</v>
      </c>
      <c r="H1666">
        <v>1334.8193358999999</v>
      </c>
      <c r="I1666">
        <v>1328.4876709</v>
      </c>
      <c r="J1666">
        <v>1327.4829102000001</v>
      </c>
      <c r="K1666">
        <v>2400</v>
      </c>
      <c r="L1666">
        <v>0</v>
      </c>
      <c r="M1666">
        <v>0</v>
      </c>
      <c r="N1666">
        <v>2400</v>
      </c>
    </row>
    <row r="1667" spans="1:14" x14ac:dyDescent="0.25">
      <c r="A1667">
        <v>768.70510300000001</v>
      </c>
      <c r="B1667" s="1">
        <f>DATE(2012,6,7) + TIME(16,55,20)</f>
        <v>41067.705092592594</v>
      </c>
      <c r="C1667">
        <v>80</v>
      </c>
      <c r="D1667">
        <v>79.976577758999994</v>
      </c>
      <c r="E1667">
        <v>50</v>
      </c>
      <c r="F1667">
        <v>48.290657043000003</v>
      </c>
      <c r="G1667">
        <v>1336.3311768000001</v>
      </c>
      <c r="H1667">
        <v>1334.8193358999999</v>
      </c>
      <c r="I1667">
        <v>1328.4761963000001</v>
      </c>
      <c r="J1667">
        <v>1327.4665527</v>
      </c>
      <c r="K1667">
        <v>2400</v>
      </c>
      <c r="L1667">
        <v>0</v>
      </c>
      <c r="M1667">
        <v>0</v>
      </c>
      <c r="N1667">
        <v>2400</v>
      </c>
    </row>
    <row r="1668" spans="1:14" x14ac:dyDescent="0.25">
      <c r="A1668">
        <v>769.60227899999995</v>
      </c>
      <c r="B1668" s="1">
        <f>DATE(2012,6,8) + TIME(14,27,16)</f>
        <v>41068.602268518516</v>
      </c>
      <c r="C1668">
        <v>80</v>
      </c>
      <c r="D1668">
        <v>79.976547241000006</v>
      </c>
      <c r="E1668">
        <v>50</v>
      </c>
      <c r="F1668">
        <v>48.261650084999999</v>
      </c>
      <c r="G1668">
        <v>1336.328125</v>
      </c>
      <c r="H1668">
        <v>1334.8193358999999</v>
      </c>
      <c r="I1668">
        <v>1328.4647216999999</v>
      </c>
      <c r="J1668">
        <v>1327.4501952999999</v>
      </c>
      <c r="K1668">
        <v>2400</v>
      </c>
      <c r="L1668">
        <v>0</v>
      </c>
      <c r="M1668">
        <v>0</v>
      </c>
      <c r="N1668">
        <v>2400</v>
      </c>
    </row>
    <row r="1669" spans="1:14" x14ac:dyDescent="0.25">
      <c r="A1669">
        <v>770.51430400000004</v>
      </c>
      <c r="B1669" s="1">
        <f>DATE(2012,6,9) + TIME(12,20,35)</f>
        <v>41069.514293981483</v>
      </c>
      <c r="C1669">
        <v>80</v>
      </c>
      <c r="D1669">
        <v>79.976524353000002</v>
      </c>
      <c r="E1669">
        <v>50</v>
      </c>
      <c r="F1669">
        <v>48.232482910000002</v>
      </c>
      <c r="G1669">
        <v>1336.3251952999999</v>
      </c>
      <c r="H1669">
        <v>1334.8194579999999</v>
      </c>
      <c r="I1669">
        <v>1328.453125</v>
      </c>
      <c r="J1669">
        <v>1327.4337158000001</v>
      </c>
      <c r="K1669">
        <v>2400</v>
      </c>
      <c r="L1669">
        <v>0</v>
      </c>
      <c r="M1669">
        <v>0</v>
      </c>
      <c r="N1669">
        <v>2400</v>
      </c>
    </row>
    <row r="1670" spans="1:14" x14ac:dyDescent="0.25">
      <c r="A1670">
        <v>771.43905199999995</v>
      </c>
      <c r="B1670" s="1">
        <f>DATE(2012,6,10) + TIME(10,32,14)</f>
        <v>41070.439050925925</v>
      </c>
      <c r="C1670">
        <v>80</v>
      </c>
      <c r="D1670">
        <v>79.976493834999999</v>
      </c>
      <c r="E1670">
        <v>50</v>
      </c>
      <c r="F1670">
        <v>48.203151703000003</v>
      </c>
      <c r="G1670">
        <v>1336.3223877</v>
      </c>
      <c r="H1670">
        <v>1334.8194579999999</v>
      </c>
      <c r="I1670">
        <v>1328.4415283000001</v>
      </c>
      <c r="J1670">
        <v>1327.4172363</v>
      </c>
      <c r="K1670">
        <v>2400</v>
      </c>
      <c r="L1670">
        <v>0</v>
      </c>
      <c r="M1670">
        <v>0</v>
      </c>
      <c r="N1670">
        <v>2400</v>
      </c>
    </row>
    <row r="1671" spans="1:14" x14ac:dyDescent="0.25">
      <c r="A1671">
        <v>772.36934799999995</v>
      </c>
      <c r="B1671" s="1">
        <f>DATE(2012,6,11) + TIME(8,51,51)</f>
        <v>41071.369340277779</v>
      </c>
      <c r="C1671">
        <v>80</v>
      </c>
      <c r="D1671">
        <v>79.976470946999996</v>
      </c>
      <c r="E1671">
        <v>50</v>
      </c>
      <c r="F1671">
        <v>48.173751830999997</v>
      </c>
      <c r="G1671">
        <v>1336.3197021000001</v>
      </c>
      <c r="H1671">
        <v>1334.8195800999999</v>
      </c>
      <c r="I1671">
        <v>1328.4299315999999</v>
      </c>
      <c r="J1671">
        <v>1327.4007568</v>
      </c>
      <c r="K1671">
        <v>2400</v>
      </c>
      <c r="L1671">
        <v>0</v>
      </c>
      <c r="M1671">
        <v>0</v>
      </c>
      <c r="N1671">
        <v>2400</v>
      </c>
    </row>
    <row r="1672" spans="1:14" x14ac:dyDescent="0.25">
      <c r="A1672">
        <v>773.31596100000002</v>
      </c>
      <c r="B1672" s="1">
        <f>DATE(2012,6,12) + TIME(7,34,58)</f>
        <v>41072.315949074073</v>
      </c>
      <c r="C1672">
        <v>80</v>
      </c>
      <c r="D1672">
        <v>79.976448059000006</v>
      </c>
      <c r="E1672">
        <v>50</v>
      </c>
      <c r="F1672">
        <v>48.144184113000001</v>
      </c>
      <c r="G1672">
        <v>1336.3171387</v>
      </c>
      <c r="H1672">
        <v>1334.8197021000001</v>
      </c>
      <c r="I1672">
        <v>1328.4183350000001</v>
      </c>
      <c r="J1672">
        <v>1327.3842772999999</v>
      </c>
      <c r="K1672">
        <v>2400</v>
      </c>
      <c r="L1672">
        <v>0</v>
      </c>
      <c r="M1672">
        <v>0</v>
      </c>
      <c r="N1672">
        <v>2400</v>
      </c>
    </row>
    <row r="1673" spans="1:14" x14ac:dyDescent="0.25">
      <c r="A1673">
        <v>774.26929900000005</v>
      </c>
      <c r="B1673" s="1">
        <f>DATE(2012,6,13) + TIME(6,27,47)</f>
        <v>41073.269293981481</v>
      </c>
      <c r="C1673">
        <v>80</v>
      </c>
      <c r="D1673">
        <v>79.976425171000002</v>
      </c>
      <c r="E1673">
        <v>50</v>
      </c>
      <c r="F1673">
        <v>48.114517212000003</v>
      </c>
      <c r="G1673">
        <v>1336.3145752</v>
      </c>
      <c r="H1673">
        <v>1334.8198242000001</v>
      </c>
      <c r="I1673">
        <v>1328.4067382999999</v>
      </c>
      <c r="J1673">
        <v>1327.3677978999999</v>
      </c>
      <c r="K1673">
        <v>2400</v>
      </c>
      <c r="L1673">
        <v>0</v>
      </c>
      <c r="M1673">
        <v>0</v>
      </c>
      <c r="N1673">
        <v>2400</v>
      </c>
    </row>
    <row r="1674" spans="1:14" x14ac:dyDescent="0.25">
      <c r="A1674">
        <v>775.23648800000001</v>
      </c>
      <c r="B1674" s="1">
        <f>DATE(2012,6,14) + TIME(5,40,32)</f>
        <v>41074.236481481479</v>
      </c>
      <c r="C1674">
        <v>80</v>
      </c>
      <c r="D1674">
        <v>79.976402282999999</v>
      </c>
      <c r="E1674">
        <v>50</v>
      </c>
      <c r="F1674">
        <v>48.084693909000002</v>
      </c>
      <c r="G1674">
        <v>1336.3120117000001</v>
      </c>
      <c r="H1674">
        <v>1334.8199463000001</v>
      </c>
      <c r="I1674">
        <v>1328.3951416</v>
      </c>
      <c r="J1674">
        <v>1327.3513184000001</v>
      </c>
      <c r="K1674">
        <v>2400</v>
      </c>
      <c r="L1674">
        <v>0</v>
      </c>
      <c r="M1674">
        <v>0</v>
      </c>
      <c r="N1674">
        <v>2400</v>
      </c>
    </row>
    <row r="1675" spans="1:14" x14ac:dyDescent="0.25">
      <c r="A1675">
        <v>776.21795299999997</v>
      </c>
      <c r="B1675" s="1">
        <f>DATE(2012,6,15) + TIME(5,13,51)</f>
        <v>41075.217951388891</v>
      </c>
      <c r="C1675">
        <v>80</v>
      </c>
      <c r="D1675">
        <v>79.976379394999995</v>
      </c>
      <c r="E1675">
        <v>50</v>
      </c>
      <c r="F1675">
        <v>48.054668427000003</v>
      </c>
      <c r="G1675">
        <v>1336.3096923999999</v>
      </c>
      <c r="H1675">
        <v>1334.8200684000001</v>
      </c>
      <c r="I1675">
        <v>1328.3835449000001</v>
      </c>
      <c r="J1675">
        <v>1327.3347168</v>
      </c>
      <c r="K1675">
        <v>2400</v>
      </c>
      <c r="L1675">
        <v>0</v>
      </c>
      <c r="M1675">
        <v>0</v>
      </c>
      <c r="N1675">
        <v>2400</v>
      </c>
    </row>
    <row r="1676" spans="1:14" x14ac:dyDescent="0.25">
      <c r="A1676">
        <v>777.20865000000003</v>
      </c>
      <c r="B1676" s="1">
        <f>DATE(2012,6,16) + TIME(5,0,27)</f>
        <v>41076.208645833336</v>
      </c>
      <c r="C1676">
        <v>80</v>
      </c>
      <c r="D1676">
        <v>79.976364136000001</v>
      </c>
      <c r="E1676">
        <v>50</v>
      </c>
      <c r="F1676">
        <v>48.024475098000003</v>
      </c>
      <c r="G1676">
        <v>1336.307251</v>
      </c>
      <c r="H1676">
        <v>1334.8201904</v>
      </c>
      <c r="I1676">
        <v>1328.3719481999999</v>
      </c>
      <c r="J1676">
        <v>1327.3182373</v>
      </c>
      <c r="K1676">
        <v>2400</v>
      </c>
      <c r="L1676">
        <v>0</v>
      </c>
      <c r="M1676">
        <v>0</v>
      </c>
      <c r="N1676">
        <v>2400</v>
      </c>
    </row>
    <row r="1677" spans="1:14" x14ac:dyDescent="0.25">
      <c r="A1677">
        <v>778.20963099999994</v>
      </c>
      <c r="B1677" s="1">
        <f>DATE(2012,6,17) + TIME(5,1,52)</f>
        <v>41077.209629629629</v>
      </c>
      <c r="C1677">
        <v>80</v>
      </c>
      <c r="D1677">
        <v>79.976341247999997</v>
      </c>
      <c r="E1677">
        <v>50</v>
      </c>
      <c r="F1677">
        <v>47.994129180999998</v>
      </c>
      <c r="G1677">
        <v>1336.3050536999999</v>
      </c>
      <c r="H1677">
        <v>1334.8204346</v>
      </c>
      <c r="I1677">
        <v>1328.3604736</v>
      </c>
      <c r="J1677">
        <v>1327.3016356999999</v>
      </c>
      <c r="K1677">
        <v>2400</v>
      </c>
      <c r="L1677">
        <v>0</v>
      </c>
      <c r="M1677">
        <v>0</v>
      </c>
      <c r="N1677">
        <v>2400</v>
      </c>
    </row>
    <row r="1678" spans="1:14" x14ac:dyDescent="0.25">
      <c r="A1678">
        <v>779.22338300000001</v>
      </c>
      <c r="B1678" s="1">
        <f>DATE(2012,6,18) + TIME(5,21,40)</f>
        <v>41078.223379629628</v>
      </c>
      <c r="C1678">
        <v>80</v>
      </c>
      <c r="D1678">
        <v>79.976325989000003</v>
      </c>
      <c r="E1678">
        <v>50</v>
      </c>
      <c r="F1678">
        <v>47.963596344000003</v>
      </c>
      <c r="G1678">
        <v>1336.3027344</v>
      </c>
      <c r="H1678">
        <v>1334.8205565999999</v>
      </c>
      <c r="I1678">
        <v>1328.3488769999999</v>
      </c>
      <c r="J1678">
        <v>1327.2851562000001</v>
      </c>
      <c r="K1678">
        <v>2400</v>
      </c>
      <c r="L1678">
        <v>0</v>
      </c>
      <c r="M1678">
        <v>0</v>
      </c>
      <c r="N1678">
        <v>2400</v>
      </c>
    </row>
    <row r="1679" spans="1:14" x14ac:dyDescent="0.25">
      <c r="A1679">
        <v>780.24649199999999</v>
      </c>
      <c r="B1679" s="1">
        <f>DATE(2012,6,19) + TIME(5,54,56)</f>
        <v>41079.246481481481</v>
      </c>
      <c r="C1679">
        <v>80</v>
      </c>
      <c r="D1679">
        <v>79.976310729999994</v>
      </c>
      <c r="E1679">
        <v>50</v>
      </c>
      <c r="F1679">
        <v>47.932891845999997</v>
      </c>
      <c r="G1679">
        <v>1336.3005370999999</v>
      </c>
      <c r="H1679">
        <v>1334.8206786999999</v>
      </c>
      <c r="I1679">
        <v>1328.3372803</v>
      </c>
      <c r="J1679">
        <v>1327.2686768000001</v>
      </c>
      <c r="K1679">
        <v>2400</v>
      </c>
      <c r="L1679">
        <v>0</v>
      </c>
      <c r="M1679">
        <v>0</v>
      </c>
      <c r="N1679">
        <v>2400</v>
      </c>
    </row>
    <row r="1680" spans="1:14" x14ac:dyDescent="0.25">
      <c r="A1680">
        <v>781.29111</v>
      </c>
      <c r="B1680" s="1">
        <f>DATE(2012,6,20) + TIME(6,59,11)</f>
        <v>41080.29109953704</v>
      </c>
      <c r="C1680">
        <v>80</v>
      </c>
      <c r="D1680">
        <v>79.976295471</v>
      </c>
      <c r="E1680">
        <v>50</v>
      </c>
      <c r="F1680">
        <v>47.901866912999999</v>
      </c>
      <c r="G1680">
        <v>1336.2984618999999</v>
      </c>
      <c r="H1680">
        <v>1334.8208007999999</v>
      </c>
      <c r="I1680">
        <v>1328.3258057</v>
      </c>
      <c r="J1680">
        <v>1327.2521973</v>
      </c>
      <c r="K1680">
        <v>2400</v>
      </c>
      <c r="L1680">
        <v>0</v>
      </c>
      <c r="M1680">
        <v>0</v>
      </c>
      <c r="N1680">
        <v>2400</v>
      </c>
    </row>
    <row r="1681" spans="1:14" x14ac:dyDescent="0.25">
      <c r="A1681">
        <v>782.342311</v>
      </c>
      <c r="B1681" s="1">
        <f>DATE(2012,6,21) + TIME(8,12,55)</f>
        <v>41081.342303240737</v>
      </c>
      <c r="C1681">
        <v>80</v>
      </c>
      <c r="D1681">
        <v>79.976280212000006</v>
      </c>
      <c r="E1681">
        <v>50</v>
      </c>
      <c r="F1681">
        <v>47.870597838999998</v>
      </c>
      <c r="G1681">
        <v>1336.2962646000001</v>
      </c>
      <c r="H1681">
        <v>1334.8209228999999</v>
      </c>
      <c r="I1681">
        <v>1328.3142089999999</v>
      </c>
      <c r="J1681">
        <v>1327.2357178</v>
      </c>
      <c r="K1681">
        <v>2400</v>
      </c>
      <c r="L1681">
        <v>0</v>
      </c>
      <c r="M1681">
        <v>0</v>
      </c>
      <c r="N1681">
        <v>2400</v>
      </c>
    </row>
    <row r="1682" spans="1:14" x14ac:dyDescent="0.25">
      <c r="A1682">
        <v>783.404178</v>
      </c>
      <c r="B1682" s="1">
        <f>DATE(2012,6,22) + TIME(9,42,0)</f>
        <v>41082.404166666667</v>
      </c>
      <c r="C1682">
        <v>80</v>
      </c>
      <c r="D1682">
        <v>79.976264954000001</v>
      </c>
      <c r="E1682">
        <v>50</v>
      </c>
      <c r="F1682">
        <v>47.839118958</v>
      </c>
      <c r="G1682">
        <v>1336.2941894999999</v>
      </c>
      <c r="H1682">
        <v>1334.8210449000001</v>
      </c>
      <c r="I1682">
        <v>1328.3027344</v>
      </c>
      <c r="J1682">
        <v>1327.2192382999999</v>
      </c>
      <c r="K1682">
        <v>2400</v>
      </c>
      <c r="L1682">
        <v>0</v>
      </c>
      <c r="M1682">
        <v>0</v>
      </c>
      <c r="N1682">
        <v>2400</v>
      </c>
    </row>
    <row r="1683" spans="1:14" x14ac:dyDescent="0.25">
      <c r="A1683">
        <v>784.48251500000003</v>
      </c>
      <c r="B1683" s="1">
        <f>DATE(2012,6,23) + TIME(11,34,49)</f>
        <v>41083.482511574075</v>
      </c>
      <c r="C1683">
        <v>80</v>
      </c>
      <c r="D1683">
        <v>79.976249695000007</v>
      </c>
      <c r="E1683">
        <v>50</v>
      </c>
      <c r="F1683">
        <v>47.807350159000002</v>
      </c>
      <c r="G1683">
        <v>1336.2921143000001</v>
      </c>
      <c r="H1683">
        <v>1334.8211670000001</v>
      </c>
      <c r="I1683">
        <v>1328.2912598</v>
      </c>
      <c r="J1683">
        <v>1327.2028809000001</v>
      </c>
      <c r="K1683">
        <v>2400</v>
      </c>
      <c r="L1683">
        <v>0</v>
      </c>
      <c r="M1683">
        <v>0</v>
      </c>
      <c r="N1683">
        <v>2400</v>
      </c>
    </row>
    <row r="1684" spans="1:14" x14ac:dyDescent="0.25">
      <c r="A1684">
        <v>785.56649800000002</v>
      </c>
      <c r="B1684" s="1">
        <f>DATE(2012,6,24) + TIME(13,35,45)</f>
        <v>41084.566493055558</v>
      </c>
      <c r="C1684">
        <v>80</v>
      </c>
      <c r="D1684">
        <v>79.976242064999994</v>
      </c>
      <c r="E1684">
        <v>50</v>
      </c>
      <c r="F1684">
        <v>47.775356293000002</v>
      </c>
      <c r="G1684">
        <v>1336.2901611</v>
      </c>
      <c r="H1684">
        <v>1334.8212891000001</v>
      </c>
      <c r="I1684">
        <v>1328.2799072</v>
      </c>
      <c r="J1684">
        <v>1327.1865233999999</v>
      </c>
      <c r="K1684">
        <v>2400</v>
      </c>
      <c r="L1684">
        <v>0</v>
      </c>
      <c r="M1684">
        <v>0</v>
      </c>
      <c r="N1684">
        <v>2400</v>
      </c>
    </row>
    <row r="1685" spans="1:14" x14ac:dyDescent="0.25">
      <c r="A1685">
        <v>786.66834400000005</v>
      </c>
      <c r="B1685" s="1">
        <f>DATE(2012,6,25) + TIME(16,2,24)</f>
        <v>41085.668333333335</v>
      </c>
      <c r="C1685">
        <v>80</v>
      </c>
      <c r="D1685">
        <v>79.976226807000003</v>
      </c>
      <c r="E1685">
        <v>50</v>
      </c>
      <c r="F1685">
        <v>47.743053435999997</v>
      </c>
      <c r="G1685">
        <v>1336.2882079999999</v>
      </c>
      <c r="H1685">
        <v>1334.8214111</v>
      </c>
      <c r="I1685">
        <v>1328.2685547000001</v>
      </c>
      <c r="J1685">
        <v>1327.1701660000001</v>
      </c>
      <c r="K1685">
        <v>2400</v>
      </c>
      <c r="L1685">
        <v>0</v>
      </c>
      <c r="M1685">
        <v>0</v>
      </c>
      <c r="N1685">
        <v>2400</v>
      </c>
    </row>
    <row r="1686" spans="1:14" x14ac:dyDescent="0.25">
      <c r="A1686">
        <v>787.78195500000004</v>
      </c>
      <c r="B1686" s="1">
        <f>DATE(2012,6,26) + TIME(18,46,0)</f>
        <v>41086.781944444447</v>
      </c>
      <c r="C1686">
        <v>80</v>
      </c>
      <c r="D1686">
        <v>79.976219177000004</v>
      </c>
      <c r="E1686">
        <v>50</v>
      </c>
      <c r="F1686">
        <v>47.710422516000001</v>
      </c>
      <c r="G1686">
        <v>1336.2862548999999</v>
      </c>
      <c r="H1686">
        <v>1334.8215332</v>
      </c>
      <c r="I1686">
        <v>1328.2572021000001</v>
      </c>
      <c r="J1686">
        <v>1327.1538086</v>
      </c>
      <c r="K1686">
        <v>2400</v>
      </c>
      <c r="L1686">
        <v>0</v>
      </c>
      <c r="M1686">
        <v>0</v>
      </c>
      <c r="N1686">
        <v>2400</v>
      </c>
    </row>
    <row r="1687" spans="1:14" x14ac:dyDescent="0.25">
      <c r="A1687">
        <v>788.908951</v>
      </c>
      <c r="B1687" s="1">
        <f>DATE(2012,6,27) + TIME(21,48,53)</f>
        <v>41087.908946759257</v>
      </c>
      <c r="C1687">
        <v>80</v>
      </c>
      <c r="D1687">
        <v>79.976211547999995</v>
      </c>
      <c r="E1687">
        <v>50</v>
      </c>
      <c r="F1687">
        <v>47.677448273000003</v>
      </c>
      <c r="G1687">
        <v>1336.2843018000001</v>
      </c>
      <c r="H1687">
        <v>1334.8216553</v>
      </c>
      <c r="I1687">
        <v>1328.2458495999999</v>
      </c>
      <c r="J1687">
        <v>1327.1375731999999</v>
      </c>
      <c r="K1687">
        <v>2400</v>
      </c>
      <c r="L1687">
        <v>0</v>
      </c>
      <c r="M1687">
        <v>0</v>
      </c>
      <c r="N1687">
        <v>2400</v>
      </c>
    </row>
    <row r="1688" spans="1:14" x14ac:dyDescent="0.25">
      <c r="A1688">
        <v>790.04950699999995</v>
      </c>
      <c r="B1688" s="1">
        <f>DATE(2012,6,29) + TIME(1,11,17)</f>
        <v>41089.049502314818</v>
      </c>
      <c r="C1688">
        <v>80</v>
      </c>
      <c r="D1688">
        <v>79.976203917999996</v>
      </c>
      <c r="E1688">
        <v>50</v>
      </c>
      <c r="F1688">
        <v>47.644115448000001</v>
      </c>
      <c r="G1688">
        <v>1336.2823486</v>
      </c>
      <c r="H1688">
        <v>1334.8217772999999</v>
      </c>
      <c r="I1688">
        <v>1328.2346190999999</v>
      </c>
      <c r="J1688">
        <v>1327.1213379000001</v>
      </c>
      <c r="K1688">
        <v>2400</v>
      </c>
      <c r="L1688">
        <v>0</v>
      </c>
      <c r="M1688">
        <v>0</v>
      </c>
      <c r="N1688">
        <v>2400</v>
      </c>
    </row>
    <row r="1689" spans="1:14" x14ac:dyDescent="0.25">
      <c r="A1689">
        <v>791.20063700000003</v>
      </c>
      <c r="B1689" s="1">
        <f>DATE(2012,6,30) + TIME(4,48,55)</f>
        <v>41090.200636574074</v>
      </c>
      <c r="C1689">
        <v>80</v>
      </c>
      <c r="D1689">
        <v>79.976188660000005</v>
      </c>
      <c r="E1689">
        <v>50</v>
      </c>
      <c r="F1689">
        <v>47.610435486</v>
      </c>
      <c r="G1689">
        <v>1336.2805175999999</v>
      </c>
      <c r="H1689">
        <v>1334.8217772999999</v>
      </c>
      <c r="I1689">
        <v>1328.2233887</v>
      </c>
      <c r="J1689">
        <v>1327.1051024999999</v>
      </c>
      <c r="K1689">
        <v>2400</v>
      </c>
      <c r="L1689">
        <v>0</v>
      </c>
      <c r="M1689">
        <v>0</v>
      </c>
      <c r="N1689">
        <v>2400</v>
      </c>
    </row>
    <row r="1690" spans="1:14" x14ac:dyDescent="0.25">
      <c r="A1690">
        <v>792</v>
      </c>
      <c r="B1690" s="1">
        <f>DATE(2012,7,1) + TIME(0,0,0)</f>
        <v>41091</v>
      </c>
      <c r="C1690">
        <v>80</v>
      </c>
      <c r="D1690">
        <v>79.976181030000006</v>
      </c>
      <c r="E1690">
        <v>50</v>
      </c>
      <c r="F1690">
        <v>47.581562042000002</v>
      </c>
      <c r="G1690">
        <v>1336.2786865</v>
      </c>
      <c r="H1690">
        <v>1334.8218993999999</v>
      </c>
      <c r="I1690">
        <v>1328.2125243999999</v>
      </c>
      <c r="J1690">
        <v>1327.0895995999999</v>
      </c>
      <c r="K1690">
        <v>2400</v>
      </c>
      <c r="L1690">
        <v>0</v>
      </c>
      <c r="M1690">
        <v>0</v>
      </c>
      <c r="N1690">
        <v>2400</v>
      </c>
    </row>
    <row r="1691" spans="1:14" x14ac:dyDescent="0.25">
      <c r="A1691">
        <v>793.16467699999998</v>
      </c>
      <c r="B1691" s="1">
        <f>DATE(2012,7,2) + TIME(3,57,8)</f>
        <v>41092.164675925924</v>
      </c>
      <c r="C1691">
        <v>80</v>
      </c>
      <c r="D1691">
        <v>79.976181030000006</v>
      </c>
      <c r="E1691">
        <v>50</v>
      </c>
      <c r="F1691">
        <v>47.550716399999999</v>
      </c>
      <c r="G1691">
        <v>1336.2773437999999</v>
      </c>
      <c r="H1691">
        <v>1334.8218993999999</v>
      </c>
      <c r="I1691">
        <v>1328.2037353999999</v>
      </c>
      <c r="J1691">
        <v>1327.0765381000001</v>
      </c>
      <c r="K1691">
        <v>2400</v>
      </c>
      <c r="L1691">
        <v>0</v>
      </c>
      <c r="M1691">
        <v>0</v>
      </c>
      <c r="N1691">
        <v>2400</v>
      </c>
    </row>
    <row r="1692" spans="1:14" x14ac:dyDescent="0.25">
      <c r="A1692">
        <v>794.35301000000004</v>
      </c>
      <c r="B1692" s="1">
        <f>DATE(2012,7,3) + TIME(8,28,20)</f>
        <v>41093.353009259263</v>
      </c>
      <c r="C1692">
        <v>80</v>
      </c>
      <c r="D1692">
        <v>79.976173400999997</v>
      </c>
      <c r="E1692">
        <v>50</v>
      </c>
      <c r="F1692">
        <v>47.517433167</v>
      </c>
      <c r="G1692">
        <v>1336.2756348</v>
      </c>
      <c r="H1692">
        <v>1334.8220214999999</v>
      </c>
      <c r="I1692">
        <v>1328.1933594</v>
      </c>
      <c r="J1692">
        <v>1327.0614014</v>
      </c>
      <c r="K1692">
        <v>2400</v>
      </c>
      <c r="L1692">
        <v>0</v>
      </c>
      <c r="M1692">
        <v>0</v>
      </c>
      <c r="N1692">
        <v>2400</v>
      </c>
    </row>
    <row r="1693" spans="1:14" x14ac:dyDescent="0.25">
      <c r="A1693">
        <v>795.55993599999999</v>
      </c>
      <c r="B1693" s="1">
        <f>DATE(2012,7,4) + TIME(13,26,18)</f>
        <v>41094.559930555559</v>
      </c>
      <c r="C1693">
        <v>80</v>
      </c>
      <c r="D1693">
        <v>79.976165770999998</v>
      </c>
      <c r="E1693">
        <v>50</v>
      </c>
      <c r="F1693">
        <v>47.482807158999996</v>
      </c>
      <c r="G1693">
        <v>1336.2738036999999</v>
      </c>
      <c r="H1693">
        <v>1334.8220214999999</v>
      </c>
      <c r="I1693">
        <v>1328.1826172000001</v>
      </c>
      <c r="J1693">
        <v>1327.0458983999999</v>
      </c>
      <c r="K1693">
        <v>2400</v>
      </c>
      <c r="L1693">
        <v>0</v>
      </c>
      <c r="M1693">
        <v>0</v>
      </c>
      <c r="N1693">
        <v>2400</v>
      </c>
    </row>
    <row r="1694" spans="1:14" x14ac:dyDescent="0.25">
      <c r="A1694">
        <v>796.78402500000004</v>
      </c>
      <c r="B1694" s="1">
        <f>DATE(2012,7,5) + TIME(18,48,59)</f>
        <v>41095.784016203703</v>
      </c>
      <c r="C1694">
        <v>80</v>
      </c>
      <c r="D1694">
        <v>79.976165770999998</v>
      </c>
      <c r="E1694">
        <v>50</v>
      </c>
      <c r="F1694">
        <v>47.447338104000004</v>
      </c>
      <c r="G1694">
        <v>1336.2719727000001</v>
      </c>
      <c r="H1694">
        <v>1334.8220214999999</v>
      </c>
      <c r="I1694">
        <v>1328.1717529</v>
      </c>
      <c r="J1694">
        <v>1327.0301514</v>
      </c>
      <c r="K1694">
        <v>2400</v>
      </c>
      <c r="L1694">
        <v>0</v>
      </c>
      <c r="M1694">
        <v>0</v>
      </c>
      <c r="N1694">
        <v>2400</v>
      </c>
    </row>
    <row r="1695" spans="1:14" x14ac:dyDescent="0.25">
      <c r="A1695">
        <v>798.01424999999995</v>
      </c>
      <c r="B1695" s="1">
        <f>DATE(2012,7,7) + TIME(0,20,31)</f>
        <v>41097.014247685183</v>
      </c>
      <c r="C1695">
        <v>80</v>
      </c>
      <c r="D1695">
        <v>79.976158142000003</v>
      </c>
      <c r="E1695">
        <v>50</v>
      </c>
      <c r="F1695">
        <v>47.411369323999999</v>
      </c>
      <c r="G1695">
        <v>1336.2701416</v>
      </c>
      <c r="H1695">
        <v>1334.8220214999999</v>
      </c>
      <c r="I1695">
        <v>1328.1608887</v>
      </c>
      <c r="J1695">
        <v>1327.0142822</v>
      </c>
      <c r="K1695">
        <v>2400</v>
      </c>
      <c r="L1695">
        <v>0</v>
      </c>
      <c r="M1695">
        <v>0</v>
      </c>
      <c r="N1695">
        <v>2400</v>
      </c>
    </row>
    <row r="1696" spans="1:14" x14ac:dyDescent="0.25">
      <c r="A1696">
        <v>799.26651300000003</v>
      </c>
      <c r="B1696" s="1">
        <f>DATE(2012,7,8) + TIME(6,23,46)</f>
        <v>41098.266504629632</v>
      </c>
      <c r="C1696">
        <v>80</v>
      </c>
      <c r="D1696">
        <v>79.976158142000003</v>
      </c>
      <c r="E1696">
        <v>50</v>
      </c>
      <c r="F1696">
        <v>47.374969481999997</v>
      </c>
      <c r="G1696">
        <v>1336.2684326000001</v>
      </c>
      <c r="H1696">
        <v>1334.8220214999999</v>
      </c>
      <c r="I1696">
        <v>1328.1501464999999</v>
      </c>
      <c r="J1696">
        <v>1326.9986572</v>
      </c>
      <c r="K1696">
        <v>2400</v>
      </c>
      <c r="L1696">
        <v>0</v>
      </c>
      <c r="M1696">
        <v>0</v>
      </c>
      <c r="N1696">
        <v>2400</v>
      </c>
    </row>
    <row r="1697" spans="1:14" x14ac:dyDescent="0.25">
      <c r="A1697">
        <v>800.52608599999996</v>
      </c>
      <c r="B1697" s="1">
        <f>DATE(2012,7,9) + TIME(12,37,33)</f>
        <v>41099.526076388887</v>
      </c>
      <c r="C1697">
        <v>80</v>
      </c>
      <c r="D1697">
        <v>79.976150512999993</v>
      </c>
      <c r="E1697">
        <v>50</v>
      </c>
      <c r="F1697">
        <v>47.338237761999999</v>
      </c>
      <c r="G1697">
        <v>1336.2667236</v>
      </c>
      <c r="H1697">
        <v>1334.8220214999999</v>
      </c>
      <c r="I1697">
        <v>1328.1395264</v>
      </c>
      <c r="J1697">
        <v>1326.9829102000001</v>
      </c>
      <c r="K1697">
        <v>2400</v>
      </c>
      <c r="L1697">
        <v>0</v>
      </c>
      <c r="M1697">
        <v>0</v>
      </c>
      <c r="N1697">
        <v>2400</v>
      </c>
    </row>
    <row r="1698" spans="1:14" x14ac:dyDescent="0.25">
      <c r="A1698">
        <v>801.80579899999998</v>
      </c>
      <c r="B1698" s="1">
        <f>DATE(2012,7,10) + TIME(19,20,21)</f>
        <v>41100.805798611109</v>
      </c>
      <c r="C1698">
        <v>80</v>
      </c>
      <c r="D1698">
        <v>79.976150512999993</v>
      </c>
      <c r="E1698">
        <v>50</v>
      </c>
      <c r="F1698">
        <v>47.301258087000001</v>
      </c>
      <c r="G1698">
        <v>1336.2650146000001</v>
      </c>
      <c r="H1698">
        <v>1334.8220214999999</v>
      </c>
      <c r="I1698">
        <v>1328.1290283000001</v>
      </c>
      <c r="J1698">
        <v>1326.9674072</v>
      </c>
      <c r="K1698">
        <v>2400</v>
      </c>
      <c r="L1698">
        <v>0</v>
      </c>
      <c r="M1698">
        <v>0</v>
      </c>
      <c r="N1698">
        <v>2400</v>
      </c>
    </row>
    <row r="1699" spans="1:14" x14ac:dyDescent="0.25">
      <c r="A1699">
        <v>803.10284000000001</v>
      </c>
      <c r="B1699" s="1">
        <f>DATE(2012,7,12) + TIME(2,28,5)</f>
        <v>41102.102835648147</v>
      </c>
      <c r="C1699">
        <v>80</v>
      </c>
      <c r="D1699">
        <v>79.976150512999993</v>
      </c>
      <c r="E1699">
        <v>50</v>
      </c>
      <c r="F1699">
        <v>47.264080047999997</v>
      </c>
      <c r="G1699">
        <v>1336.2633057</v>
      </c>
      <c r="H1699">
        <v>1334.8220214999999</v>
      </c>
      <c r="I1699">
        <v>1328.1185303</v>
      </c>
      <c r="J1699">
        <v>1326.9519043</v>
      </c>
      <c r="K1699">
        <v>2400</v>
      </c>
      <c r="L1699">
        <v>0</v>
      </c>
      <c r="M1699">
        <v>0</v>
      </c>
      <c r="N1699">
        <v>2400</v>
      </c>
    </row>
    <row r="1700" spans="1:14" x14ac:dyDescent="0.25">
      <c r="A1700">
        <v>804.40771400000006</v>
      </c>
      <c r="B1700" s="1">
        <f>DATE(2012,7,13) + TIME(9,47,6)</f>
        <v>41103.407708333332</v>
      </c>
      <c r="C1700">
        <v>80</v>
      </c>
      <c r="D1700">
        <v>79.976150512999993</v>
      </c>
      <c r="E1700">
        <v>50</v>
      </c>
      <c r="F1700">
        <v>47.226982116999999</v>
      </c>
      <c r="G1700">
        <v>1336.2615966999999</v>
      </c>
      <c r="H1700">
        <v>1334.8220214999999</v>
      </c>
      <c r="I1700">
        <v>1328.1082764</v>
      </c>
      <c r="J1700">
        <v>1326.9365233999999</v>
      </c>
      <c r="K1700">
        <v>2400</v>
      </c>
      <c r="L1700">
        <v>0</v>
      </c>
      <c r="M1700">
        <v>0</v>
      </c>
      <c r="N1700">
        <v>2400</v>
      </c>
    </row>
    <row r="1701" spans="1:14" x14ac:dyDescent="0.25">
      <c r="A1701">
        <v>805.73580100000004</v>
      </c>
      <c r="B1701" s="1">
        <f>DATE(2012,7,14) + TIME(17,39,33)</f>
        <v>41104.735798611109</v>
      </c>
      <c r="C1701">
        <v>80</v>
      </c>
      <c r="D1701">
        <v>79.976150512999993</v>
      </c>
      <c r="E1701">
        <v>50</v>
      </c>
      <c r="F1701">
        <v>47.190162659000002</v>
      </c>
      <c r="G1701">
        <v>1336.2598877</v>
      </c>
      <c r="H1701">
        <v>1334.8220214999999</v>
      </c>
      <c r="I1701">
        <v>1328.0981445</v>
      </c>
      <c r="J1701">
        <v>1326.9212646000001</v>
      </c>
      <c r="K1701">
        <v>2400</v>
      </c>
      <c r="L1701">
        <v>0</v>
      </c>
      <c r="M1701">
        <v>0</v>
      </c>
      <c r="N1701">
        <v>2400</v>
      </c>
    </row>
    <row r="1702" spans="1:14" x14ac:dyDescent="0.25">
      <c r="A1702">
        <v>807.07214399999998</v>
      </c>
      <c r="B1702" s="1">
        <f>DATE(2012,7,16) + TIME(1,43,53)</f>
        <v>41106.072141203702</v>
      </c>
      <c r="C1702">
        <v>80</v>
      </c>
      <c r="D1702">
        <v>79.976150512999993</v>
      </c>
      <c r="E1702">
        <v>50</v>
      </c>
      <c r="F1702">
        <v>47.15398407</v>
      </c>
      <c r="G1702">
        <v>1336.2581786999999</v>
      </c>
      <c r="H1702">
        <v>1334.8218993999999</v>
      </c>
      <c r="I1702">
        <v>1328.0880127</v>
      </c>
      <c r="J1702">
        <v>1326.9061279</v>
      </c>
      <c r="K1702">
        <v>2400</v>
      </c>
      <c r="L1702">
        <v>0</v>
      </c>
      <c r="M1702">
        <v>0</v>
      </c>
      <c r="N1702">
        <v>2400</v>
      </c>
    </row>
    <row r="1703" spans="1:14" x14ac:dyDescent="0.25">
      <c r="A1703">
        <v>808.426739</v>
      </c>
      <c r="B1703" s="1">
        <f>DATE(2012,7,17) + TIME(10,14,30)</f>
        <v>41107.426736111112</v>
      </c>
      <c r="C1703">
        <v>80</v>
      </c>
      <c r="D1703">
        <v>79.976150512999993</v>
      </c>
      <c r="E1703">
        <v>50</v>
      </c>
      <c r="F1703">
        <v>47.118953705000003</v>
      </c>
      <c r="G1703">
        <v>1336.2564697</v>
      </c>
      <c r="H1703">
        <v>1334.8217772999999</v>
      </c>
      <c r="I1703">
        <v>1328.0782471</v>
      </c>
      <c r="J1703">
        <v>1326.8911132999999</v>
      </c>
      <c r="K1703">
        <v>2400</v>
      </c>
      <c r="L1703">
        <v>0</v>
      </c>
      <c r="M1703">
        <v>0</v>
      </c>
      <c r="N1703">
        <v>2400</v>
      </c>
    </row>
    <row r="1704" spans="1:14" x14ac:dyDescent="0.25">
      <c r="A1704">
        <v>809.80214799999999</v>
      </c>
      <c r="B1704" s="1">
        <f>DATE(2012,7,18) + TIME(19,15,5)</f>
        <v>41108.802141203705</v>
      </c>
      <c r="C1704">
        <v>80</v>
      </c>
      <c r="D1704">
        <v>79.976150512999993</v>
      </c>
      <c r="E1704">
        <v>50</v>
      </c>
      <c r="F1704">
        <v>47.085609435999999</v>
      </c>
      <c r="G1704">
        <v>1336.2548827999999</v>
      </c>
      <c r="H1704">
        <v>1334.8217772999999</v>
      </c>
      <c r="I1704">
        <v>1328.0684814000001</v>
      </c>
      <c r="J1704">
        <v>1326.8763428</v>
      </c>
      <c r="K1704">
        <v>2400</v>
      </c>
      <c r="L1704">
        <v>0</v>
      </c>
      <c r="M1704">
        <v>0</v>
      </c>
      <c r="N1704">
        <v>2400</v>
      </c>
    </row>
    <row r="1705" spans="1:14" x14ac:dyDescent="0.25">
      <c r="A1705">
        <v>811.18666900000005</v>
      </c>
      <c r="B1705" s="1">
        <f>DATE(2012,7,20) + TIME(4,28,48)</f>
        <v>41110.186666666668</v>
      </c>
      <c r="C1705">
        <v>80</v>
      </c>
      <c r="D1705">
        <v>79.976150512999993</v>
      </c>
      <c r="E1705">
        <v>50</v>
      </c>
      <c r="F1705">
        <v>47.054836272999999</v>
      </c>
      <c r="G1705">
        <v>1336.2531738</v>
      </c>
      <c r="H1705">
        <v>1334.8216553</v>
      </c>
      <c r="I1705">
        <v>1328.059082</v>
      </c>
      <c r="J1705">
        <v>1326.8616943</v>
      </c>
      <c r="K1705">
        <v>2400</v>
      </c>
      <c r="L1705">
        <v>0</v>
      </c>
      <c r="M1705">
        <v>0</v>
      </c>
      <c r="N1705">
        <v>2400</v>
      </c>
    </row>
    <row r="1706" spans="1:14" x14ac:dyDescent="0.25">
      <c r="A1706">
        <v>812.58977500000003</v>
      </c>
      <c r="B1706" s="1">
        <f>DATE(2012,7,21) + TIME(14,9,16)</f>
        <v>41111.589768518519</v>
      </c>
      <c r="C1706">
        <v>80</v>
      </c>
      <c r="D1706">
        <v>79.976158142000003</v>
      </c>
      <c r="E1706">
        <v>50</v>
      </c>
      <c r="F1706">
        <v>47.027748107999997</v>
      </c>
      <c r="G1706">
        <v>1336.2515868999999</v>
      </c>
      <c r="H1706">
        <v>1334.8215332</v>
      </c>
      <c r="I1706">
        <v>1328.0498047000001</v>
      </c>
      <c r="J1706">
        <v>1326.847168</v>
      </c>
      <c r="K1706">
        <v>2400</v>
      </c>
      <c r="L1706">
        <v>0</v>
      </c>
      <c r="M1706">
        <v>0</v>
      </c>
      <c r="N1706">
        <v>2400</v>
      </c>
    </row>
    <row r="1707" spans="1:14" x14ac:dyDescent="0.25">
      <c r="A1707">
        <v>814.00955599999998</v>
      </c>
      <c r="B1707" s="1">
        <f>DATE(2012,7,23) + TIME(0,13,45)</f>
        <v>41113.009548611109</v>
      </c>
      <c r="C1707">
        <v>80</v>
      </c>
      <c r="D1707">
        <v>79.976158142000003</v>
      </c>
      <c r="E1707">
        <v>50</v>
      </c>
      <c r="F1707">
        <v>47.005699157999999</v>
      </c>
      <c r="G1707">
        <v>1336.2498779</v>
      </c>
      <c r="H1707">
        <v>1334.8214111</v>
      </c>
      <c r="I1707">
        <v>1328.0407714999999</v>
      </c>
      <c r="J1707">
        <v>1326.8330077999999</v>
      </c>
      <c r="K1707">
        <v>2400</v>
      </c>
      <c r="L1707">
        <v>0</v>
      </c>
      <c r="M1707">
        <v>0</v>
      </c>
      <c r="N1707">
        <v>2400</v>
      </c>
    </row>
    <row r="1708" spans="1:14" x14ac:dyDescent="0.25">
      <c r="A1708">
        <v>815.44217500000002</v>
      </c>
      <c r="B1708" s="1">
        <f>DATE(2012,7,24) + TIME(10,36,43)</f>
        <v>41114.442164351851</v>
      </c>
      <c r="C1708">
        <v>80</v>
      </c>
      <c r="D1708">
        <v>79.976158142000003</v>
      </c>
      <c r="E1708">
        <v>50</v>
      </c>
      <c r="F1708">
        <v>46.990398407000001</v>
      </c>
      <c r="G1708">
        <v>1336.2482910000001</v>
      </c>
      <c r="H1708">
        <v>1334.8212891000001</v>
      </c>
      <c r="I1708">
        <v>1328.0319824000001</v>
      </c>
      <c r="J1708">
        <v>1326.8189697</v>
      </c>
      <c r="K1708">
        <v>2400</v>
      </c>
      <c r="L1708">
        <v>0</v>
      </c>
      <c r="M1708">
        <v>0</v>
      </c>
      <c r="N1708">
        <v>2400</v>
      </c>
    </row>
    <row r="1709" spans="1:14" x14ac:dyDescent="0.25">
      <c r="A1709">
        <v>816.89201700000001</v>
      </c>
      <c r="B1709" s="1">
        <f>DATE(2012,7,25) + TIME(21,24,30)</f>
        <v>41115.892013888886</v>
      </c>
      <c r="C1709">
        <v>80</v>
      </c>
      <c r="D1709">
        <v>79.976165770999998</v>
      </c>
      <c r="E1709">
        <v>50</v>
      </c>
      <c r="F1709">
        <v>46.983905792000002</v>
      </c>
      <c r="G1709">
        <v>1336.246582</v>
      </c>
      <c r="H1709">
        <v>1334.8211670000001</v>
      </c>
      <c r="I1709">
        <v>1328.0235596</v>
      </c>
      <c r="J1709">
        <v>1326.8052978999999</v>
      </c>
      <c r="K1709">
        <v>2400</v>
      </c>
      <c r="L1709">
        <v>0</v>
      </c>
      <c r="M1709">
        <v>0</v>
      </c>
      <c r="N1709">
        <v>2400</v>
      </c>
    </row>
    <row r="1710" spans="1:14" x14ac:dyDescent="0.25">
      <c r="A1710">
        <v>818.35400200000004</v>
      </c>
      <c r="B1710" s="1">
        <f>DATE(2012,7,27) + TIME(8,29,45)</f>
        <v>41117.353993055556</v>
      </c>
      <c r="C1710">
        <v>80</v>
      </c>
      <c r="D1710">
        <v>79.976173400999997</v>
      </c>
      <c r="E1710">
        <v>50</v>
      </c>
      <c r="F1710">
        <v>46.988822937000002</v>
      </c>
      <c r="G1710">
        <v>1336.2449951000001</v>
      </c>
      <c r="H1710">
        <v>1334.8209228999999</v>
      </c>
      <c r="I1710">
        <v>1328.0155029</v>
      </c>
      <c r="J1710">
        <v>1326.7919922000001</v>
      </c>
      <c r="K1710">
        <v>2400</v>
      </c>
      <c r="L1710">
        <v>0</v>
      </c>
      <c r="M1710">
        <v>0</v>
      </c>
      <c r="N1710">
        <v>2400</v>
      </c>
    </row>
    <row r="1711" spans="1:14" x14ac:dyDescent="0.25">
      <c r="A1711">
        <v>819.83388300000001</v>
      </c>
      <c r="B1711" s="1">
        <f>DATE(2012,7,28) + TIME(20,0,47)</f>
        <v>41118.833877314813</v>
      </c>
      <c r="C1711">
        <v>80</v>
      </c>
      <c r="D1711">
        <v>79.976173400999997</v>
      </c>
      <c r="E1711">
        <v>50</v>
      </c>
      <c r="F1711">
        <v>47.008049010999997</v>
      </c>
      <c r="G1711">
        <v>1336.2434082</v>
      </c>
      <c r="H1711">
        <v>1334.8208007999999</v>
      </c>
      <c r="I1711">
        <v>1328.0078125</v>
      </c>
      <c r="J1711">
        <v>1326.7791748</v>
      </c>
      <c r="K1711">
        <v>2400</v>
      </c>
      <c r="L1711">
        <v>0</v>
      </c>
      <c r="M1711">
        <v>0</v>
      </c>
      <c r="N1711">
        <v>2400</v>
      </c>
    </row>
    <row r="1712" spans="1:14" x14ac:dyDescent="0.25">
      <c r="A1712">
        <v>820.58371</v>
      </c>
      <c r="B1712" s="1">
        <f>DATE(2012,7,29) + TIME(14,0,32)</f>
        <v>41119.583703703705</v>
      </c>
      <c r="C1712">
        <v>80</v>
      </c>
      <c r="D1712">
        <v>79.976173400999997</v>
      </c>
      <c r="E1712">
        <v>50</v>
      </c>
      <c r="F1712">
        <v>47.036231995000001</v>
      </c>
      <c r="G1712">
        <v>1336.2416992000001</v>
      </c>
      <c r="H1712">
        <v>1334.8205565999999</v>
      </c>
      <c r="I1712">
        <v>1328.0009766000001</v>
      </c>
      <c r="J1712">
        <v>1326.7673339999999</v>
      </c>
      <c r="K1712">
        <v>2400</v>
      </c>
      <c r="L1712">
        <v>0</v>
      </c>
      <c r="M1712">
        <v>0</v>
      </c>
      <c r="N1712">
        <v>2400</v>
      </c>
    </row>
    <row r="1713" spans="1:14" x14ac:dyDescent="0.25">
      <c r="A1713">
        <v>822.046244</v>
      </c>
      <c r="B1713" s="1">
        <f>DATE(2012,7,31) + TIME(1,6,35)</f>
        <v>41121.046238425923</v>
      </c>
      <c r="C1713">
        <v>80</v>
      </c>
      <c r="D1713">
        <v>79.976181030000006</v>
      </c>
      <c r="E1713">
        <v>50</v>
      </c>
      <c r="F1713">
        <v>47.076995850000003</v>
      </c>
      <c r="G1713">
        <v>1336.2409668</v>
      </c>
      <c r="H1713">
        <v>1334.8204346</v>
      </c>
      <c r="I1713">
        <v>1327.9959716999999</v>
      </c>
      <c r="J1713">
        <v>1326.7589111</v>
      </c>
      <c r="K1713">
        <v>2400</v>
      </c>
      <c r="L1713">
        <v>0</v>
      </c>
      <c r="M1713">
        <v>0</v>
      </c>
      <c r="N1713">
        <v>2400</v>
      </c>
    </row>
    <row r="1714" spans="1:14" x14ac:dyDescent="0.25">
      <c r="A1714">
        <v>823</v>
      </c>
      <c r="B1714" s="1">
        <f>DATE(2012,8,1) + TIME(0,0,0)</f>
        <v>41122</v>
      </c>
      <c r="C1714">
        <v>80</v>
      </c>
      <c r="D1714">
        <v>79.976181030000006</v>
      </c>
      <c r="E1714">
        <v>50</v>
      </c>
      <c r="F1714">
        <v>47.134426116999997</v>
      </c>
      <c r="G1714">
        <v>1336.2393798999999</v>
      </c>
      <c r="H1714">
        <v>1334.8201904</v>
      </c>
      <c r="I1714">
        <v>1327.9904785000001</v>
      </c>
      <c r="J1714">
        <v>1326.7490233999999</v>
      </c>
      <c r="K1714">
        <v>2400</v>
      </c>
      <c r="L1714">
        <v>0</v>
      </c>
      <c r="M1714">
        <v>0</v>
      </c>
      <c r="N1714">
        <v>2400</v>
      </c>
    </row>
    <row r="1715" spans="1:14" x14ac:dyDescent="0.25">
      <c r="A1715">
        <v>824.47843599999999</v>
      </c>
      <c r="B1715" s="1">
        <f>DATE(2012,8,2) + TIME(11,28,56)</f>
        <v>41123.478425925925</v>
      </c>
      <c r="C1715">
        <v>80</v>
      </c>
      <c r="D1715">
        <v>79.976196289000001</v>
      </c>
      <c r="E1715">
        <v>50</v>
      </c>
      <c r="F1715">
        <v>47.209903717000003</v>
      </c>
      <c r="G1715">
        <v>1336.2384033000001</v>
      </c>
      <c r="H1715">
        <v>1334.8200684000001</v>
      </c>
      <c r="I1715">
        <v>1327.9857178</v>
      </c>
      <c r="J1715">
        <v>1326.7408447</v>
      </c>
      <c r="K1715">
        <v>2400</v>
      </c>
      <c r="L1715">
        <v>0</v>
      </c>
      <c r="M1715">
        <v>0</v>
      </c>
      <c r="N1715">
        <v>2400</v>
      </c>
    </row>
    <row r="1716" spans="1:14" x14ac:dyDescent="0.25">
      <c r="A1716">
        <v>826.03110100000004</v>
      </c>
      <c r="B1716" s="1">
        <f>DATE(2012,8,4) + TIME(0,44,47)</f>
        <v>41125.031099537038</v>
      </c>
      <c r="C1716">
        <v>80</v>
      </c>
      <c r="D1716">
        <v>79.976203917999996</v>
      </c>
      <c r="E1716">
        <v>50</v>
      </c>
      <c r="F1716">
        <v>47.322933196999998</v>
      </c>
      <c r="G1716">
        <v>1336.2368164</v>
      </c>
      <c r="H1716">
        <v>1334.8198242000001</v>
      </c>
      <c r="I1716">
        <v>1327.9805908000001</v>
      </c>
      <c r="J1716">
        <v>1326.7315673999999</v>
      </c>
      <c r="K1716">
        <v>2400</v>
      </c>
      <c r="L1716">
        <v>0</v>
      </c>
      <c r="M1716">
        <v>0</v>
      </c>
      <c r="N1716">
        <v>2400</v>
      </c>
    </row>
    <row r="1717" spans="1:14" x14ac:dyDescent="0.25">
      <c r="A1717">
        <v>827.58768599999996</v>
      </c>
      <c r="B1717" s="1">
        <f>DATE(2012,8,5) + TIME(14,6,16)</f>
        <v>41126.587685185186</v>
      </c>
      <c r="C1717">
        <v>80</v>
      </c>
      <c r="D1717">
        <v>79.976211547999995</v>
      </c>
      <c r="E1717">
        <v>50</v>
      </c>
      <c r="F1717">
        <v>47.474475861000002</v>
      </c>
      <c r="G1717">
        <v>1336.2351074000001</v>
      </c>
      <c r="H1717">
        <v>1334.8194579999999</v>
      </c>
      <c r="I1717">
        <v>1327.9755858999999</v>
      </c>
      <c r="J1717">
        <v>1326.722168</v>
      </c>
      <c r="K1717">
        <v>2400</v>
      </c>
      <c r="L1717">
        <v>0</v>
      </c>
      <c r="M1717">
        <v>0</v>
      </c>
      <c r="N1717">
        <v>2400</v>
      </c>
    </row>
    <row r="1718" spans="1:14" x14ac:dyDescent="0.25">
      <c r="A1718">
        <v>829.14799000000005</v>
      </c>
      <c r="B1718" s="1">
        <f>DATE(2012,8,7) + TIME(3,33,6)</f>
        <v>41128.147986111115</v>
      </c>
      <c r="C1718">
        <v>80</v>
      </c>
      <c r="D1718">
        <v>79.976219177000004</v>
      </c>
      <c r="E1718">
        <v>50</v>
      </c>
      <c r="F1718">
        <v>47.663925171000002</v>
      </c>
      <c r="G1718">
        <v>1336.2335204999999</v>
      </c>
      <c r="H1718">
        <v>1334.8192139</v>
      </c>
      <c r="I1718">
        <v>1327.9708252</v>
      </c>
      <c r="J1718">
        <v>1326.713501</v>
      </c>
      <c r="K1718">
        <v>2400</v>
      </c>
      <c r="L1718">
        <v>0</v>
      </c>
      <c r="M1718">
        <v>0</v>
      </c>
      <c r="N1718">
        <v>2400</v>
      </c>
    </row>
    <row r="1719" spans="1:14" x14ac:dyDescent="0.25">
      <c r="A1719">
        <v>829.94577100000004</v>
      </c>
      <c r="B1719" s="1">
        <f>DATE(2012,8,7) + TIME(22,41,54)</f>
        <v>41128.945763888885</v>
      </c>
      <c r="C1719">
        <v>80</v>
      </c>
      <c r="D1719">
        <v>79.976219177000004</v>
      </c>
      <c r="E1719">
        <v>50</v>
      </c>
      <c r="F1719">
        <v>47.841808319000002</v>
      </c>
      <c r="G1719">
        <v>1336.2319336</v>
      </c>
      <c r="H1719">
        <v>1334.8188477000001</v>
      </c>
      <c r="I1719">
        <v>1327.9675293</v>
      </c>
      <c r="J1719">
        <v>1326.7059326000001</v>
      </c>
      <c r="K1719">
        <v>2400</v>
      </c>
      <c r="L1719">
        <v>0</v>
      </c>
      <c r="M1719">
        <v>0</v>
      </c>
      <c r="N1719">
        <v>2400</v>
      </c>
    </row>
    <row r="1720" spans="1:14" x14ac:dyDescent="0.25">
      <c r="A1720">
        <v>831.42257400000005</v>
      </c>
      <c r="B1720" s="1">
        <f>DATE(2012,8,9) + TIME(10,8,30)</f>
        <v>41130.422569444447</v>
      </c>
      <c r="C1720">
        <v>80</v>
      </c>
      <c r="D1720">
        <v>79.976234435999999</v>
      </c>
      <c r="E1720">
        <v>50</v>
      </c>
      <c r="F1720">
        <v>48.043785094999997</v>
      </c>
      <c r="G1720">
        <v>1336.2312012</v>
      </c>
      <c r="H1720">
        <v>1334.8187256000001</v>
      </c>
      <c r="I1720">
        <v>1327.9639893000001</v>
      </c>
      <c r="J1720">
        <v>1326.7009277</v>
      </c>
      <c r="K1720">
        <v>2400</v>
      </c>
      <c r="L1720">
        <v>0</v>
      </c>
      <c r="M1720">
        <v>0</v>
      </c>
      <c r="N1720">
        <v>2400</v>
      </c>
    </row>
    <row r="1721" spans="1:14" x14ac:dyDescent="0.25">
      <c r="A1721">
        <v>832.95845499999996</v>
      </c>
      <c r="B1721" s="1">
        <f>DATE(2012,8,10) + TIME(23,0,10)</f>
        <v>41131.958449074074</v>
      </c>
      <c r="C1721">
        <v>80</v>
      </c>
      <c r="D1721">
        <v>79.976242064999994</v>
      </c>
      <c r="E1721">
        <v>50</v>
      </c>
      <c r="F1721">
        <v>48.321063995000003</v>
      </c>
      <c r="G1721">
        <v>1336.2297363</v>
      </c>
      <c r="H1721">
        <v>1334.8184814000001</v>
      </c>
      <c r="I1721">
        <v>1327.9610596</v>
      </c>
      <c r="J1721">
        <v>1326.6953125</v>
      </c>
      <c r="K1721">
        <v>2400</v>
      </c>
      <c r="L1721">
        <v>0</v>
      </c>
      <c r="M1721">
        <v>0</v>
      </c>
      <c r="N1721">
        <v>2400</v>
      </c>
    </row>
    <row r="1722" spans="1:14" x14ac:dyDescent="0.25">
      <c r="A1722">
        <v>834.55231100000003</v>
      </c>
      <c r="B1722" s="1">
        <f>DATE(2012,8,12) + TIME(13,15,19)</f>
        <v>41133.552303240744</v>
      </c>
      <c r="C1722">
        <v>80</v>
      </c>
      <c r="D1722">
        <v>79.976257324000002</v>
      </c>
      <c r="E1722">
        <v>50</v>
      </c>
      <c r="F1722">
        <v>48.628639221</v>
      </c>
      <c r="G1722">
        <v>1336.2281493999999</v>
      </c>
      <c r="H1722">
        <v>1334.8181152</v>
      </c>
      <c r="I1722">
        <v>1327.958374</v>
      </c>
      <c r="J1722">
        <v>1326.6900635</v>
      </c>
      <c r="K1722">
        <v>2400</v>
      </c>
      <c r="L1722">
        <v>0</v>
      </c>
      <c r="M1722">
        <v>0</v>
      </c>
      <c r="N1722">
        <v>2400</v>
      </c>
    </row>
    <row r="1723" spans="1:14" x14ac:dyDescent="0.25">
      <c r="A1723">
        <v>836.24586099999999</v>
      </c>
      <c r="B1723" s="1">
        <f>DATE(2012,8,14) + TIME(5,54,2)</f>
        <v>41135.245856481481</v>
      </c>
      <c r="C1723">
        <v>80</v>
      </c>
      <c r="D1723">
        <v>79.976264954000001</v>
      </c>
      <c r="E1723">
        <v>50</v>
      </c>
      <c r="F1723">
        <v>48.986694335999999</v>
      </c>
      <c r="G1723">
        <v>1336.2265625</v>
      </c>
      <c r="H1723">
        <v>1334.817749</v>
      </c>
      <c r="I1723">
        <v>1327.9558105000001</v>
      </c>
      <c r="J1723">
        <v>1326.6851807</v>
      </c>
      <c r="K1723">
        <v>2400</v>
      </c>
      <c r="L1723">
        <v>0</v>
      </c>
      <c r="M1723">
        <v>0</v>
      </c>
      <c r="N1723">
        <v>2400</v>
      </c>
    </row>
    <row r="1724" spans="1:14" x14ac:dyDescent="0.25">
      <c r="A1724">
        <v>837.96550500000001</v>
      </c>
      <c r="B1724" s="1">
        <f>DATE(2012,8,15) + TIME(23,10,19)</f>
        <v>41136.965497685182</v>
      </c>
      <c r="C1724">
        <v>80</v>
      </c>
      <c r="D1724">
        <v>79.976280212000006</v>
      </c>
      <c r="E1724">
        <v>50</v>
      </c>
      <c r="F1724">
        <v>49.399066925</v>
      </c>
      <c r="G1724">
        <v>1336.2249756000001</v>
      </c>
      <c r="H1724">
        <v>1334.8173827999999</v>
      </c>
      <c r="I1724">
        <v>1327.9536132999999</v>
      </c>
      <c r="J1724">
        <v>1326.6809082</v>
      </c>
      <c r="K1724">
        <v>2400</v>
      </c>
      <c r="L1724">
        <v>0</v>
      </c>
      <c r="M1724">
        <v>0</v>
      </c>
      <c r="N1724">
        <v>2400</v>
      </c>
    </row>
    <row r="1725" spans="1:14" x14ac:dyDescent="0.25">
      <c r="A1725">
        <v>839.75599999999997</v>
      </c>
      <c r="B1725" s="1">
        <f>DATE(2012,8,17) + TIME(18,8,38)</f>
        <v>41138.755995370368</v>
      </c>
      <c r="C1725">
        <v>80</v>
      </c>
      <c r="D1725">
        <v>79.976295471</v>
      </c>
      <c r="E1725">
        <v>50</v>
      </c>
      <c r="F1725">
        <v>49.852626801</v>
      </c>
      <c r="G1725">
        <v>1336.2232666</v>
      </c>
      <c r="H1725">
        <v>1334.8170166</v>
      </c>
      <c r="I1725">
        <v>1327.9516602000001</v>
      </c>
      <c r="J1725">
        <v>1326.6774902</v>
      </c>
      <c r="K1725">
        <v>2400</v>
      </c>
      <c r="L1725">
        <v>0</v>
      </c>
      <c r="M1725">
        <v>0</v>
      </c>
      <c r="N1725">
        <v>2400</v>
      </c>
    </row>
    <row r="1726" spans="1:14" x14ac:dyDescent="0.25">
      <c r="A1726">
        <v>841.58368399999995</v>
      </c>
      <c r="B1726" s="1">
        <f>DATE(2012,8,19) + TIME(14,0,30)</f>
        <v>41140.583680555559</v>
      </c>
      <c r="C1726">
        <v>80</v>
      </c>
      <c r="D1726">
        <v>79.976303100999999</v>
      </c>
      <c r="E1726">
        <v>50</v>
      </c>
      <c r="F1726">
        <v>50.339130402000002</v>
      </c>
      <c r="G1726">
        <v>1336.2215576000001</v>
      </c>
      <c r="H1726">
        <v>1334.8165283000001</v>
      </c>
      <c r="I1726">
        <v>1327.9499512</v>
      </c>
      <c r="J1726">
        <v>1326.6746826000001</v>
      </c>
      <c r="K1726">
        <v>2400</v>
      </c>
      <c r="L1726">
        <v>0</v>
      </c>
      <c r="M1726">
        <v>0</v>
      </c>
      <c r="N1726">
        <v>2400</v>
      </c>
    </row>
    <row r="1727" spans="1:14" x14ac:dyDescent="0.25">
      <c r="A1727">
        <v>843.45022700000004</v>
      </c>
      <c r="B1727" s="1">
        <f>DATE(2012,8,21) + TIME(10,48,19)</f>
        <v>41142.450219907405</v>
      </c>
      <c r="C1727">
        <v>80</v>
      </c>
      <c r="D1727">
        <v>79.976318359000004</v>
      </c>
      <c r="E1727">
        <v>50</v>
      </c>
      <c r="F1727">
        <v>50.845733643000003</v>
      </c>
      <c r="G1727">
        <v>1336.2199707</v>
      </c>
      <c r="H1727">
        <v>1334.8161620999999</v>
      </c>
      <c r="I1727">
        <v>1327.9486084</v>
      </c>
      <c r="J1727">
        <v>1326.6724853999999</v>
      </c>
      <c r="K1727">
        <v>2400</v>
      </c>
      <c r="L1727">
        <v>0</v>
      </c>
      <c r="M1727">
        <v>0</v>
      </c>
      <c r="N1727">
        <v>2400</v>
      </c>
    </row>
    <row r="1728" spans="1:14" x14ac:dyDescent="0.25">
      <c r="A1728">
        <v>845.33591999999999</v>
      </c>
      <c r="B1728" s="1">
        <f>DATE(2012,8,23) + TIME(8,3,43)</f>
        <v>41144.335914351854</v>
      </c>
      <c r="C1728">
        <v>80</v>
      </c>
      <c r="D1728">
        <v>79.976333617999998</v>
      </c>
      <c r="E1728">
        <v>50</v>
      </c>
      <c r="F1728">
        <v>51.362468718999999</v>
      </c>
      <c r="G1728">
        <v>1336.2182617000001</v>
      </c>
      <c r="H1728">
        <v>1334.8156738</v>
      </c>
      <c r="I1728">
        <v>1327.9473877</v>
      </c>
      <c r="J1728">
        <v>1326.6706543</v>
      </c>
      <c r="K1728">
        <v>2400</v>
      </c>
      <c r="L1728">
        <v>0</v>
      </c>
      <c r="M1728">
        <v>0</v>
      </c>
      <c r="N1728">
        <v>2400</v>
      </c>
    </row>
    <row r="1729" spans="1:14" x14ac:dyDescent="0.25">
      <c r="A1729">
        <v>847.269048</v>
      </c>
      <c r="B1729" s="1">
        <f>DATE(2012,8,25) + TIME(6,27,25)</f>
        <v>41146.26903935185</v>
      </c>
      <c r="C1729">
        <v>80</v>
      </c>
      <c r="D1729">
        <v>79.976348877000007</v>
      </c>
      <c r="E1729">
        <v>50</v>
      </c>
      <c r="F1729">
        <v>51.880069732999999</v>
      </c>
      <c r="G1729">
        <v>1336.2165527</v>
      </c>
      <c r="H1729">
        <v>1334.8151855000001</v>
      </c>
      <c r="I1729">
        <v>1327.9464111</v>
      </c>
      <c r="J1729">
        <v>1326.6693115</v>
      </c>
      <c r="K1729">
        <v>2400</v>
      </c>
      <c r="L1729">
        <v>0</v>
      </c>
      <c r="M1729">
        <v>0</v>
      </c>
      <c r="N1729">
        <v>2400</v>
      </c>
    </row>
    <row r="1730" spans="1:14" x14ac:dyDescent="0.25">
      <c r="A1730">
        <v>849.23008300000004</v>
      </c>
      <c r="B1730" s="1">
        <f>DATE(2012,8,27) + TIME(5,31,19)</f>
        <v>41148.230081018519</v>
      </c>
      <c r="C1730">
        <v>80</v>
      </c>
      <c r="D1730">
        <v>79.976364136000001</v>
      </c>
      <c r="E1730">
        <v>50</v>
      </c>
      <c r="F1730">
        <v>52.392803192000002</v>
      </c>
      <c r="G1730">
        <v>1336.2148437999999</v>
      </c>
      <c r="H1730">
        <v>1334.8148193</v>
      </c>
      <c r="I1730">
        <v>1327.9456786999999</v>
      </c>
      <c r="J1730">
        <v>1326.6682129000001</v>
      </c>
      <c r="K1730">
        <v>2400</v>
      </c>
      <c r="L1730">
        <v>0</v>
      </c>
      <c r="M1730">
        <v>0</v>
      </c>
      <c r="N1730">
        <v>2400</v>
      </c>
    </row>
    <row r="1731" spans="1:14" x14ac:dyDescent="0.25">
      <c r="A1731">
        <v>851.21812299999999</v>
      </c>
      <c r="B1731" s="1">
        <f>DATE(2012,8,29) + TIME(5,14,5)</f>
        <v>41150.218113425923</v>
      </c>
      <c r="C1731">
        <v>80</v>
      </c>
      <c r="D1731">
        <v>79.976387024000005</v>
      </c>
      <c r="E1731">
        <v>50</v>
      </c>
      <c r="F1731">
        <v>52.892162323000001</v>
      </c>
      <c r="G1731">
        <v>1336.2132568</v>
      </c>
      <c r="H1731">
        <v>1334.8143310999999</v>
      </c>
      <c r="I1731">
        <v>1327.9450684000001</v>
      </c>
      <c r="J1731">
        <v>1326.6673584</v>
      </c>
      <c r="K1731">
        <v>2400</v>
      </c>
      <c r="L1731">
        <v>0</v>
      </c>
      <c r="M1731">
        <v>0</v>
      </c>
      <c r="N1731">
        <v>2400</v>
      </c>
    </row>
    <row r="1732" spans="1:14" x14ac:dyDescent="0.25">
      <c r="A1732">
        <v>853.24825499999997</v>
      </c>
      <c r="B1732" s="1">
        <f>DATE(2012,8,31) + TIME(5,57,29)</f>
        <v>41152.248252314814</v>
      </c>
      <c r="C1732">
        <v>80</v>
      </c>
      <c r="D1732">
        <v>79.976402282999999</v>
      </c>
      <c r="E1732">
        <v>50</v>
      </c>
      <c r="F1732">
        <v>53.376564025999997</v>
      </c>
      <c r="G1732">
        <v>1336.2115478999999</v>
      </c>
      <c r="H1732">
        <v>1334.8138428</v>
      </c>
      <c r="I1732">
        <v>1327.9445800999999</v>
      </c>
      <c r="J1732">
        <v>1326.666626</v>
      </c>
      <c r="K1732">
        <v>2400</v>
      </c>
      <c r="L1732">
        <v>0</v>
      </c>
      <c r="M1732">
        <v>0</v>
      </c>
      <c r="N1732">
        <v>2400</v>
      </c>
    </row>
    <row r="1733" spans="1:14" x14ac:dyDescent="0.25">
      <c r="A1733">
        <v>854</v>
      </c>
      <c r="B1733" s="1">
        <f>DATE(2012,9,1) + TIME(0,0,0)</f>
        <v>41153</v>
      </c>
      <c r="C1733">
        <v>80</v>
      </c>
      <c r="D1733">
        <v>79.976402282999999</v>
      </c>
      <c r="E1733">
        <v>50</v>
      </c>
      <c r="F1733">
        <v>53.717113495</v>
      </c>
      <c r="G1733">
        <v>1336.2098389</v>
      </c>
      <c r="H1733">
        <v>1334.8133545000001</v>
      </c>
      <c r="I1733">
        <v>1327.9458007999999</v>
      </c>
      <c r="J1733">
        <v>1326.6665039</v>
      </c>
      <c r="K1733">
        <v>2400</v>
      </c>
      <c r="L1733">
        <v>0</v>
      </c>
      <c r="M1733">
        <v>0</v>
      </c>
      <c r="N1733">
        <v>2400</v>
      </c>
    </row>
    <row r="1734" spans="1:14" x14ac:dyDescent="0.25">
      <c r="A1734">
        <v>856.07080399999995</v>
      </c>
      <c r="B1734" s="1">
        <f>DATE(2012,9,3) + TIME(1,41,57)</f>
        <v>41155.070798611108</v>
      </c>
      <c r="C1734">
        <v>80</v>
      </c>
      <c r="D1734">
        <v>79.976425171000002</v>
      </c>
      <c r="E1734">
        <v>50</v>
      </c>
      <c r="F1734">
        <v>54.051155090000002</v>
      </c>
      <c r="G1734">
        <v>1336.2092285000001</v>
      </c>
      <c r="H1734">
        <v>1334.8132324000001</v>
      </c>
      <c r="I1734">
        <v>1327.9440918</v>
      </c>
      <c r="J1734">
        <v>1326.6667480000001</v>
      </c>
      <c r="K1734">
        <v>2400</v>
      </c>
      <c r="L1734">
        <v>0</v>
      </c>
      <c r="M1734">
        <v>0</v>
      </c>
      <c r="N1734">
        <v>2400</v>
      </c>
    </row>
    <row r="1735" spans="1:14" x14ac:dyDescent="0.25">
      <c r="A1735">
        <v>858.19488699999999</v>
      </c>
      <c r="B1735" s="1">
        <f>DATE(2012,9,5) + TIME(4,40,38)</f>
        <v>41157.194884259261</v>
      </c>
      <c r="C1735">
        <v>80</v>
      </c>
      <c r="D1735">
        <v>79.976448059000006</v>
      </c>
      <c r="E1735">
        <v>50</v>
      </c>
      <c r="F1735">
        <v>54.471908569</v>
      </c>
      <c r="G1735">
        <v>1336.2076416</v>
      </c>
      <c r="H1735">
        <v>1334.8127440999999</v>
      </c>
      <c r="I1735">
        <v>1327.9440918</v>
      </c>
      <c r="J1735">
        <v>1326.6657714999999</v>
      </c>
      <c r="K1735">
        <v>2400</v>
      </c>
      <c r="L1735">
        <v>0</v>
      </c>
      <c r="M1735">
        <v>0</v>
      </c>
      <c r="N1735">
        <v>2400</v>
      </c>
    </row>
    <row r="1736" spans="1:14" x14ac:dyDescent="0.25">
      <c r="A1736">
        <v>860.34628299999997</v>
      </c>
      <c r="B1736" s="1">
        <f>DATE(2012,9,7) + TIME(8,18,38)</f>
        <v>41159.346273148149</v>
      </c>
      <c r="C1736">
        <v>80</v>
      </c>
      <c r="D1736">
        <v>79.976463318</v>
      </c>
      <c r="E1736">
        <v>50</v>
      </c>
      <c r="F1736">
        <v>54.901550293</v>
      </c>
      <c r="G1736">
        <v>1336.2059326000001</v>
      </c>
      <c r="H1736">
        <v>1334.8121338000001</v>
      </c>
      <c r="I1736">
        <v>1327.9442139</v>
      </c>
      <c r="J1736">
        <v>1326.6656493999999</v>
      </c>
      <c r="K1736">
        <v>2400</v>
      </c>
      <c r="L1736">
        <v>0</v>
      </c>
      <c r="M1736">
        <v>0</v>
      </c>
      <c r="N1736">
        <v>2400</v>
      </c>
    </row>
    <row r="1737" spans="1:14" x14ac:dyDescent="0.25">
      <c r="A1737">
        <v>862.56297300000006</v>
      </c>
      <c r="B1737" s="1">
        <f>DATE(2012,9,9) + TIME(13,30,40)</f>
        <v>41161.562962962962</v>
      </c>
      <c r="C1737">
        <v>80</v>
      </c>
      <c r="D1737">
        <v>79.976486206000004</v>
      </c>
      <c r="E1737">
        <v>50</v>
      </c>
      <c r="F1737">
        <v>55.320716857999997</v>
      </c>
      <c r="G1737">
        <v>1336.2042236</v>
      </c>
      <c r="H1737">
        <v>1334.8116454999999</v>
      </c>
      <c r="I1737">
        <v>1327.9444579999999</v>
      </c>
      <c r="J1737">
        <v>1326.6656493999999</v>
      </c>
      <c r="K1737">
        <v>2400</v>
      </c>
      <c r="L1737">
        <v>0</v>
      </c>
      <c r="M1737">
        <v>0</v>
      </c>
      <c r="N1737">
        <v>2400</v>
      </c>
    </row>
    <row r="1738" spans="1:14" x14ac:dyDescent="0.25">
      <c r="A1738">
        <v>864.81127700000002</v>
      </c>
      <c r="B1738" s="1">
        <f>DATE(2012,9,11) + TIME(19,28,14)</f>
        <v>41163.811273148145</v>
      </c>
      <c r="C1738">
        <v>80</v>
      </c>
      <c r="D1738">
        <v>79.976509093999994</v>
      </c>
      <c r="E1738">
        <v>50</v>
      </c>
      <c r="F1738">
        <v>55.729103088000002</v>
      </c>
      <c r="G1738">
        <v>1336.2025146000001</v>
      </c>
      <c r="H1738">
        <v>1334.8111572</v>
      </c>
      <c r="I1738">
        <v>1327.9448242000001</v>
      </c>
      <c r="J1738">
        <v>1326.6657714999999</v>
      </c>
      <c r="K1738">
        <v>2400</v>
      </c>
      <c r="L1738">
        <v>0</v>
      </c>
      <c r="M1738">
        <v>0</v>
      </c>
      <c r="N1738">
        <v>2400</v>
      </c>
    </row>
    <row r="1739" spans="1:14" x14ac:dyDescent="0.25">
      <c r="A1739">
        <v>867.09437800000001</v>
      </c>
      <c r="B1739" s="1">
        <f>DATE(2012,9,14) + TIME(2,15,54)</f>
        <v>41166.094375000001</v>
      </c>
      <c r="C1739">
        <v>80</v>
      </c>
      <c r="D1739">
        <v>79.976531981999997</v>
      </c>
      <c r="E1739">
        <v>50</v>
      </c>
      <c r="F1739">
        <v>56.122299194</v>
      </c>
      <c r="G1739">
        <v>1336.2008057</v>
      </c>
      <c r="H1739">
        <v>1334.8105469</v>
      </c>
      <c r="I1739">
        <v>1327.9453125</v>
      </c>
      <c r="J1739">
        <v>1326.6661377</v>
      </c>
      <c r="K1739">
        <v>2400</v>
      </c>
      <c r="L1739">
        <v>0</v>
      </c>
      <c r="M1739">
        <v>0</v>
      </c>
      <c r="N1739">
        <v>2400</v>
      </c>
    </row>
    <row r="1740" spans="1:14" x14ac:dyDescent="0.25">
      <c r="A1740">
        <v>869.43976299999997</v>
      </c>
      <c r="B1740" s="1">
        <f>DATE(2012,9,16) + TIME(10,33,15)</f>
        <v>41168.439756944441</v>
      </c>
      <c r="C1740">
        <v>80</v>
      </c>
      <c r="D1740">
        <v>79.976554871000005</v>
      </c>
      <c r="E1740">
        <v>50</v>
      </c>
      <c r="F1740">
        <v>56.500778197999999</v>
      </c>
      <c r="G1740">
        <v>1336.1990966999999</v>
      </c>
      <c r="H1740">
        <v>1334.8100586</v>
      </c>
      <c r="I1740">
        <v>1327.9459228999999</v>
      </c>
      <c r="J1740">
        <v>1326.6665039</v>
      </c>
      <c r="K1740">
        <v>2400</v>
      </c>
      <c r="L1740">
        <v>0</v>
      </c>
      <c r="M1740">
        <v>0</v>
      </c>
      <c r="N1740">
        <v>2400</v>
      </c>
    </row>
    <row r="1741" spans="1:14" x14ac:dyDescent="0.25">
      <c r="A1741">
        <v>871.83430699999997</v>
      </c>
      <c r="B1741" s="1">
        <f>DATE(2012,9,18) + TIME(20,1,24)</f>
        <v>41170.834305555552</v>
      </c>
      <c r="C1741">
        <v>80</v>
      </c>
      <c r="D1741">
        <v>79.976577758999994</v>
      </c>
      <c r="E1741">
        <v>50</v>
      </c>
      <c r="F1741">
        <v>56.870170592999997</v>
      </c>
      <c r="G1741">
        <v>1336.1973877</v>
      </c>
      <c r="H1741">
        <v>1334.8094481999999</v>
      </c>
      <c r="I1741">
        <v>1327.9466553</v>
      </c>
      <c r="J1741">
        <v>1326.6671143000001</v>
      </c>
      <c r="K1741">
        <v>2400</v>
      </c>
      <c r="L1741">
        <v>0</v>
      </c>
      <c r="M1741">
        <v>0</v>
      </c>
      <c r="N1741">
        <v>2400</v>
      </c>
    </row>
    <row r="1742" spans="1:14" x14ac:dyDescent="0.25">
      <c r="A1742">
        <v>874.276208</v>
      </c>
      <c r="B1742" s="1">
        <f>DATE(2012,9,21) + TIME(6,37,44)</f>
        <v>41173.276203703703</v>
      </c>
      <c r="C1742">
        <v>80</v>
      </c>
      <c r="D1742">
        <v>79.976600646999998</v>
      </c>
      <c r="E1742">
        <v>50</v>
      </c>
      <c r="F1742">
        <v>57.229209900000001</v>
      </c>
      <c r="G1742">
        <v>1336.1956786999999</v>
      </c>
      <c r="H1742">
        <v>1334.8088379000001</v>
      </c>
      <c r="I1742">
        <v>1327.9475098</v>
      </c>
      <c r="J1742">
        <v>1326.6678466999999</v>
      </c>
      <c r="K1742">
        <v>2400</v>
      </c>
      <c r="L1742">
        <v>0</v>
      </c>
      <c r="M1742">
        <v>0</v>
      </c>
      <c r="N1742">
        <v>2400</v>
      </c>
    </row>
    <row r="1743" spans="1:14" x14ac:dyDescent="0.25">
      <c r="A1743">
        <v>876.74851200000001</v>
      </c>
      <c r="B1743" s="1">
        <f>DATE(2012,9,23) + TIME(17,57,51)</f>
        <v>41175.748506944445</v>
      </c>
      <c r="C1743">
        <v>80</v>
      </c>
      <c r="D1743">
        <v>79.976631165000001</v>
      </c>
      <c r="E1743">
        <v>50</v>
      </c>
      <c r="F1743">
        <v>57.577381133999999</v>
      </c>
      <c r="G1743">
        <v>1336.1939697</v>
      </c>
      <c r="H1743">
        <v>1334.8082274999999</v>
      </c>
      <c r="I1743">
        <v>1327.9484863</v>
      </c>
      <c r="J1743">
        <v>1326.6685791</v>
      </c>
      <c r="K1743">
        <v>2400</v>
      </c>
      <c r="L1743">
        <v>0</v>
      </c>
      <c r="M1743">
        <v>0</v>
      </c>
      <c r="N1743">
        <v>2400</v>
      </c>
    </row>
    <row r="1744" spans="1:14" x14ac:dyDescent="0.25">
      <c r="A1744">
        <v>879.29415600000004</v>
      </c>
      <c r="B1744" s="1">
        <f>DATE(2012,9,26) + TIME(7,3,35)</f>
        <v>41178.29415509259</v>
      </c>
      <c r="C1744">
        <v>80</v>
      </c>
      <c r="D1744">
        <v>79.976654053000004</v>
      </c>
      <c r="E1744">
        <v>50</v>
      </c>
      <c r="F1744">
        <v>57.914928435999997</v>
      </c>
      <c r="G1744">
        <v>1336.1922606999999</v>
      </c>
      <c r="H1744">
        <v>1334.8076172000001</v>
      </c>
      <c r="I1744">
        <v>1327.9493408000001</v>
      </c>
      <c r="J1744">
        <v>1326.6693115</v>
      </c>
      <c r="K1744">
        <v>2400</v>
      </c>
      <c r="L1744">
        <v>0</v>
      </c>
      <c r="M1744">
        <v>0</v>
      </c>
      <c r="N1744">
        <v>2400</v>
      </c>
    </row>
    <row r="1745" spans="1:14" x14ac:dyDescent="0.25">
      <c r="A1745">
        <v>881.87967600000002</v>
      </c>
      <c r="B1745" s="1">
        <f>DATE(2012,9,28) + TIME(21,6,44)</f>
        <v>41180.879675925928</v>
      </c>
      <c r="C1745">
        <v>80</v>
      </c>
      <c r="D1745">
        <v>79.976684570000003</v>
      </c>
      <c r="E1745">
        <v>50</v>
      </c>
      <c r="F1745">
        <v>58.243251801</v>
      </c>
      <c r="G1745">
        <v>1336.1905518000001</v>
      </c>
      <c r="H1745">
        <v>1334.8070068</v>
      </c>
      <c r="I1745">
        <v>1327.9503173999999</v>
      </c>
      <c r="J1745">
        <v>1326.6701660000001</v>
      </c>
      <c r="K1745">
        <v>2400</v>
      </c>
      <c r="L1745">
        <v>0</v>
      </c>
      <c r="M1745">
        <v>0</v>
      </c>
      <c r="N1745">
        <v>2400</v>
      </c>
    </row>
    <row r="1746" spans="1:14" x14ac:dyDescent="0.25">
      <c r="A1746">
        <v>884</v>
      </c>
      <c r="B1746" s="1">
        <f>DATE(2012,10,1) + TIME(0,0,0)</f>
        <v>41183</v>
      </c>
      <c r="C1746">
        <v>80</v>
      </c>
      <c r="D1746">
        <v>79.976699828999998</v>
      </c>
      <c r="E1746">
        <v>50</v>
      </c>
      <c r="F1746">
        <v>58.547882080000001</v>
      </c>
      <c r="G1746">
        <v>1336.1888428</v>
      </c>
      <c r="H1746">
        <v>1334.8062743999999</v>
      </c>
      <c r="I1746">
        <v>1327.9515381000001</v>
      </c>
      <c r="J1746">
        <v>1326.6710204999999</v>
      </c>
      <c r="K1746">
        <v>2400</v>
      </c>
      <c r="L1746">
        <v>0</v>
      </c>
      <c r="M1746">
        <v>0</v>
      </c>
      <c r="N1746">
        <v>2400</v>
      </c>
    </row>
    <row r="1747" spans="1:14" x14ac:dyDescent="0.25">
      <c r="A1747">
        <v>886.62660100000005</v>
      </c>
      <c r="B1747" s="1">
        <f>DATE(2012,10,3) + TIME(15,2,18)</f>
        <v>41185.626597222225</v>
      </c>
      <c r="C1747">
        <v>80</v>
      </c>
      <c r="D1747">
        <v>79.976730347</v>
      </c>
      <c r="E1747">
        <v>50</v>
      </c>
      <c r="F1747">
        <v>58.815242767000001</v>
      </c>
      <c r="G1747">
        <v>1336.1875</v>
      </c>
      <c r="H1747">
        <v>1334.8057861</v>
      </c>
      <c r="I1747">
        <v>1327.9522704999999</v>
      </c>
      <c r="J1747">
        <v>1326.6721190999999</v>
      </c>
      <c r="K1747">
        <v>2400</v>
      </c>
      <c r="L1747">
        <v>0</v>
      </c>
      <c r="M1747">
        <v>0</v>
      </c>
      <c r="N1747">
        <v>2400</v>
      </c>
    </row>
    <row r="1748" spans="1:14" x14ac:dyDescent="0.25">
      <c r="A1748">
        <v>889.38764600000002</v>
      </c>
      <c r="B1748" s="1">
        <f>DATE(2012,10,6) + TIME(9,18,12)</f>
        <v>41188.387638888889</v>
      </c>
      <c r="C1748">
        <v>80</v>
      </c>
      <c r="D1748">
        <v>79.976760863999999</v>
      </c>
      <c r="E1748">
        <v>50</v>
      </c>
      <c r="F1748">
        <v>59.104587555000002</v>
      </c>
      <c r="G1748">
        <v>1336.1856689000001</v>
      </c>
      <c r="H1748">
        <v>1334.8050536999999</v>
      </c>
      <c r="I1748">
        <v>1327.9532471</v>
      </c>
      <c r="J1748">
        <v>1326.6726074000001</v>
      </c>
      <c r="K1748">
        <v>2400</v>
      </c>
      <c r="L1748">
        <v>0</v>
      </c>
      <c r="M1748">
        <v>0</v>
      </c>
      <c r="N1748">
        <v>2400</v>
      </c>
    </row>
    <row r="1749" spans="1:14" x14ac:dyDescent="0.25">
      <c r="A1749">
        <v>892.19959100000005</v>
      </c>
      <c r="B1749" s="1">
        <f>DATE(2012,10,9) + TIME(4,47,24)</f>
        <v>41191.199583333335</v>
      </c>
      <c r="C1749">
        <v>80</v>
      </c>
      <c r="D1749">
        <v>79.976791382000002</v>
      </c>
      <c r="E1749">
        <v>50</v>
      </c>
      <c r="F1749">
        <v>59.395729064999998</v>
      </c>
      <c r="G1749">
        <v>1336.1839600000001</v>
      </c>
      <c r="H1749">
        <v>1334.8044434000001</v>
      </c>
      <c r="I1749">
        <v>1327.9542236</v>
      </c>
      <c r="J1749">
        <v>1326.6733397999999</v>
      </c>
      <c r="K1749">
        <v>2400</v>
      </c>
      <c r="L1749">
        <v>0</v>
      </c>
      <c r="M1749">
        <v>0</v>
      </c>
      <c r="N1749">
        <v>2400</v>
      </c>
    </row>
    <row r="1750" spans="1:14" x14ac:dyDescent="0.25">
      <c r="A1750">
        <v>895.06368499999996</v>
      </c>
      <c r="B1750" s="1">
        <f>DATE(2012,10,12) + TIME(1,31,42)</f>
        <v>41194.063680555555</v>
      </c>
      <c r="C1750">
        <v>80</v>
      </c>
      <c r="D1750">
        <v>79.976829529</v>
      </c>
      <c r="E1750">
        <v>50</v>
      </c>
      <c r="F1750">
        <v>59.680072783999996</v>
      </c>
      <c r="G1750">
        <v>1336.1821289</v>
      </c>
      <c r="H1750">
        <v>1334.8037108999999</v>
      </c>
      <c r="I1750">
        <v>1327.9553223</v>
      </c>
      <c r="J1750">
        <v>1326.6740723</v>
      </c>
      <c r="K1750">
        <v>2400</v>
      </c>
      <c r="L1750">
        <v>0</v>
      </c>
      <c r="M1750">
        <v>0</v>
      </c>
      <c r="N1750">
        <v>2400</v>
      </c>
    </row>
    <row r="1751" spans="1:14" x14ac:dyDescent="0.25">
      <c r="A1751">
        <v>898.00728400000003</v>
      </c>
      <c r="B1751" s="1">
        <f>DATE(2012,10,15) + TIME(0,10,29)</f>
        <v>41197.007280092592</v>
      </c>
      <c r="C1751">
        <v>80</v>
      </c>
      <c r="D1751">
        <v>79.976852417000003</v>
      </c>
      <c r="E1751">
        <v>50</v>
      </c>
      <c r="F1751">
        <v>59.956245422000002</v>
      </c>
      <c r="G1751">
        <v>1336.1804199000001</v>
      </c>
      <c r="H1751">
        <v>1334.8028564000001</v>
      </c>
      <c r="I1751">
        <v>1327.9564209</v>
      </c>
      <c r="J1751">
        <v>1326.6748047000001</v>
      </c>
      <c r="K1751">
        <v>2400</v>
      </c>
      <c r="L1751">
        <v>0</v>
      </c>
      <c r="M1751">
        <v>0</v>
      </c>
      <c r="N1751">
        <v>2400</v>
      </c>
    </row>
    <row r="1752" spans="1:14" x14ac:dyDescent="0.25">
      <c r="A1752">
        <v>901.00986899999998</v>
      </c>
      <c r="B1752" s="1">
        <f>DATE(2012,10,18) + TIME(0,14,12)</f>
        <v>41200.00986111111</v>
      </c>
      <c r="C1752">
        <v>80</v>
      </c>
      <c r="D1752">
        <v>79.976905822999996</v>
      </c>
      <c r="E1752">
        <v>50</v>
      </c>
      <c r="F1752">
        <v>60.223526001000003</v>
      </c>
      <c r="G1752">
        <v>1336.1785889</v>
      </c>
      <c r="H1752">
        <v>1334.802124</v>
      </c>
      <c r="I1752">
        <v>1327.9573975000001</v>
      </c>
      <c r="J1752">
        <v>1326.6754149999999</v>
      </c>
      <c r="K1752">
        <v>2400</v>
      </c>
      <c r="L1752">
        <v>0</v>
      </c>
      <c r="M1752">
        <v>0</v>
      </c>
      <c r="N1752">
        <v>2400</v>
      </c>
    </row>
    <row r="1753" spans="1:14" x14ac:dyDescent="0.25">
      <c r="A1753">
        <v>904.06295699999998</v>
      </c>
      <c r="B1753" s="1">
        <f>DATE(2012,10,21) + TIME(1,30,39)</f>
        <v>41203.062951388885</v>
      </c>
      <c r="C1753">
        <v>80</v>
      </c>
      <c r="D1753">
        <v>79.976898192999997</v>
      </c>
      <c r="E1753">
        <v>50</v>
      </c>
      <c r="F1753">
        <v>60.482494354000004</v>
      </c>
      <c r="G1753">
        <v>1336.1767577999999</v>
      </c>
      <c r="H1753">
        <v>1334.8013916</v>
      </c>
      <c r="I1753">
        <v>1327.958374</v>
      </c>
      <c r="J1753">
        <v>1326.6761475000001</v>
      </c>
      <c r="K1753">
        <v>2400</v>
      </c>
      <c r="L1753">
        <v>0</v>
      </c>
      <c r="M1753">
        <v>0</v>
      </c>
      <c r="N1753">
        <v>2400</v>
      </c>
    </row>
    <row r="1754" spans="1:14" x14ac:dyDescent="0.25">
      <c r="A1754">
        <v>907.22218399999997</v>
      </c>
      <c r="B1754" s="1">
        <f>DATE(2012,10,24) + TIME(5,19,56)</f>
        <v>41206.222175925926</v>
      </c>
      <c r="C1754">
        <v>80</v>
      </c>
      <c r="D1754">
        <v>79.977020264000004</v>
      </c>
      <c r="E1754">
        <v>50</v>
      </c>
      <c r="F1754">
        <v>60.733150481999999</v>
      </c>
      <c r="G1754">
        <v>1336.1749268000001</v>
      </c>
      <c r="H1754">
        <v>1334.8005370999999</v>
      </c>
      <c r="I1754">
        <v>1327.9594727000001</v>
      </c>
      <c r="J1754">
        <v>1326.6767577999999</v>
      </c>
      <c r="K1754">
        <v>2400</v>
      </c>
      <c r="L1754">
        <v>0</v>
      </c>
      <c r="M1754">
        <v>0</v>
      </c>
      <c r="N1754">
        <v>2400</v>
      </c>
    </row>
    <row r="1755" spans="1:14" x14ac:dyDescent="0.25">
      <c r="A1755">
        <v>910.44263599999999</v>
      </c>
      <c r="B1755" s="1">
        <f>DATE(2012,10,27) + TIME(10,37,23)</f>
        <v>41209.442627314813</v>
      </c>
      <c r="C1755">
        <v>80</v>
      </c>
      <c r="D1755">
        <v>79.976875304999993</v>
      </c>
      <c r="E1755">
        <v>50</v>
      </c>
      <c r="F1755">
        <v>60.978523254000002</v>
      </c>
      <c r="G1755">
        <v>1336.1730957</v>
      </c>
      <c r="H1755">
        <v>1334.7996826000001</v>
      </c>
      <c r="I1755">
        <v>1327.9604492000001</v>
      </c>
      <c r="J1755">
        <v>1326.6772461</v>
      </c>
      <c r="K1755">
        <v>2400</v>
      </c>
      <c r="L1755">
        <v>0</v>
      </c>
      <c r="M1755">
        <v>0</v>
      </c>
      <c r="N1755">
        <v>2400</v>
      </c>
    </row>
    <row r="1756" spans="1:14" x14ac:dyDescent="0.25">
      <c r="A1756">
        <v>912.09790699999996</v>
      </c>
      <c r="B1756" s="1">
        <f>DATE(2012,10,29) + TIME(2,20,59)</f>
        <v>41211.097905092596</v>
      </c>
      <c r="C1756">
        <v>80</v>
      </c>
      <c r="D1756">
        <v>79.977058411000002</v>
      </c>
      <c r="E1756">
        <v>50</v>
      </c>
      <c r="F1756">
        <v>61.189079284999998</v>
      </c>
      <c r="G1756">
        <v>1336.1713867000001</v>
      </c>
      <c r="H1756">
        <v>1334.7989502</v>
      </c>
      <c r="I1756">
        <v>1327.9617920000001</v>
      </c>
      <c r="J1756">
        <v>1326.6779785000001</v>
      </c>
      <c r="K1756">
        <v>2400</v>
      </c>
      <c r="L1756">
        <v>0</v>
      </c>
      <c r="M1756">
        <v>0</v>
      </c>
      <c r="N1756">
        <v>2400</v>
      </c>
    </row>
    <row r="1757" spans="1:14" x14ac:dyDescent="0.25">
      <c r="A1757">
        <v>914.25068699999997</v>
      </c>
      <c r="B1757" s="1">
        <f>DATE(2012,10,31) + TIME(6,0,59)</f>
        <v>41213.25068287037</v>
      </c>
      <c r="C1757">
        <v>80</v>
      </c>
      <c r="D1757">
        <v>79.976951599000003</v>
      </c>
      <c r="E1757">
        <v>50</v>
      </c>
      <c r="F1757">
        <v>61.335018157999997</v>
      </c>
      <c r="G1757">
        <v>1336.1704102000001</v>
      </c>
      <c r="H1757">
        <v>1334.7983397999999</v>
      </c>
      <c r="I1757">
        <v>1327.9622803</v>
      </c>
      <c r="J1757">
        <v>1326.6790771000001</v>
      </c>
      <c r="K1757">
        <v>2400</v>
      </c>
      <c r="L1757">
        <v>0</v>
      </c>
      <c r="M1757">
        <v>0</v>
      </c>
      <c r="N1757">
        <v>2400</v>
      </c>
    </row>
    <row r="1758" spans="1:14" x14ac:dyDescent="0.25">
      <c r="A1758">
        <v>915</v>
      </c>
      <c r="B1758" s="1">
        <f>DATE(2012,11,1) + TIME(0,0,0)</f>
        <v>41214</v>
      </c>
      <c r="C1758">
        <v>80</v>
      </c>
      <c r="D1758">
        <v>79.976997374999996</v>
      </c>
      <c r="E1758">
        <v>50</v>
      </c>
      <c r="F1758">
        <v>61.443237304999997</v>
      </c>
      <c r="G1758">
        <v>1336.1691894999999</v>
      </c>
      <c r="H1758">
        <v>1334.7979736</v>
      </c>
      <c r="I1758">
        <v>1327.9632568</v>
      </c>
      <c r="J1758">
        <v>1326.6793213000001</v>
      </c>
      <c r="K1758">
        <v>2400</v>
      </c>
      <c r="L1758">
        <v>0</v>
      </c>
      <c r="M1758">
        <v>0</v>
      </c>
      <c r="N1758">
        <v>2400</v>
      </c>
    </row>
    <row r="1759" spans="1:14" x14ac:dyDescent="0.25">
      <c r="A1759">
        <v>915.000001</v>
      </c>
      <c r="B1759" s="1">
        <f>DATE(2012,11,1) + TIME(0,0,0)</f>
        <v>41214</v>
      </c>
      <c r="C1759">
        <v>80</v>
      </c>
      <c r="D1759">
        <v>79.976913452000005</v>
      </c>
      <c r="E1759">
        <v>50</v>
      </c>
      <c r="F1759">
        <v>61.443321228000002</v>
      </c>
      <c r="G1759">
        <v>1334.2401123</v>
      </c>
      <c r="H1759">
        <v>1334.0362548999999</v>
      </c>
      <c r="I1759">
        <v>1329.9411620999999</v>
      </c>
      <c r="J1759">
        <v>1328.7299805</v>
      </c>
      <c r="K1759">
        <v>0</v>
      </c>
      <c r="L1759">
        <v>2400</v>
      </c>
      <c r="M1759">
        <v>2400</v>
      </c>
      <c r="N1759">
        <v>0</v>
      </c>
    </row>
    <row r="1760" spans="1:14" x14ac:dyDescent="0.25">
      <c r="A1760">
        <v>915.00000399999999</v>
      </c>
      <c r="B1760" s="1">
        <f>DATE(2012,11,1) + TIME(0,0,0)</f>
        <v>41214</v>
      </c>
      <c r="C1760">
        <v>80</v>
      </c>
      <c r="D1760">
        <v>79.976837157999995</v>
      </c>
      <c r="E1760">
        <v>50</v>
      </c>
      <c r="F1760">
        <v>61.443370819000002</v>
      </c>
      <c r="G1760">
        <v>1333.6646728999999</v>
      </c>
      <c r="H1760">
        <v>1333.4447021000001</v>
      </c>
      <c r="I1760">
        <v>1330.7430420000001</v>
      </c>
      <c r="J1760">
        <v>1329.5645752</v>
      </c>
      <c r="K1760">
        <v>0</v>
      </c>
      <c r="L1760">
        <v>2400</v>
      </c>
      <c r="M1760">
        <v>2400</v>
      </c>
      <c r="N1760">
        <v>0</v>
      </c>
    </row>
    <row r="1761" spans="1:14" x14ac:dyDescent="0.25">
      <c r="A1761">
        <v>915.00001299999997</v>
      </c>
      <c r="B1761" s="1">
        <f>DATE(2012,11,1) + TIME(0,0,1)</f>
        <v>41214.000011574077</v>
      </c>
      <c r="C1761">
        <v>80</v>
      </c>
      <c r="D1761">
        <v>79.976753235000004</v>
      </c>
      <c r="E1761">
        <v>50</v>
      </c>
      <c r="F1761">
        <v>61.443286895999996</v>
      </c>
      <c r="G1761">
        <v>1333.1270752</v>
      </c>
      <c r="H1761">
        <v>1332.8737793</v>
      </c>
      <c r="I1761">
        <v>1331.5682373</v>
      </c>
      <c r="J1761">
        <v>1330.3618164</v>
      </c>
      <c r="K1761">
        <v>0</v>
      </c>
      <c r="L1761">
        <v>2400</v>
      </c>
      <c r="M1761">
        <v>2400</v>
      </c>
      <c r="N1761">
        <v>0</v>
      </c>
    </row>
    <row r="1762" spans="1:14" x14ac:dyDescent="0.25">
      <c r="A1762">
        <v>915.00004000000001</v>
      </c>
      <c r="B1762" s="1">
        <f>DATE(2012,11,1) + TIME(0,0,3)</f>
        <v>41214.000034722223</v>
      </c>
      <c r="C1762">
        <v>80</v>
      </c>
      <c r="D1762">
        <v>79.976676940999994</v>
      </c>
      <c r="E1762">
        <v>50</v>
      </c>
      <c r="F1762">
        <v>61.442813872999999</v>
      </c>
      <c r="G1762">
        <v>1332.5982666</v>
      </c>
      <c r="H1762">
        <v>1332.3117675999999</v>
      </c>
      <c r="I1762">
        <v>1332.3587646000001</v>
      </c>
      <c r="J1762">
        <v>1331.1224365</v>
      </c>
      <c r="K1762">
        <v>0</v>
      </c>
      <c r="L1762">
        <v>2400</v>
      </c>
      <c r="M1762">
        <v>2400</v>
      </c>
      <c r="N1762">
        <v>0</v>
      </c>
    </row>
    <row r="1763" spans="1:14" x14ac:dyDescent="0.25">
      <c r="A1763">
        <v>915.00012100000004</v>
      </c>
      <c r="B1763" s="1">
        <f>DATE(2012,11,1) + TIME(0,0,10)</f>
        <v>41214.000115740739</v>
      </c>
      <c r="C1763">
        <v>80</v>
      </c>
      <c r="D1763">
        <v>79.976593018000003</v>
      </c>
      <c r="E1763">
        <v>50</v>
      </c>
      <c r="F1763">
        <v>61.441139221</v>
      </c>
      <c r="G1763">
        <v>1332.0535889</v>
      </c>
      <c r="H1763">
        <v>1331.7353516000001</v>
      </c>
      <c r="I1763">
        <v>1333.1265868999999</v>
      </c>
      <c r="J1763">
        <v>1331.8592529</v>
      </c>
      <c r="K1763">
        <v>0</v>
      </c>
      <c r="L1763">
        <v>2400</v>
      </c>
      <c r="M1763">
        <v>2400</v>
      </c>
      <c r="N1763">
        <v>0</v>
      </c>
    </row>
    <row r="1764" spans="1:14" x14ac:dyDescent="0.25">
      <c r="A1764">
        <v>915.00036399999999</v>
      </c>
      <c r="B1764" s="1">
        <f>DATE(2012,11,1) + TIME(0,0,31)</f>
        <v>41214.000358796293</v>
      </c>
      <c r="C1764">
        <v>80</v>
      </c>
      <c r="D1764">
        <v>79.976486206000004</v>
      </c>
      <c r="E1764">
        <v>50</v>
      </c>
      <c r="F1764">
        <v>61.435771942000002</v>
      </c>
      <c r="G1764">
        <v>1331.5195312000001</v>
      </c>
      <c r="H1764">
        <v>1331.1713867000001</v>
      </c>
      <c r="I1764">
        <v>1333.8477783000001</v>
      </c>
      <c r="J1764">
        <v>1332.5446777</v>
      </c>
      <c r="K1764">
        <v>0</v>
      </c>
      <c r="L1764">
        <v>2400</v>
      </c>
      <c r="M1764">
        <v>2400</v>
      </c>
      <c r="N1764">
        <v>0</v>
      </c>
    </row>
    <row r="1765" spans="1:14" x14ac:dyDescent="0.25">
      <c r="A1765">
        <v>915.00109299999997</v>
      </c>
      <c r="B1765" s="1">
        <f>DATE(2012,11,1) + TIME(0,1,34)</f>
        <v>41214.001087962963</v>
      </c>
      <c r="C1765">
        <v>80</v>
      </c>
      <c r="D1765">
        <v>79.976325989000003</v>
      </c>
      <c r="E1765">
        <v>50</v>
      </c>
      <c r="F1765">
        <v>61.419113158999998</v>
      </c>
      <c r="G1765">
        <v>1331.0931396000001</v>
      </c>
      <c r="H1765">
        <v>1330.7219238</v>
      </c>
      <c r="I1765">
        <v>1334.4163818</v>
      </c>
      <c r="J1765">
        <v>1333.0826416</v>
      </c>
      <c r="K1765">
        <v>0</v>
      </c>
      <c r="L1765">
        <v>2400</v>
      </c>
      <c r="M1765">
        <v>2400</v>
      </c>
      <c r="N1765">
        <v>0</v>
      </c>
    </row>
    <row r="1766" spans="1:14" x14ac:dyDescent="0.25">
      <c r="A1766">
        <v>915.00328000000002</v>
      </c>
      <c r="B1766" s="1">
        <f>DATE(2012,11,1) + TIME(0,4,43)</f>
        <v>41214.003275462965</v>
      </c>
      <c r="C1766">
        <v>80</v>
      </c>
      <c r="D1766">
        <v>79.976013183999996</v>
      </c>
      <c r="E1766">
        <v>50</v>
      </c>
      <c r="F1766">
        <v>61.368652343999997</v>
      </c>
      <c r="G1766">
        <v>1330.8706055</v>
      </c>
      <c r="H1766">
        <v>1330.4885254000001</v>
      </c>
      <c r="I1766">
        <v>1334.7165527</v>
      </c>
      <c r="J1766">
        <v>1333.3677978999999</v>
      </c>
      <c r="K1766">
        <v>0</v>
      </c>
      <c r="L1766">
        <v>2400</v>
      </c>
      <c r="M1766">
        <v>2400</v>
      </c>
      <c r="N1766">
        <v>0</v>
      </c>
    </row>
    <row r="1767" spans="1:14" x14ac:dyDescent="0.25">
      <c r="A1767">
        <v>915.00984100000005</v>
      </c>
      <c r="B1767" s="1">
        <f>DATE(2012,11,1) + TIME(0,14,10)</f>
        <v>41214.009837962964</v>
      </c>
      <c r="C1767">
        <v>80</v>
      </c>
      <c r="D1767">
        <v>79.975135803000001</v>
      </c>
      <c r="E1767">
        <v>50</v>
      </c>
      <c r="F1767">
        <v>61.219135283999996</v>
      </c>
      <c r="G1767">
        <v>1330.8137207</v>
      </c>
      <c r="H1767">
        <v>1330.4288329999999</v>
      </c>
      <c r="I1767">
        <v>1334.7932129000001</v>
      </c>
      <c r="J1767">
        <v>1333.4412841999999</v>
      </c>
      <c r="K1767">
        <v>0</v>
      </c>
      <c r="L1767">
        <v>2400</v>
      </c>
      <c r="M1767">
        <v>2400</v>
      </c>
      <c r="N1767">
        <v>0</v>
      </c>
    </row>
    <row r="1768" spans="1:14" x14ac:dyDescent="0.25">
      <c r="A1768">
        <v>915.02952400000004</v>
      </c>
      <c r="B1768" s="1">
        <f>DATE(2012,11,1) + TIME(0,42,30)</f>
        <v>41214.029513888891</v>
      </c>
      <c r="C1768">
        <v>80</v>
      </c>
      <c r="D1768">
        <v>79.972564696999996</v>
      </c>
      <c r="E1768">
        <v>50</v>
      </c>
      <c r="F1768">
        <v>60.790710449000002</v>
      </c>
      <c r="G1768">
        <v>1330.8060303</v>
      </c>
      <c r="H1768">
        <v>1330.4196777</v>
      </c>
      <c r="I1768">
        <v>1334.793457</v>
      </c>
      <c r="J1768">
        <v>1333.4418945</v>
      </c>
      <c r="K1768">
        <v>0</v>
      </c>
      <c r="L1768">
        <v>2400</v>
      </c>
      <c r="M1768">
        <v>2400</v>
      </c>
      <c r="N1768">
        <v>0</v>
      </c>
    </row>
    <row r="1769" spans="1:14" x14ac:dyDescent="0.25">
      <c r="A1769">
        <v>915.05321700000002</v>
      </c>
      <c r="B1769" s="1">
        <f>DATE(2012,11,1) + TIME(1,16,37)</f>
        <v>41214.053206018521</v>
      </c>
      <c r="C1769">
        <v>80</v>
      </c>
      <c r="D1769">
        <v>79.969490050999994</v>
      </c>
      <c r="E1769">
        <v>50</v>
      </c>
      <c r="F1769">
        <v>60.302150726000001</v>
      </c>
      <c r="G1769">
        <v>1330.8006591999999</v>
      </c>
      <c r="H1769">
        <v>1330.411499</v>
      </c>
      <c r="I1769">
        <v>1334.7874756000001</v>
      </c>
      <c r="J1769">
        <v>1333.4361572</v>
      </c>
      <c r="K1769">
        <v>0</v>
      </c>
      <c r="L1769">
        <v>2400</v>
      </c>
      <c r="M1769">
        <v>2400</v>
      </c>
      <c r="N1769">
        <v>0</v>
      </c>
    </row>
    <row r="1770" spans="1:14" x14ac:dyDescent="0.25">
      <c r="A1770">
        <v>915.07798400000001</v>
      </c>
      <c r="B1770" s="1">
        <f>DATE(2012,11,1) + TIME(1,52,17)</f>
        <v>41214.077974537038</v>
      </c>
      <c r="C1770">
        <v>80</v>
      </c>
      <c r="D1770">
        <v>79.966293335000003</v>
      </c>
      <c r="E1770">
        <v>50</v>
      </c>
      <c r="F1770">
        <v>59.818874358999999</v>
      </c>
      <c r="G1770">
        <v>1330.7947998</v>
      </c>
      <c r="H1770">
        <v>1330.4023437999999</v>
      </c>
      <c r="I1770">
        <v>1334.7825928</v>
      </c>
      <c r="J1770">
        <v>1333.4310303</v>
      </c>
      <c r="K1770">
        <v>0</v>
      </c>
      <c r="L1770">
        <v>2400</v>
      </c>
      <c r="M1770">
        <v>2400</v>
      </c>
      <c r="N1770">
        <v>0</v>
      </c>
    </row>
    <row r="1771" spans="1:14" x14ac:dyDescent="0.25">
      <c r="A1771">
        <v>915.10390600000005</v>
      </c>
      <c r="B1771" s="1">
        <f>DATE(2012,11,1) + TIME(2,29,37)</f>
        <v>41214.103900462964</v>
      </c>
      <c r="C1771">
        <v>80</v>
      </c>
      <c r="D1771">
        <v>79.962974548000005</v>
      </c>
      <c r="E1771">
        <v>50</v>
      </c>
      <c r="F1771">
        <v>59.340896606000001</v>
      </c>
      <c r="G1771">
        <v>1330.7888184000001</v>
      </c>
      <c r="H1771">
        <v>1330.3930664</v>
      </c>
      <c r="I1771">
        <v>1334.7781981999999</v>
      </c>
      <c r="J1771">
        <v>1333.4262695</v>
      </c>
      <c r="K1771">
        <v>0</v>
      </c>
      <c r="L1771">
        <v>2400</v>
      </c>
      <c r="M1771">
        <v>2400</v>
      </c>
      <c r="N1771">
        <v>0</v>
      </c>
    </row>
    <row r="1772" spans="1:14" x14ac:dyDescent="0.25">
      <c r="A1772">
        <v>915.13106900000002</v>
      </c>
      <c r="B1772" s="1">
        <f>DATE(2012,11,1) + TIME(3,8,44)</f>
        <v>41214.131064814814</v>
      </c>
      <c r="C1772">
        <v>80</v>
      </c>
      <c r="D1772">
        <v>79.959510803000001</v>
      </c>
      <c r="E1772">
        <v>50</v>
      </c>
      <c r="F1772">
        <v>58.868610382</v>
      </c>
      <c r="G1772">
        <v>1330.7827147999999</v>
      </c>
      <c r="H1772">
        <v>1330.3835449000001</v>
      </c>
      <c r="I1772">
        <v>1334.7742920000001</v>
      </c>
      <c r="J1772">
        <v>1333.4217529</v>
      </c>
      <c r="K1772">
        <v>0</v>
      </c>
      <c r="L1772">
        <v>2400</v>
      </c>
      <c r="M1772">
        <v>2400</v>
      </c>
      <c r="N1772">
        <v>0</v>
      </c>
    </row>
    <row r="1773" spans="1:14" x14ac:dyDescent="0.25">
      <c r="A1773">
        <v>915.15956300000005</v>
      </c>
      <c r="B1773" s="1">
        <f>DATE(2012,11,1) + TIME(3,49,46)</f>
        <v>41214.159560185188</v>
      </c>
      <c r="C1773">
        <v>80</v>
      </c>
      <c r="D1773">
        <v>79.955902100000003</v>
      </c>
      <c r="E1773">
        <v>50</v>
      </c>
      <c r="F1773">
        <v>58.402359009000001</v>
      </c>
      <c r="G1773">
        <v>1330.7764893000001</v>
      </c>
      <c r="H1773">
        <v>1330.3740233999999</v>
      </c>
      <c r="I1773">
        <v>1334.7709961</v>
      </c>
      <c r="J1773">
        <v>1333.4177245999999</v>
      </c>
      <c r="K1773">
        <v>0</v>
      </c>
      <c r="L1773">
        <v>2400</v>
      </c>
      <c r="M1773">
        <v>2400</v>
      </c>
      <c r="N1773">
        <v>0</v>
      </c>
    </row>
    <row r="1774" spans="1:14" x14ac:dyDescent="0.25">
      <c r="A1774">
        <v>915.18949899999996</v>
      </c>
      <c r="B1774" s="1">
        <f>DATE(2012,11,1) + TIME(4,32,52)</f>
        <v>41214.18949074074</v>
      </c>
      <c r="C1774">
        <v>80</v>
      </c>
      <c r="D1774">
        <v>79.952133179</v>
      </c>
      <c r="E1774">
        <v>50</v>
      </c>
      <c r="F1774">
        <v>57.942340850999997</v>
      </c>
      <c r="G1774">
        <v>1330.7702637</v>
      </c>
      <c r="H1774">
        <v>1330.3643798999999</v>
      </c>
      <c r="I1774">
        <v>1334.7684326000001</v>
      </c>
      <c r="J1774">
        <v>1333.4141846</v>
      </c>
      <c r="K1774">
        <v>0</v>
      </c>
      <c r="L1774">
        <v>2400</v>
      </c>
      <c r="M1774">
        <v>2400</v>
      </c>
      <c r="N1774">
        <v>0</v>
      </c>
    </row>
    <row r="1775" spans="1:14" x14ac:dyDescent="0.25">
      <c r="A1775">
        <v>915.221001</v>
      </c>
      <c r="B1775" s="1">
        <f>DATE(2012,11,1) + TIME(5,18,14)</f>
        <v>41214.220995370371</v>
      </c>
      <c r="C1775">
        <v>80</v>
      </c>
      <c r="D1775">
        <v>79.948204040999997</v>
      </c>
      <c r="E1775">
        <v>50</v>
      </c>
      <c r="F1775">
        <v>57.488746642999999</v>
      </c>
      <c r="G1775">
        <v>1330.7637939000001</v>
      </c>
      <c r="H1775">
        <v>1330.3544922000001</v>
      </c>
      <c r="I1775">
        <v>1334.7663574000001</v>
      </c>
      <c r="J1775">
        <v>1333.4110106999999</v>
      </c>
      <c r="K1775">
        <v>0</v>
      </c>
      <c r="L1775">
        <v>2400</v>
      </c>
      <c r="M1775">
        <v>2400</v>
      </c>
      <c r="N1775">
        <v>0</v>
      </c>
    </row>
    <row r="1776" spans="1:14" x14ac:dyDescent="0.25">
      <c r="A1776">
        <v>915.25420499999996</v>
      </c>
      <c r="B1776" s="1">
        <f>DATE(2012,11,1) + TIME(6,6,3)</f>
        <v>41214.254201388889</v>
      </c>
      <c r="C1776">
        <v>80</v>
      </c>
      <c r="D1776">
        <v>79.944099425999994</v>
      </c>
      <c r="E1776">
        <v>50</v>
      </c>
      <c r="F1776">
        <v>57.041881560999997</v>
      </c>
      <c r="G1776">
        <v>1330.7573242000001</v>
      </c>
      <c r="H1776">
        <v>1330.3444824000001</v>
      </c>
      <c r="I1776">
        <v>1334.7651367000001</v>
      </c>
      <c r="J1776">
        <v>1333.4083252</v>
      </c>
      <c r="K1776">
        <v>0</v>
      </c>
      <c r="L1776">
        <v>2400</v>
      </c>
      <c r="M1776">
        <v>2400</v>
      </c>
      <c r="N1776">
        <v>0</v>
      </c>
    </row>
    <row r="1777" spans="1:14" x14ac:dyDescent="0.25">
      <c r="A1777">
        <v>915.28926100000001</v>
      </c>
      <c r="B1777" s="1">
        <f>DATE(2012,11,1) + TIME(6,56,32)</f>
        <v>41214.289259259262</v>
      </c>
      <c r="C1777">
        <v>80</v>
      </c>
      <c r="D1777">
        <v>79.939804077000005</v>
      </c>
      <c r="E1777">
        <v>50</v>
      </c>
      <c r="F1777">
        <v>56.602092743</v>
      </c>
      <c r="G1777">
        <v>1330.7506103999999</v>
      </c>
      <c r="H1777">
        <v>1330.3342285000001</v>
      </c>
      <c r="I1777">
        <v>1334.7645264</v>
      </c>
      <c r="J1777">
        <v>1333.4061279</v>
      </c>
      <c r="K1777">
        <v>0</v>
      </c>
      <c r="L1777">
        <v>2400</v>
      </c>
      <c r="M1777">
        <v>2400</v>
      </c>
      <c r="N1777">
        <v>0</v>
      </c>
    </row>
    <row r="1778" spans="1:14" x14ac:dyDescent="0.25">
      <c r="A1778">
        <v>915.32634199999995</v>
      </c>
      <c r="B1778" s="1">
        <f>DATE(2012,11,1) + TIME(7,49,55)</f>
        <v>41214.326331018521</v>
      </c>
      <c r="C1778">
        <v>80</v>
      </c>
      <c r="D1778">
        <v>79.935302734000004</v>
      </c>
      <c r="E1778">
        <v>50</v>
      </c>
      <c r="F1778">
        <v>56.169754028</v>
      </c>
      <c r="G1778">
        <v>1330.7437743999999</v>
      </c>
      <c r="H1778">
        <v>1330.3237305</v>
      </c>
      <c r="I1778">
        <v>1334.7647704999999</v>
      </c>
      <c r="J1778">
        <v>1333.4044189000001</v>
      </c>
      <c r="K1778">
        <v>0</v>
      </c>
      <c r="L1778">
        <v>2400</v>
      </c>
      <c r="M1778">
        <v>2400</v>
      </c>
      <c r="N1778">
        <v>0</v>
      </c>
    </row>
    <row r="1779" spans="1:14" x14ac:dyDescent="0.25">
      <c r="A1779">
        <v>915.36563999999998</v>
      </c>
      <c r="B1779" s="1">
        <f>DATE(2012,11,1) + TIME(8,46,31)</f>
        <v>41214.365636574075</v>
      </c>
      <c r="C1779">
        <v>80</v>
      </c>
      <c r="D1779">
        <v>79.930587768999999</v>
      </c>
      <c r="E1779">
        <v>50</v>
      </c>
      <c r="F1779">
        <v>55.745296478</v>
      </c>
      <c r="G1779">
        <v>1330.7368164</v>
      </c>
      <c r="H1779">
        <v>1330.3129882999999</v>
      </c>
      <c r="I1779">
        <v>1334.7657471</v>
      </c>
      <c r="J1779">
        <v>1333.4033202999999</v>
      </c>
      <c r="K1779">
        <v>0</v>
      </c>
      <c r="L1779">
        <v>2400</v>
      </c>
      <c r="M1779">
        <v>2400</v>
      </c>
      <c r="N1779">
        <v>0</v>
      </c>
    </row>
    <row r="1780" spans="1:14" x14ac:dyDescent="0.25">
      <c r="A1780">
        <v>915.407376</v>
      </c>
      <c r="B1780" s="1">
        <f>DATE(2012,11,1) + TIME(9,46,37)</f>
        <v>41214.407372685186</v>
      </c>
      <c r="C1780">
        <v>80</v>
      </c>
      <c r="D1780">
        <v>79.925636291999993</v>
      </c>
      <c r="E1780">
        <v>50</v>
      </c>
      <c r="F1780">
        <v>55.329200745000001</v>
      </c>
      <c r="G1780">
        <v>1330.7297363</v>
      </c>
      <c r="H1780">
        <v>1330.302124</v>
      </c>
      <c r="I1780">
        <v>1334.7677002</v>
      </c>
      <c r="J1780">
        <v>1333.402832</v>
      </c>
      <c r="K1780">
        <v>0</v>
      </c>
      <c r="L1780">
        <v>2400</v>
      </c>
      <c r="M1780">
        <v>2400</v>
      </c>
      <c r="N1780">
        <v>0</v>
      </c>
    </row>
    <row r="1781" spans="1:14" x14ac:dyDescent="0.25">
      <c r="A1781">
        <v>915.45180000000005</v>
      </c>
      <c r="B1781" s="1">
        <f>DATE(2012,11,1) + TIME(10,50,35)</f>
        <v>41214.451793981483</v>
      </c>
      <c r="C1781">
        <v>80</v>
      </c>
      <c r="D1781">
        <v>79.920425414999997</v>
      </c>
      <c r="E1781">
        <v>50</v>
      </c>
      <c r="F1781">
        <v>54.921997070000003</v>
      </c>
      <c r="G1781">
        <v>1330.7224120999999</v>
      </c>
      <c r="H1781">
        <v>1330.2908935999999</v>
      </c>
      <c r="I1781">
        <v>1334.7703856999999</v>
      </c>
      <c r="J1781">
        <v>1333.402832</v>
      </c>
      <c r="K1781">
        <v>0</v>
      </c>
      <c r="L1781">
        <v>2400</v>
      </c>
      <c r="M1781">
        <v>2400</v>
      </c>
      <c r="N1781">
        <v>0</v>
      </c>
    </row>
    <row r="1782" spans="1:14" x14ac:dyDescent="0.25">
      <c r="A1782">
        <v>915.49920199999997</v>
      </c>
      <c r="B1782" s="1">
        <f>DATE(2012,11,1) + TIME(11,58,51)</f>
        <v>41214.499201388891</v>
      </c>
      <c r="C1782">
        <v>80</v>
      </c>
      <c r="D1782">
        <v>79.914947510000005</v>
      </c>
      <c r="E1782">
        <v>50</v>
      </c>
      <c r="F1782">
        <v>54.524280548</v>
      </c>
      <c r="G1782">
        <v>1330.7148437999999</v>
      </c>
      <c r="H1782">
        <v>1330.2794189000001</v>
      </c>
      <c r="I1782">
        <v>1334.7740478999999</v>
      </c>
      <c r="J1782">
        <v>1333.4034423999999</v>
      </c>
      <c r="K1782">
        <v>0</v>
      </c>
      <c r="L1782">
        <v>2400</v>
      </c>
      <c r="M1782">
        <v>2400</v>
      </c>
      <c r="N1782">
        <v>0</v>
      </c>
    </row>
    <row r="1783" spans="1:14" x14ac:dyDescent="0.25">
      <c r="A1783">
        <v>915.54991600000005</v>
      </c>
      <c r="B1783" s="1">
        <f>DATE(2012,11,1) + TIME(13,11,52)</f>
        <v>41214.549907407411</v>
      </c>
      <c r="C1783">
        <v>80</v>
      </c>
      <c r="D1783">
        <v>79.909172057999996</v>
      </c>
      <c r="E1783">
        <v>50</v>
      </c>
      <c r="F1783">
        <v>54.136714935000001</v>
      </c>
      <c r="G1783">
        <v>1330.7071533000001</v>
      </c>
      <c r="H1783">
        <v>1330.2674560999999</v>
      </c>
      <c r="I1783">
        <v>1334.7786865</v>
      </c>
      <c r="J1783">
        <v>1333.4047852000001</v>
      </c>
      <c r="K1783">
        <v>0</v>
      </c>
      <c r="L1783">
        <v>2400</v>
      </c>
      <c r="M1783">
        <v>2400</v>
      </c>
      <c r="N1783">
        <v>0</v>
      </c>
    </row>
    <row r="1784" spans="1:14" x14ac:dyDescent="0.25">
      <c r="A1784">
        <v>915.60433899999998</v>
      </c>
      <c r="B1784" s="1">
        <f>DATE(2012,11,1) + TIME(14,30,14)</f>
        <v>41214.604328703703</v>
      </c>
      <c r="C1784">
        <v>80</v>
      </c>
      <c r="D1784">
        <v>79.903068542</v>
      </c>
      <c r="E1784">
        <v>50</v>
      </c>
      <c r="F1784">
        <v>53.759956359999997</v>
      </c>
      <c r="G1784">
        <v>1330.6990966999999</v>
      </c>
      <c r="H1784">
        <v>1330.255249</v>
      </c>
      <c r="I1784">
        <v>1334.7843018000001</v>
      </c>
      <c r="J1784">
        <v>1333.4067382999999</v>
      </c>
      <c r="K1784">
        <v>0</v>
      </c>
      <c r="L1784">
        <v>2400</v>
      </c>
      <c r="M1784">
        <v>2400</v>
      </c>
      <c r="N1784">
        <v>0</v>
      </c>
    </row>
    <row r="1785" spans="1:14" x14ac:dyDescent="0.25">
      <c r="A1785">
        <v>915.66291699999999</v>
      </c>
      <c r="B1785" s="1">
        <f>DATE(2012,11,1) + TIME(15,54,35)</f>
        <v>41214.662905092591</v>
      </c>
      <c r="C1785">
        <v>80</v>
      </c>
      <c r="D1785">
        <v>79.896606445000003</v>
      </c>
      <c r="E1785">
        <v>50</v>
      </c>
      <c r="F1785">
        <v>53.394908905000001</v>
      </c>
      <c r="G1785">
        <v>1330.6907959</v>
      </c>
      <c r="H1785">
        <v>1330.2426757999999</v>
      </c>
      <c r="I1785">
        <v>1334.7908935999999</v>
      </c>
      <c r="J1785">
        <v>1333.4094238</v>
      </c>
      <c r="K1785">
        <v>0</v>
      </c>
      <c r="L1785">
        <v>2400</v>
      </c>
      <c r="M1785">
        <v>2400</v>
      </c>
      <c r="N1785">
        <v>0</v>
      </c>
    </row>
    <row r="1786" spans="1:14" x14ac:dyDescent="0.25">
      <c r="A1786">
        <v>915.72618</v>
      </c>
      <c r="B1786" s="1">
        <f>DATE(2012,11,1) + TIME(17,25,41)</f>
        <v>41214.726168981484</v>
      </c>
      <c r="C1786">
        <v>80</v>
      </c>
      <c r="D1786">
        <v>79.889747619999994</v>
      </c>
      <c r="E1786">
        <v>50</v>
      </c>
      <c r="F1786">
        <v>53.042469025000003</v>
      </c>
      <c r="G1786">
        <v>1330.6821289</v>
      </c>
      <c r="H1786">
        <v>1330.2294922000001</v>
      </c>
      <c r="I1786">
        <v>1334.7984618999999</v>
      </c>
      <c r="J1786">
        <v>1333.4127197</v>
      </c>
      <c r="K1786">
        <v>0</v>
      </c>
      <c r="L1786">
        <v>2400</v>
      </c>
      <c r="M1786">
        <v>2400</v>
      </c>
      <c r="N1786">
        <v>0</v>
      </c>
    </row>
    <row r="1787" spans="1:14" x14ac:dyDescent="0.25">
      <c r="A1787">
        <v>915.79459999999995</v>
      </c>
      <c r="B1787" s="1">
        <f>DATE(2012,11,1) + TIME(19,4,13)</f>
        <v>41214.794594907406</v>
      </c>
      <c r="C1787">
        <v>80</v>
      </c>
      <c r="D1787">
        <v>79.882476807000003</v>
      </c>
      <c r="E1787">
        <v>50</v>
      </c>
      <c r="F1787">
        <v>52.704345703000001</v>
      </c>
      <c r="G1787">
        <v>1330.6732178</v>
      </c>
      <c r="H1787">
        <v>1330.2159423999999</v>
      </c>
      <c r="I1787">
        <v>1334.807251</v>
      </c>
      <c r="J1787">
        <v>1333.4168701000001</v>
      </c>
      <c r="K1787">
        <v>0</v>
      </c>
      <c r="L1787">
        <v>2400</v>
      </c>
      <c r="M1787">
        <v>2400</v>
      </c>
      <c r="N1787">
        <v>0</v>
      </c>
    </row>
    <row r="1788" spans="1:14" x14ac:dyDescent="0.25">
      <c r="A1788">
        <v>915.86701900000003</v>
      </c>
      <c r="B1788" s="1">
        <f>DATE(2012,11,1) + TIME(20,48,30)</f>
        <v>41214.867013888892</v>
      </c>
      <c r="C1788">
        <v>80</v>
      </c>
      <c r="D1788">
        <v>79.874931334999999</v>
      </c>
      <c r="E1788">
        <v>50</v>
      </c>
      <c r="F1788">
        <v>52.388645171999997</v>
      </c>
      <c r="G1788">
        <v>1330.6639404</v>
      </c>
      <c r="H1788">
        <v>1330.2019043</v>
      </c>
      <c r="I1788">
        <v>1334.8172606999999</v>
      </c>
      <c r="J1788">
        <v>1333.421875</v>
      </c>
      <c r="K1788">
        <v>0</v>
      </c>
      <c r="L1788">
        <v>2400</v>
      </c>
      <c r="M1788">
        <v>2400</v>
      </c>
      <c r="N1788">
        <v>0</v>
      </c>
    </row>
    <row r="1789" spans="1:14" x14ac:dyDescent="0.25">
      <c r="A1789">
        <v>915.94394399999999</v>
      </c>
      <c r="B1789" s="1">
        <f>DATE(2012,11,1) + TIME(22,39,16)</f>
        <v>41214.943935185183</v>
      </c>
      <c r="C1789">
        <v>80</v>
      </c>
      <c r="D1789">
        <v>79.867073059000006</v>
      </c>
      <c r="E1789">
        <v>50</v>
      </c>
      <c r="F1789">
        <v>52.094783782999997</v>
      </c>
      <c r="G1789">
        <v>1330.6544189000001</v>
      </c>
      <c r="H1789">
        <v>1330.1875</v>
      </c>
      <c r="I1789">
        <v>1334.8280029</v>
      </c>
      <c r="J1789">
        <v>1333.4274902</v>
      </c>
      <c r="K1789">
        <v>0</v>
      </c>
      <c r="L1789">
        <v>2400</v>
      </c>
      <c r="M1789">
        <v>2400</v>
      </c>
      <c r="N1789">
        <v>0</v>
      </c>
    </row>
    <row r="1790" spans="1:14" x14ac:dyDescent="0.25">
      <c r="A1790">
        <v>916.02595899999994</v>
      </c>
      <c r="B1790" s="1">
        <f>DATE(2012,11,2) + TIME(0,37,22)</f>
        <v>41215.025949074072</v>
      </c>
      <c r="C1790">
        <v>80</v>
      </c>
      <c r="D1790">
        <v>79.858871460000003</v>
      </c>
      <c r="E1790">
        <v>50</v>
      </c>
      <c r="F1790">
        <v>51.822277069000002</v>
      </c>
      <c r="G1790">
        <v>1330.6446533000001</v>
      </c>
      <c r="H1790">
        <v>1330.1727295000001</v>
      </c>
      <c r="I1790">
        <v>1334.8393555</v>
      </c>
      <c r="J1790">
        <v>1333.4335937999999</v>
      </c>
      <c r="K1790">
        <v>0</v>
      </c>
      <c r="L1790">
        <v>2400</v>
      </c>
      <c r="M1790">
        <v>2400</v>
      </c>
      <c r="N1790">
        <v>0</v>
      </c>
    </row>
    <row r="1791" spans="1:14" x14ac:dyDescent="0.25">
      <c r="A1791">
        <v>916.11376700000005</v>
      </c>
      <c r="B1791" s="1">
        <f>DATE(2012,11,2) + TIME(2,43,49)</f>
        <v>41215.113761574074</v>
      </c>
      <c r="C1791">
        <v>80</v>
      </c>
      <c r="D1791">
        <v>79.850280761999997</v>
      </c>
      <c r="E1791">
        <v>50</v>
      </c>
      <c r="F1791">
        <v>51.570705414000003</v>
      </c>
      <c r="G1791">
        <v>1330.6346435999999</v>
      </c>
      <c r="H1791">
        <v>1330.1575928</v>
      </c>
      <c r="I1791">
        <v>1334.8513184000001</v>
      </c>
      <c r="J1791">
        <v>1333.4401855000001</v>
      </c>
      <c r="K1791">
        <v>0</v>
      </c>
      <c r="L1791">
        <v>2400</v>
      </c>
      <c r="M1791">
        <v>2400</v>
      </c>
      <c r="N1791">
        <v>0</v>
      </c>
    </row>
    <row r="1792" spans="1:14" x14ac:dyDescent="0.25">
      <c r="A1792">
        <v>916.208215</v>
      </c>
      <c r="B1792" s="1">
        <f>DATE(2012,11,2) + TIME(4,59,49)</f>
        <v>41215.20820601852</v>
      </c>
      <c r="C1792">
        <v>80</v>
      </c>
      <c r="D1792">
        <v>79.841247558999996</v>
      </c>
      <c r="E1792">
        <v>50</v>
      </c>
      <c r="F1792">
        <v>51.339672088999997</v>
      </c>
      <c r="G1792">
        <v>1330.6242675999999</v>
      </c>
      <c r="H1792">
        <v>1330.1420897999999</v>
      </c>
      <c r="I1792">
        <v>1334.8637695</v>
      </c>
      <c r="J1792">
        <v>1333.4471435999999</v>
      </c>
      <c r="K1792">
        <v>0</v>
      </c>
      <c r="L1792">
        <v>2400</v>
      </c>
      <c r="M1792">
        <v>2400</v>
      </c>
      <c r="N1792">
        <v>0</v>
      </c>
    </row>
    <row r="1793" spans="1:14" x14ac:dyDescent="0.25">
      <c r="A1793">
        <v>916.31023200000004</v>
      </c>
      <c r="B1793" s="1">
        <f>DATE(2012,11,2) + TIME(7,26,44)</f>
        <v>41215.310231481482</v>
      </c>
      <c r="C1793">
        <v>80</v>
      </c>
      <c r="D1793">
        <v>79.831718445000007</v>
      </c>
      <c r="E1793">
        <v>50</v>
      </c>
      <c r="F1793">
        <v>51.129001617</v>
      </c>
      <c r="G1793">
        <v>1330.6134033000001</v>
      </c>
      <c r="H1793">
        <v>1330.1258545000001</v>
      </c>
      <c r="I1793">
        <v>1334.8765868999999</v>
      </c>
      <c r="J1793">
        <v>1333.4544678</v>
      </c>
      <c r="K1793">
        <v>0</v>
      </c>
      <c r="L1793">
        <v>2400</v>
      </c>
      <c r="M1793">
        <v>2400</v>
      </c>
      <c r="N1793">
        <v>0</v>
      </c>
    </row>
    <row r="1794" spans="1:14" x14ac:dyDescent="0.25">
      <c r="A1794">
        <v>916.420748</v>
      </c>
      <c r="B1794" s="1">
        <f>DATE(2012,11,2) + TIME(10,5,52)</f>
        <v>41215.420740740738</v>
      </c>
      <c r="C1794">
        <v>80</v>
      </c>
      <c r="D1794">
        <v>79.821640015</v>
      </c>
      <c r="E1794">
        <v>50</v>
      </c>
      <c r="F1794">
        <v>50.938755035</v>
      </c>
      <c r="G1794">
        <v>1330.6021728999999</v>
      </c>
      <c r="H1794">
        <v>1330.1090088000001</v>
      </c>
      <c r="I1794">
        <v>1334.8897704999999</v>
      </c>
      <c r="J1794">
        <v>1333.4620361</v>
      </c>
      <c r="K1794">
        <v>0</v>
      </c>
      <c r="L1794">
        <v>2400</v>
      </c>
      <c r="M1794">
        <v>2400</v>
      </c>
      <c r="N1794">
        <v>0</v>
      </c>
    </row>
    <row r="1795" spans="1:14" x14ac:dyDescent="0.25">
      <c r="A1795">
        <v>916.54110400000002</v>
      </c>
      <c r="B1795" s="1">
        <f>DATE(2012,11,2) + TIME(12,59,11)</f>
        <v>41215.54109953704</v>
      </c>
      <c r="C1795">
        <v>80</v>
      </c>
      <c r="D1795">
        <v>79.810943604000002</v>
      </c>
      <c r="E1795">
        <v>50</v>
      </c>
      <c r="F1795">
        <v>50.768543243000003</v>
      </c>
      <c r="G1795">
        <v>1330.590332</v>
      </c>
      <c r="H1795">
        <v>1330.0914307</v>
      </c>
      <c r="I1795">
        <v>1334.9030762</v>
      </c>
      <c r="J1795">
        <v>1333.4698486</v>
      </c>
      <c r="K1795">
        <v>0</v>
      </c>
      <c r="L1795">
        <v>2400</v>
      </c>
      <c r="M1795">
        <v>2400</v>
      </c>
      <c r="N1795">
        <v>0</v>
      </c>
    </row>
    <row r="1796" spans="1:14" x14ac:dyDescent="0.25">
      <c r="A1796">
        <v>916.67294700000002</v>
      </c>
      <c r="B1796" s="1">
        <f>DATE(2012,11,2) + TIME(16,9,2)</f>
        <v>41215.672939814816</v>
      </c>
      <c r="C1796">
        <v>80</v>
      </c>
      <c r="D1796">
        <v>79.799522400000001</v>
      </c>
      <c r="E1796">
        <v>50</v>
      </c>
      <c r="F1796">
        <v>50.617916106999999</v>
      </c>
      <c r="G1796">
        <v>1330.5780029</v>
      </c>
      <c r="H1796">
        <v>1330.0729980000001</v>
      </c>
      <c r="I1796">
        <v>1334.9163818</v>
      </c>
      <c r="J1796">
        <v>1333.4779053</v>
      </c>
      <c r="K1796">
        <v>0</v>
      </c>
      <c r="L1796">
        <v>2400</v>
      </c>
      <c r="M1796">
        <v>2400</v>
      </c>
      <c r="N1796">
        <v>0</v>
      </c>
    </row>
    <row r="1797" spans="1:14" x14ac:dyDescent="0.25">
      <c r="A1797">
        <v>916.81312100000002</v>
      </c>
      <c r="B1797" s="1">
        <f>DATE(2012,11,2) + TIME(19,30,53)</f>
        <v>41215.813113425924</v>
      </c>
      <c r="C1797">
        <v>80</v>
      </c>
      <c r="D1797">
        <v>79.787635803000001</v>
      </c>
      <c r="E1797">
        <v>50</v>
      </c>
      <c r="F1797">
        <v>50.490081787000001</v>
      </c>
      <c r="G1797">
        <v>1330.5649414</v>
      </c>
      <c r="H1797">
        <v>1330.0537108999999</v>
      </c>
      <c r="I1797">
        <v>1334.9298096</v>
      </c>
      <c r="J1797">
        <v>1333.4860839999999</v>
      </c>
      <c r="K1797">
        <v>0</v>
      </c>
      <c r="L1797">
        <v>2400</v>
      </c>
      <c r="M1797">
        <v>2400</v>
      </c>
      <c r="N1797">
        <v>0</v>
      </c>
    </row>
    <row r="1798" spans="1:14" x14ac:dyDescent="0.25">
      <c r="A1798">
        <v>916.95801500000005</v>
      </c>
      <c r="B1798" s="1">
        <f>DATE(2012,11,2) + TIME(22,59,32)</f>
        <v>41215.958009259259</v>
      </c>
      <c r="C1798">
        <v>80</v>
      </c>
      <c r="D1798">
        <v>79.775558472</v>
      </c>
      <c r="E1798">
        <v>50</v>
      </c>
      <c r="F1798">
        <v>50.385326384999999</v>
      </c>
      <c r="G1798">
        <v>1330.5515137</v>
      </c>
      <c r="H1798">
        <v>1330.0339355000001</v>
      </c>
      <c r="I1798">
        <v>1334.942749</v>
      </c>
      <c r="J1798">
        <v>1333.4941406</v>
      </c>
      <c r="K1798">
        <v>0</v>
      </c>
      <c r="L1798">
        <v>2400</v>
      </c>
      <c r="M1798">
        <v>2400</v>
      </c>
      <c r="N1798">
        <v>0</v>
      </c>
    </row>
    <row r="1799" spans="1:14" x14ac:dyDescent="0.25">
      <c r="A1799">
        <v>917.10814200000004</v>
      </c>
      <c r="B1799" s="1">
        <f>DATE(2012,11,3) + TIME(2,35,43)</f>
        <v>41216.108136574076</v>
      </c>
      <c r="C1799">
        <v>80</v>
      </c>
      <c r="D1799">
        <v>79.763237000000004</v>
      </c>
      <c r="E1799">
        <v>50</v>
      </c>
      <c r="F1799">
        <v>50.299938202</v>
      </c>
      <c r="G1799">
        <v>1330.5379639</v>
      </c>
      <c r="H1799">
        <v>1330.0140381000001</v>
      </c>
      <c r="I1799">
        <v>1334.9545897999999</v>
      </c>
      <c r="J1799">
        <v>1333.5015868999999</v>
      </c>
      <c r="K1799">
        <v>0</v>
      </c>
      <c r="L1799">
        <v>2400</v>
      </c>
      <c r="M1799">
        <v>2400</v>
      </c>
      <c r="N1799">
        <v>0</v>
      </c>
    </row>
    <row r="1800" spans="1:14" x14ac:dyDescent="0.25">
      <c r="A1800">
        <v>917.263913</v>
      </c>
      <c r="B1800" s="1">
        <f>DATE(2012,11,3) + TIME(6,20,2)</f>
        <v>41216.263912037037</v>
      </c>
      <c r="C1800">
        <v>80</v>
      </c>
      <c r="D1800">
        <v>79.750633239999999</v>
      </c>
      <c r="E1800">
        <v>50</v>
      </c>
      <c r="F1800">
        <v>50.230804442999997</v>
      </c>
      <c r="G1800">
        <v>1330.5244141000001</v>
      </c>
      <c r="H1800">
        <v>1329.9940185999999</v>
      </c>
      <c r="I1800">
        <v>1334.9652100000001</v>
      </c>
      <c r="J1800">
        <v>1333.5084228999999</v>
      </c>
      <c r="K1800">
        <v>0</v>
      </c>
      <c r="L1800">
        <v>2400</v>
      </c>
      <c r="M1800">
        <v>2400</v>
      </c>
      <c r="N1800">
        <v>0</v>
      </c>
    </row>
    <row r="1801" spans="1:14" x14ac:dyDescent="0.25">
      <c r="A1801">
        <v>917.42577900000003</v>
      </c>
      <c r="B1801" s="1">
        <f>DATE(2012,11,3) + TIME(10,13,7)</f>
        <v>41216.425775462965</v>
      </c>
      <c r="C1801">
        <v>80</v>
      </c>
      <c r="D1801">
        <v>79.737693786999998</v>
      </c>
      <c r="E1801">
        <v>50</v>
      </c>
      <c r="F1801">
        <v>50.175243377999998</v>
      </c>
      <c r="G1801">
        <v>1330.5104980000001</v>
      </c>
      <c r="H1801">
        <v>1329.9737548999999</v>
      </c>
      <c r="I1801">
        <v>1334.9747314000001</v>
      </c>
      <c r="J1801">
        <v>1333.5145264</v>
      </c>
      <c r="K1801">
        <v>0</v>
      </c>
      <c r="L1801">
        <v>2400</v>
      </c>
      <c r="M1801">
        <v>2400</v>
      </c>
      <c r="N1801">
        <v>0</v>
      </c>
    </row>
    <row r="1802" spans="1:14" x14ac:dyDescent="0.25">
      <c r="A1802">
        <v>917.59422400000005</v>
      </c>
      <c r="B1802" s="1">
        <f>DATE(2012,11,3) + TIME(14,15,40)</f>
        <v>41216.594212962962</v>
      </c>
      <c r="C1802">
        <v>80</v>
      </c>
      <c r="D1802">
        <v>79.724365234000004</v>
      </c>
      <c r="E1802">
        <v>50</v>
      </c>
      <c r="F1802">
        <v>50.130928040000001</v>
      </c>
      <c r="G1802">
        <v>1330.496582</v>
      </c>
      <c r="H1802">
        <v>1329.9533690999999</v>
      </c>
      <c r="I1802">
        <v>1334.9831543</v>
      </c>
      <c r="J1802">
        <v>1333.5201416</v>
      </c>
      <c r="K1802">
        <v>0</v>
      </c>
      <c r="L1802">
        <v>2400</v>
      </c>
      <c r="M1802">
        <v>2400</v>
      </c>
      <c r="N1802">
        <v>0</v>
      </c>
    </row>
    <row r="1803" spans="1:14" x14ac:dyDescent="0.25">
      <c r="A1803">
        <v>917.76977399999998</v>
      </c>
      <c r="B1803" s="1">
        <f>DATE(2012,11,3) + TIME(18,28,28)</f>
        <v>41216.769768518519</v>
      </c>
      <c r="C1803">
        <v>80</v>
      </c>
      <c r="D1803">
        <v>79.710601807000003</v>
      </c>
      <c r="E1803">
        <v>50</v>
      </c>
      <c r="F1803">
        <v>50.095882416000002</v>
      </c>
      <c r="G1803">
        <v>1330.4824219</v>
      </c>
      <c r="H1803">
        <v>1329.9326172000001</v>
      </c>
      <c r="I1803">
        <v>1334.9906006000001</v>
      </c>
      <c r="J1803">
        <v>1333.5250243999999</v>
      </c>
      <c r="K1803">
        <v>0</v>
      </c>
      <c r="L1803">
        <v>2400</v>
      </c>
      <c r="M1803">
        <v>2400</v>
      </c>
      <c r="N1803">
        <v>0</v>
      </c>
    </row>
    <row r="1804" spans="1:14" x14ac:dyDescent="0.25">
      <c r="A1804">
        <v>917.95300499999996</v>
      </c>
      <c r="B1804" s="1">
        <f>DATE(2012,11,3) + TIME(22,52,19)</f>
        <v>41216.952997685185</v>
      </c>
      <c r="C1804">
        <v>80</v>
      </c>
      <c r="D1804">
        <v>79.696334839000002</v>
      </c>
      <c r="E1804">
        <v>50</v>
      </c>
      <c r="F1804">
        <v>50.068408966</v>
      </c>
      <c r="G1804">
        <v>1330.4678954999999</v>
      </c>
      <c r="H1804">
        <v>1329.9116211</v>
      </c>
      <c r="I1804">
        <v>1334.9969481999999</v>
      </c>
      <c r="J1804">
        <v>1333.5294189000001</v>
      </c>
      <c r="K1804">
        <v>0</v>
      </c>
      <c r="L1804">
        <v>2400</v>
      </c>
      <c r="M1804">
        <v>2400</v>
      </c>
      <c r="N1804">
        <v>0</v>
      </c>
    </row>
    <row r="1805" spans="1:14" x14ac:dyDescent="0.25">
      <c r="A1805">
        <v>918.14447299999995</v>
      </c>
      <c r="B1805" s="1">
        <f>DATE(2012,11,4) + TIME(3,28,2)</f>
        <v>41217.144467592596</v>
      </c>
      <c r="C1805">
        <v>80</v>
      </c>
      <c r="D1805">
        <v>79.681518554999997</v>
      </c>
      <c r="E1805">
        <v>50</v>
      </c>
      <c r="F1805">
        <v>50.047077178999999</v>
      </c>
      <c r="G1805">
        <v>1330.4532471</v>
      </c>
      <c r="H1805">
        <v>1329.8902588000001</v>
      </c>
      <c r="I1805">
        <v>1335.0023193</v>
      </c>
      <c r="J1805">
        <v>1333.5332031</v>
      </c>
      <c r="K1805">
        <v>0</v>
      </c>
      <c r="L1805">
        <v>2400</v>
      </c>
      <c r="M1805">
        <v>2400</v>
      </c>
      <c r="N1805">
        <v>0</v>
      </c>
    </row>
    <row r="1806" spans="1:14" x14ac:dyDescent="0.25">
      <c r="A1806">
        <v>918.34461899999997</v>
      </c>
      <c r="B1806" s="1">
        <f>DATE(2012,11,4) + TIME(8,16,15)</f>
        <v>41217.344618055555</v>
      </c>
      <c r="C1806">
        <v>80</v>
      </c>
      <c r="D1806">
        <v>79.666091918999996</v>
      </c>
      <c r="E1806">
        <v>50</v>
      </c>
      <c r="F1806">
        <v>50.030689240000001</v>
      </c>
      <c r="G1806">
        <v>1330.4382324000001</v>
      </c>
      <c r="H1806">
        <v>1329.8685303</v>
      </c>
      <c r="I1806">
        <v>1335.0068358999999</v>
      </c>
      <c r="J1806">
        <v>1333.536499</v>
      </c>
      <c r="K1806">
        <v>0</v>
      </c>
      <c r="L1806">
        <v>2400</v>
      </c>
      <c r="M1806">
        <v>2400</v>
      </c>
      <c r="N1806">
        <v>0</v>
      </c>
    </row>
    <row r="1807" spans="1:14" x14ac:dyDescent="0.25">
      <c r="A1807">
        <v>918.55184999999994</v>
      </c>
      <c r="B1807" s="1">
        <f>DATE(2012,11,4) + TIME(13,14,39)</f>
        <v>41217.551840277774</v>
      </c>
      <c r="C1807">
        <v>80</v>
      </c>
      <c r="D1807">
        <v>79.650138854999994</v>
      </c>
      <c r="E1807">
        <v>50</v>
      </c>
      <c r="F1807">
        <v>50.018325806</v>
      </c>
      <c r="G1807">
        <v>1330.4228516000001</v>
      </c>
      <c r="H1807">
        <v>1329.8464355000001</v>
      </c>
      <c r="I1807">
        <v>1335.0104980000001</v>
      </c>
      <c r="J1807">
        <v>1333.5393065999999</v>
      </c>
      <c r="K1807">
        <v>0</v>
      </c>
      <c r="L1807">
        <v>2400</v>
      </c>
      <c r="M1807">
        <v>2400</v>
      </c>
      <c r="N1807">
        <v>0</v>
      </c>
    </row>
    <row r="1808" spans="1:14" x14ac:dyDescent="0.25">
      <c r="A1808">
        <v>918.76751400000001</v>
      </c>
      <c r="B1808" s="1">
        <f>DATE(2012,11,4) + TIME(18,25,13)</f>
        <v>41217.767511574071</v>
      </c>
      <c r="C1808">
        <v>80</v>
      </c>
      <c r="D1808">
        <v>79.633537292</v>
      </c>
      <c r="E1808">
        <v>50</v>
      </c>
      <c r="F1808">
        <v>50.009037018000001</v>
      </c>
      <c r="G1808">
        <v>1330.4073486</v>
      </c>
      <c r="H1808">
        <v>1329.8242187999999</v>
      </c>
      <c r="I1808">
        <v>1335.0134277</v>
      </c>
      <c r="J1808">
        <v>1333.541626</v>
      </c>
      <c r="K1808">
        <v>0</v>
      </c>
      <c r="L1808">
        <v>2400</v>
      </c>
      <c r="M1808">
        <v>2400</v>
      </c>
      <c r="N1808">
        <v>0</v>
      </c>
    </row>
    <row r="1809" spans="1:14" x14ac:dyDescent="0.25">
      <c r="A1809">
        <v>918.99323000000004</v>
      </c>
      <c r="B1809" s="1">
        <f>DATE(2012,11,4) + TIME(23,50,15)</f>
        <v>41217.99322916667</v>
      </c>
      <c r="C1809">
        <v>80</v>
      </c>
      <c r="D1809">
        <v>79.616180420000006</v>
      </c>
      <c r="E1809">
        <v>50</v>
      </c>
      <c r="F1809">
        <v>50.002098083</v>
      </c>
      <c r="G1809">
        <v>1330.3916016000001</v>
      </c>
      <c r="H1809">
        <v>1329.8015137</v>
      </c>
      <c r="I1809">
        <v>1335.0155029</v>
      </c>
      <c r="J1809">
        <v>1333.543457</v>
      </c>
      <c r="K1809">
        <v>0</v>
      </c>
      <c r="L1809">
        <v>2400</v>
      </c>
      <c r="M1809">
        <v>2400</v>
      </c>
      <c r="N1809">
        <v>0</v>
      </c>
    </row>
    <row r="1810" spans="1:14" x14ac:dyDescent="0.25">
      <c r="A1810">
        <v>919.23071300000004</v>
      </c>
      <c r="B1810" s="1">
        <f>DATE(2012,11,5) + TIME(5,32,13)</f>
        <v>41218.230706018519</v>
      </c>
      <c r="C1810">
        <v>80</v>
      </c>
      <c r="D1810">
        <v>79.597923279</v>
      </c>
      <c r="E1810">
        <v>50</v>
      </c>
      <c r="F1810">
        <v>49.996952057000001</v>
      </c>
      <c r="G1810">
        <v>1330.3754882999999</v>
      </c>
      <c r="H1810">
        <v>1329.7783202999999</v>
      </c>
      <c r="I1810">
        <v>1335.0169678</v>
      </c>
      <c r="J1810">
        <v>1333.5449219</v>
      </c>
      <c r="K1810">
        <v>0</v>
      </c>
      <c r="L1810">
        <v>2400</v>
      </c>
      <c r="M1810">
        <v>2400</v>
      </c>
      <c r="N1810">
        <v>0</v>
      </c>
    </row>
    <row r="1811" spans="1:14" x14ac:dyDescent="0.25">
      <c r="A1811">
        <v>919.48197100000004</v>
      </c>
      <c r="B1811" s="1">
        <f>DATE(2012,11,5) + TIME(11,34,2)</f>
        <v>41218.48196759259</v>
      </c>
      <c r="C1811">
        <v>80</v>
      </c>
      <c r="D1811">
        <v>79.578620911000002</v>
      </c>
      <c r="E1811">
        <v>50</v>
      </c>
      <c r="F1811">
        <v>49.993160248000002</v>
      </c>
      <c r="G1811">
        <v>1330.3588867000001</v>
      </c>
      <c r="H1811">
        <v>1329.7546387</v>
      </c>
      <c r="I1811">
        <v>1335.0178223</v>
      </c>
      <c r="J1811">
        <v>1333.5458983999999</v>
      </c>
      <c r="K1811">
        <v>0</v>
      </c>
      <c r="L1811">
        <v>2400</v>
      </c>
      <c r="M1811">
        <v>2400</v>
      </c>
      <c r="N1811">
        <v>0</v>
      </c>
    </row>
    <row r="1812" spans="1:14" x14ac:dyDescent="0.25">
      <c r="A1812">
        <v>919.74862900000005</v>
      </c>
      <c r="B1812" s="1">
        <f>DATE(2012,11,5) + TIME(17,58,1)</f>
        <v>41218.748622685183</v>
      </c>
      <c r="C1812">
        <v>80</v>
      </c>
      <c r="D1812">
        <v>79.558135985999996</v>
      </c>
      <c r="E1812">
        <v>50</v>
      </c>
      <c r="F1812">
        <v>49.990398407000001</v>
      </c>
      <c r="G1812">
        <v>1330.3416748</v>
      </c>
      <c r="H1812">
        <v>1329.7302245999999</v>
      </c>
      <c r="I1812">
        <v>1335.0181885</v>
      </c>
      <c r="J1812">
        <v>1333.5467529</v>
      </c>
      <c r="K1812">
        <v>0</v>
      </c>
      <c r="L1812">
        <v>2400</v>
      </c>
      <c r="M1812">
        <v>2400</v>
      </c>
      <c r="N1812">
        <v>0</v>
      </c>
    </row>
    <row r="1813" spans="1:14" x14ac:dyDescent="0.25">
      <c r="A1813">
        <v>920.03032099999996</v>
      </c>
      <c r="B1813" s="1">
        <f>DATE(2012,11,6) + TIME(0,43,39)</f>
        <v>41219.030312499999</v>
      </c>
      <c r="C1813">
        <v>80</v>
      </c>
      <c r="D1813">
        <v>79.536445618000002</v>
      </c>
      <c r="E1813">
        <v>50</v>
      </c>
      <c r="F1813">
        <v>49.988422393999997</v>
      </c>
      <c r="G1813">
        <v>1330.3239745999999</v>
      </c>
      <c r="H1813">
        <v>1329.7049560999999</v>
      </c>
      <c r="I1813">
        <v>1335.0179443</v>
      </c>
      <c r="J1813">
        <v>1333.5471190999999</v>
      </c>
      <c r="K1813">
        <v>0</v>
      </c>
      <c r="L1813">
        <v>2400</v>
      </c>
      <c r="M1813">
        <v>2400</v>
      </c>
      <c r="N1813">
        <v>0</v>
      </c>
    </row>
    <row r="1814" spans="1:14" x14ac:dyDescent="0.25">
      <c r="A1814">
        <v>920.32781799999998</v>
      </c>
      <c r="B1814" s="1">
        <f>DATE(2012,11,6) + TIME(7,52,3)</f>
        <v>41219.3278125</v>
      </c>
      <c r="C1814">
        <v>80</v>
      </c>
      <c r="D1814">
        <v>79.513465881000002</v>
      </c>
      <c r="E1814">
        <v>50</v>
      </c>
      <c r="F1814">
        <v>49.987014770999998</v>
      </c>
      <c r="G1814">
        <v>1330.3056641000001</v>
      </c>
      <c r="H1814">
        <v>1329.6790771000001</v>
      </c>
      <c r="I1814">
        <v>1335.0172118999999</v>
      </c>
      <c r="J1814">
        <v>1333.5472411999999</v>
      </c>
      <c r="K1814">
        <v>0</v>
      </c>
      <c r="L1814">
        <v>2400</v>
      </c>
      <c r="M1814">
        <v>2400</v>
      </c>
      <c r="N1814">
        <v>0</v>
      </c>
    </row>
    <row r="1815" spans="1:14" x14ac:dyDescent="0.25">
      <c r="A1815">
        <v>920.64244099999996</v>
      </c>
      <c r="B1815" s="1">
        <f>DATE(2012,11,6) + TIME(15,25,6)</f>
        <v>41219.642430555556</v>
      </c>
      <c r="C1815">
        <v>80</v>
      </c>
      <c r="D1815">
        <v>79.489082335999996</v>
      </c>
      <c r="E1815">
        <v>50</v>
      </c>
      <c r="F1815">
        <v>49.986026764000002</v>
      </c>
      <c r="G1815">
        <v>1330.2867432</v>
      </c>
      <c r="H1815">
        <v>1329.6523437999999</v>
      </c>
      <c r="I1815">
        <v>1335.0161132999999</v>
      </c>
      <c r="J1815">
        <v>1333.5472411999999</v>
      </c>
      <c r="K1815">
        <v>0</v>
      </c>
      <c r="L1815">
        <v>2400</v>
      </c>
      <c r="M1815">
        <v>2400</v>
      </c>
      <c r="N1815">
        <v>0</v>
      </c>
    </row>
    <row r="1816" spans="1:14" x14ac:dyDescent="0.25">
      <c r="A1816">
        <v>920.97560899999996</v>
      </c>
      <c r="B1816" s="1">
        <f>DATE(2012,11,6) + TIME(23,24,52)</f>
        <v>41219.975601851853</v>
      </c>
      <c r="C1816">
        <v>80</v>
      </c>
      <c r="D1816">
        <v>79.463165282999995</v>
      </c>
      <c r="E1816">
        <v>50</v>
      </c>
      <c r="F1816">
        <v>49.985328674000002</v>
      </c>
      <c r="G1816">
        <v>1330.2672118999999</v>
      </c>
      <c r="H1816">
        <v>1329.6247559000001</v>
      </c>
      <c r="I1816">
        <v>1335.0146483999999</v>
      </c>
      <c r="J1816">
        <v>1333.546875</v>
      </c>
      <c r="K1816">
        <v>0</v>
      </c>
      <c r="L1816">
        <v>2400</v>
      </c>
      <c r="M1816">
        <v>2400</v>
      </c>
      <c r="N1816">
        <v>0</v>
      </c>
    </row>
    <row r="1817" spans="1:14" x14ac:dyDescent="0.25">
      <c r="A1817">
        <v>921.31915300000003</v>
      </c>
      <c r="B1817" s="1">
        <f>DATE(2012,11,7) + TIME(7,39,34)</f>
        <v>41220.319143518522</v>
      </c>
      <c r="C1817">
        <v>80</v>
      </c>
      <c r="D1817">
        <v>79.436111449999999</v>
      </c>
      <c r="E1817">
        <v>50</v>
      </c>
      <c r="F1817">
        <v>49.984848022000001</v>
      </c>
      <c r="G1817">
        <v>1330.2470702999999</v>
      </c>
      <c r="H1817">
        <v>1329.5964355000001</v>
      </c>
      <c r="I1817">
        <v>1335.0128173999999</v>
      </c>
      <c r="J1817">
        <v>1333.5462646000001</v>
      </c>
      <c r="K1817">
        <v>0</v>
      </c>
      <c r="L1817">
        <v>2400</v>
      </c>
      <c r="M1817">
        <v>2400</v>
      </c>
      <c r="N1817">
        <v>0</v>
      </c>
    </row>
    <row r="1818" spans="1:14" x14ac:dyDescent="0.25">
      <c r="A1818">
        <v>921.67074300000002</v>
      </c>
      <c r="B1818" s="1">
        <f>DATE(2012,11,7) + TIME(16,5,52)</f>
        <v>41220.670740740738</v>
      </c>
      <c r="C1818">
        <v>80</v>
      </c>
      <c r="D1818">
        <v>79.408073424999998</v>
      </c>
      <c r="E1818">
        <v>50</v>
      </c>
      <c r="F1818">
        <v>49.984516143999997</v>
      </c>
      <c r="G1818">
        <v>1330.2266846</v>
      </c>
      <c r="H1818">
        <v>1329.567749</v>
      </c>
      <c r="I1818">
        <v>1335.0107422000001</v>
      </c>
      <c r="J1818">
        <v>1333.5456543</v>
      </c>
      <c r="K1818">
        <v>0</v>
      </c>
      <c r="L1818">
        <v>2400</v>
      </c>
      <c r="M1818">
        <v>2400</v>
      </c>
      <c r="N1818">
        <v>0</v>
      </c>
    </row>
    <row r="1819" spans="1:14" x14ac:dyDescent="0.25">
      <c r="A1819">
        <v>922.02646200000004</v>
      </c>
      <c r="B1819" s="1">
        <f>DATE(2012,11,8) + TIME(0,38,6)</f>
        <v>41221.026458333334</v>
      </c>
      <c r="C1819">
        <v>80</v>
      </c>
      <c r="D1819">
        <v>79.379295349000003</v>
      </c>
      <c r="E1819">
        <v>50</v>
      </c>
      <c r="F1819">
        <v>49.984283447000003</v>
      </c>
      <c r="G1819">
        <v>1330.2061768000001</v>
      </c>
      <c r="H1819">
        <v>1329.5390625</v>
      </c>
      <c r="I1819">
        <v>1335.0084228999999</v>
      </c>
      <c r="J1819">
        <v>1333.5447998</v>
      </c>
      <c r="K1819">
        <v>0</v>
      </c>
      <c r="L1819">
        <v>2400</v>
      </c>
      <c r="M1819">
        <v>2400</v>
      </c>
      <c r="N1819">
        <v>0</v>
      </c>
    </row>
    <row r="1820" spans="1:14" x14ac:dyDescent="0.25">
      <c r="A1820">
        <v>922.38868400000001</v>
      </c>
      <c r="B1820" s="1">
        <f>DATE(2012,11,8) + TIME(9,19,42)</f>
        <v>41221.388680555552</v>
      </c>
      <c r="C1820">
        <v>80</v>
      </c>
      <c r="D1820">
        <v>79.349716186999999</v>
      </c>
      <c r="E1820">
        <v>50</v>
      </c>
      <c r="F1820">
        <v>49.984119415000002</v>
      </c>
      <c r="G1820">
        <v>1330.1856689000001</v>
      </c>
      <c r="H1820">
        <v>1329.510376</v>
      </c>
      <c r="I1820">
        <v>1335.0061035000001</v>
      </c>
      <c r="J1820">
        <v>1333.5439452999999</v>
      </c>
      <c r="K1820">
        <v>0</v>
      </c>
      <c r="L1820">
        <v>2400</v>
      </c>
      <c r="M1820">
        <v>2400</v>
      </c>
      <c r="N1820">
        <v>0</v>
      </c>
    </row>
    <row r="1821" spans="1:14" x14ac:dyDescent="0.25">
      <c r="A1821">
        <v>922.75973499999998</v>
      </c>
      <c r="B1821" s="1">
        <f>DATE(2012,11,8) + TIME(18,14,1)</f>
        <v>41221.759733796294</v>
      </c>
      <c r="C1821">
        <v>80</v>
      </c>
      <c r="D1821">
        <v>79.319221497000001</v>
      </c>
      <c r="E1821">
        <v>50</v>
      </c>
      <c r="F1821">
        <v>49.983993529999999</v>
      </c>
      <c r="G1821">
        <v>1330.1651611</v>
      </c>
      <c r="H1821">
        <v>1329.4818115</v>
      </c>
      <c r="I1821">
        <v>1335.0035399999999</v>
      </c>
      <c r="J1821">
        <v>1333.5429687999999</v>
      </c>
      <c r="K1821">
        <v>0</v>
      </c>
      <c r="L1821">
        <v>2400</v>
      </c>
      <c r="M1821">
        <v>2400</v>
      </c>
      <c r="N1821">
        <v>0</v>
      </c>
    </row>
    <row r="1822" spans="1:14" x14ac:dyDescent="0.25">
      <c r="A1822">
        <v>923.14289699999995</v>
      </c>
      <c r="B1822" s="1">
        <f>DATE(2012,11,9) + TIME(3,25,46)</f>
        <v>41222.142893518518</v>
      </c>
      <c r="C1822">
        <v>80</v>
      </c>
      <c r="D1822">
        <v>79.287612914999997</v>
      </c>
      <c r="E1822">
        <v>50</v>
      </c>
      <c r="F1822">
        <v>49.983901977999999</v>
      </c>
      <c r="G1822">
        <v>1330.1446533000001</v>
      </c>
      <c r="H1822">
        <v>1329.4532471</v>
      </c>
      <c r="I1822">
        <v>1335.0009766000001</v>
      </c>
      <c r="J1822">
        <v>1333.5418701000001</v>
      </c>
      <c r="K1822">
        <v>0</v>
      </c>
      <c r="L1822">
        <v>2400</v>
      </c>
      <c r="M1822">
        <v>2400</v>
      </c>
      <c r="N1822">
        <v>0</v>
      </c>
    </row>
    <row r="1823" spans="1:14" x14ac:dyDescent="0.25">
      <c r="A1823">
        <v>923.54155000000003</v>
      </c>
      <c r="B1823" s="1">
        <f>DATE(2012,11,9) + TIME(12,59,49)</f>
        <v>41222.541539351849</v>
      </c>
      <c r="C1823">
        <v>80</v>
      </c>
      <c r="D1823">
        <v>79.254669188999998</v>
      </c>
      <c r="E1823">
        <v>50</v>
      </c>
      <c r="F1823">
        <v>49.983825684000003</v>
      </c>
      <c r="G1823">
        <v>1330.1240233999999</v>
      </c>
      <c r="H1823">
        <v>1329.4244385</v>
      </c>
      <c r="I1823">
        <v>1334.9981689000001</v>
      </c>
      <c r="J1823">
        <v>1333.5407714999999</v>
      </c>
      <c r="K1823">
        <v>0</v>
      </c>
      <c r="L1823">
        <v>2400</v>
      </c>
      <c r="M1823">
        <v>2400</v>
      </c>
      <c r="N1823">
        <v>0</v>
      </c>
    </row>
    <row r="1824" spans="1:14" x14ac:dyDescent="0.25">
      <c r="A1824">
        <v>923.95905600000003</v>
      </c>
      <c r="B1824" s="1">
        <f>DATE(2012,11,9) + TIME(23,1,2)</f>
        <v>41222.959050925929</v>
      </c>
      <c r="C1824">
        <v>80</v>
      </c>
      <c r="D1824">
        <v>79.220130920000003</v>
      </c>
      <c r="E1824">
        <v>50</v>
      </c>
      <c r="F1824">
        <v>49.983768462999997</v>
      </c>
      <c r="G1824">
        <v>1330.1029053</v>
      </c>
      <c r="H1824">
        <v>1329.3952637</v>
      </c>
      <c r="I1824">
        <v>1334.9953613</v>
      </c>
      <c r="J1824">
        <v>1333.5396728999999</v>
      </c>
      <c r="K1824">
        <v>0</v>
      </c>
      <c r="L1824">
        <v>2400</v>
      </c>
      <c r="M1824">
        <v>2400</v>
      </c>
      <c r="N1824">
        <v>0</v>
      </c>
    </row>
    <row r="1825" spans="1:14" x14ac:dyDescent="0.25">
      <c r="A1825">
        <v>924.39939300000003</v>
      </c>
      <c r="B1825" s="1">
        <f>DATE(2012,11,10) + TIME(9,35,7)</f>
        <v>41223.399386574078</v>
      </c>
      <c r="C1825">
        <v>80</v>
      </c>
      <c r="D1825">
        <v>79.183692932</v>
      </c>
      <c r="E1825">
        <v>50</v>
      </c>
      <c r="F1825">
        <v>49.983718871999997</v>
      </c>
      <c r="G1825">
        <v>1330.0814209</v>
      </c>
      <c r="H1825">
        <v>1329.3654785000001</v>
      </c>
      <c r="I1825">
        <v>1334.9925536999999</v>
      </c>
      <c r="J1825">
        <v>1333.5384521000001</v>
      </c>
      <c r="K1825">
        <v>0</v>
      </c>
      <c r="L1825">
        <v>2400</v>
      </c>
      <c r="M1825">
        <v>2400</v>
      </c>
      <c r="N1825">
        <v>0</v>
      </c>
    </row>
    <row r="1826" spans="1:14" x14ac:dyDescent="0.25">
      <c r="A1826">
        <v>924.85804599999994</v>
      </c>
      <c r="B1826" s="1">
        <f>DATE(2012,11,10) + TIME(20,35,35)</f>
        <v>41223.858043981483</v>
      </c>
      <c r="C1826">
        <v>80</v>
      </c>
      <c r="D1826">
        <v>79.145431518999999</v>
      </c>
      <c r="E1826">
        <v>50</v>
      </c>
      <c r="F1826">
        <v>49.98367691</v>
      </c>
      <c r="G1826">
        <v>1330.0593262</v>
      </c>
      <c r="H1826">
        <v>1329.3350829999999</v>
      </c>
      <c r="I1826">
        <v>1334.9895019999999</v>
      </c>
      <c r="J1826">
        <v>1333.5372314000001</v>
      </c>
      <c r="K1826">
        <v>0</v>
      </c>
      <c r="L1826">
        <v>2400</v>
      </c>
      <c r="M1826">
        <v>2400</v>
      </c>
      <c r="N1826">
        <v>0</v>
      </c>
    </row>
    <row r="1827" spans="1:14" x14ac:dyDescent="0.25">
      <c r="A1827">
        <v>925.330195</v>
      </c>
      <c r="B1827" s="1">
        <f>DATE(2012,11,11) + TIME(7,55,28)</f>
        <v>41224.330185185187</v>
      </c>
      <c r="C1827">
        <v>80</v>
      </c>
      <c r="D1827">
        <v>79.105537415000001</v>
      </c>
      <c r="E1827">
        <v>50</v>
      </c>
      <c r="F1827">
        <v>49.983642578000001</v>
      </c>
      <c r="G1827">
        <v>1330.0367432</v>
      </c>
      <c r="H1827">
        <v>1329.3040771000001</v>
      </c>
      <c r="I1827">
        <v>1334.9863281</v>
      </c>
      <c r="J1827">
        <v>1333.5358887</v>
      </c>
      <c r="K1827">
        <v>0</v>
      </c>
      <c r="L1827">
        <v>2400</v>
      </c>
      <c r="M1827">
        <v>2400</v>
      </c>
      <c r="N1827">
        <v>0</v>
      </c>
    </row>
    <row r="1828" spans="1:14" x14ac:dyDescent="0.25">
      <c r="A1828">
        <v>925.81672700000001</v>
      </c>
      <c r="B1828" s="1">
        <f>DATE(2012,11,11) + TIME(19,36,5)</f>
        <v>41224.816724537035</v>
      </c>
      <c r="C1828">
        <v>80</v>
      </c>
      <c r="D1828">
        <v>79.063980103000006</v>
      </c>
      <c r="E1828">
        <v>50</v>
      </c>
      <c r="F1828">
        <v>49.983612061000002</v>
      </c>
      <c r="G1828">
        <v>1330.0140381000001</v>
      </c>
      <c r="H1828">
        <v>1329.2729492000001</v>
      </c>
      <c r="I1828">
        <v>1334.9832764</v>
      </c>
      <c r="J1828">
        <v>1333.534668</v>
      </c>
      <c r="K1828">
        <v>0</v>
      </c>
      <c r="L1828">
        <v>2400</v>
      </c>
      <c r="M1828">
        <v>2400</v>
      </c>
      <c r="N1828">
        <v>0</v>
      </c>
    </row>
    <row r="1829" spans="1:14" x14ac:dyDescent="0.25">
      <c r="A1829">
        <v>926.32283700000005</v>
      </c>
      <c r="B1829" s="1">
        <f>DATE(2012,11,12) + TIME(7,44,53)</f>
        <v>41225.322835648149</v>
      </c>
      <c r="C1829">
        <v>80</v>
      </c>
      <c r="D1829">
        <v>79.020469665999997</v>
      </c>
      <c r="E1829">
        <v>50</v>
      </c>
      <c r="F1829">
        <v>49.983585357999999</v>
      </c>
      <c r="G1829">
        <v>1329.9910889</v>
      </c>
      <c r="H1829">
        <v>1329.2414550999999</v>
      </c>
      <c r="I1829">
        <v>1334.9801024999999</v>
      </c>
      <c r="J1829">
        <v>1333.5334473</v>
      </c>
      <c r="K1829">
        <v>0</v>
      </c>
      <c r="L1829">
        <v>2400</v>
      </c>
      <c r="M1829">
        <v>2400</v>
      </c>
      <c r="N1829">
        <v>0</v>
      </c>
    </row>
    <row r="1830" spans="1:14" x14ac:dyDescent="0.25">
      <c r="A1830">
        <v>926.853117</v>
      </c>
      <c r="B1830" s="1">
        <f>DATE(2012,11,12) + TIME(20,28,29)</f>
        <v>41225.853113425925</v>
      </c>
      <c r="C1830">
        <v>80</v>
      </c>
      <c r="D1830">
        <v>78.974655150999993</v>
      </c>
      <c r="E1830">
        <v>50</v>
      </c>
      <c r="F1830">
        <v>49.983562468999999</v>
      </c>
      <c r="G1830">
        <v>1329.9676514</v>
      </c>
      <c r="H1830">
        <v>1329.2094727000001</v>
      </c>
      <c r="I1830">
        <v>1334.9769286999999</v>
      </c>
      <c r="J1830">
        <v>1333.5321045000001</v>
      </c>
      <c r="K1830">
        <v>0</v>
      </c>
      <c r="L1830">
        <v>2400</v>
      </c>
      <c r="M1830">
        <v>2400</v>
      </c>
      <c r="N1830">
        <v>0</v>
      </c>
    </row>
    <row r="1831" spans="1:14" x14ac:dyDescent="0.25">
      <c r="A1831">
        <v>927.40041900000006</v>
      </c>
      <c r="B1831" s="1">
        <f>DATE(2012,11,13) + TIME(9,36,36)</f>
        <v>41226.400416666664</v>
      </c>
      <c r="C1831">
        <v>80</v>
      </c>
      <c r="D1831">
        <v>78.926704407000003</v>
      </c>
      <c r="E1831">
        <v>50</v>
      </c>
      <c r="F1831">
        <v>49.983535766999999</v>
      </c>
      <c r="G1831">
        <v>1329.9438477000001</v>
      </c>
      <c r="H1831">
        <v>1329.177124</v>
      </c>
      <c r="I1831">
        <v>1334.9736327999999</v>
      </c>
      <c r="J1831">
        <v>1333.5308838000001</v>
      </c>
      <c r="K1831">
        <v>0</v>
      </c>
      <c r="L1831">
        <v>2400</v>
      </c>
      <c r="M1831">
        <v>2400</v>
      </c>
      <c r="N1831">
        <v>0</v>
      </c>
    </row>
    <row r="1832" spans="1:14" x14ac:dyDescent="0.25">
      <c r="A1832">
        <v>927.95780600000001</v>
      </c>
      <c r="B1832" s="1">
        <f>DATE(2012,11,13) + TIME(22,59,14)</f>
        <v>41226.957800925928</v>
      </c>
      <c r="C1832">
        <v>80</v>
      </c>
      <c r="D1832">
        <v>78.876945496000005</v>
      </c>
      <c r="E1832">
        <v>50</v>
      </c>
      <c r="F1832">
        <v>49.983516692999999</v>
      </c>
      <c r="G1832">
        <v>1329.9197998</v>
      </c>
      <c r="H1832">
        <v>1329.1444091999999</v>
      </c>
      <c r="I1832">
        <v>1334.9704589999999</v>
      </c>
      <c r="J1832">
        <v>1333.5296631000001</v>
      </c>
      <c r="K1832">
        <v>0</v>
      </c>
      <c r="L1832">
        <v>2400</v>
      </c>
      <c r="M1832">
        <v>2400</v>
      </c>
      <c r="N1832">
        <v>0</v>
      </c>
    </row>
    <row r="1833" spans="1:14" x14ac:dyDescent="0.25">
      <c r="A1833">
        <v>928.53049899999996</v>
      </c>
      <c r="B1833" s="1">
        <f>DATE(2012,11,14) + TIME(12,43,55)</f>
        <v>41227.530497685184</v>
      </c>
      <c r="C1833">
        <v>80</v>
      </c>
      <c r="D1833">
        <v>78.825218200999998</v>
      </c>
      <c r="E1833">
        <v>50</v>
      </c>
      <c r="F1833">
        <v>49.983493805000002</v>
      </c>
      <c r="G1833">
        <v>1329.8957519999999</v>
      </c>
      <c r="H1833">
        <v>1329.1116943</v>
      </c>
      <c r="I1833">
        <v>1334.9671631000001</v>
      </c>
      <c r="J1833">
        <v>1333.5283202999999</v>
      </c>
      <c r="K1833">
        <v>0</v>
      </c>
      <c r="L1833">
        <v>2400</v>
      </c>
      <c r="M1833">
        <v>2400</v>
      </c>
      <c r="N1833">
        <v>0</v>
      </c>
    </row>
    <row r="1834" spans="1:14" x14ac:dyDescent="0.25">
      <c r="A1834">
        <v>929.12202600000001</v>
      </c>
      <c r="B1834" s="1">
        <f>DATE(2012,11,15) + TIME(2,55,43)</f>
        <v>41228.122025462966</v>
      </c>
      <c r="C1834">
        <v>80</v>
      </c>
      <c r="D1834">
        <v>78.771286011000001</v>
      </c>
      <c r="E1834">
        <v>50</v>
      </c>
      <c r="F1834">
        <v>49.983474731000001</v>
      </c>
      <c r="G1834">
        <v>1329.871582</v>
      </c>
      <c r="H1834">
        <v>1329.0789795000001</v>
      </c>
      <c r="I1834">
        <v>1334.9639893000001</v>
      </c>
      <c r="J1834">
        <v>1333.5270995999999</v>
      </c>
      <c r="K1834">
        <v>0</v>
      </c>
      <c r="L1834">
        <v>2400</v>
      </c>
      <c r="M1834">
        <v>2400</v>
      </c>
      <c r="N1834">
        <v>0</v>
      </c>
    </row>
    <row r="1835" spans="1:14" x14ac:dyDescent="0.25">
      <c r="A1835">
        <v>929.73347699999999</v>
      </c>
      <c r="B1835" s="1">
        <f>DATE(2012,11,15) + TIME(17,36,12)</f>
        <v>41228.733472222222</v>
      </c>
      <c r="C1835">
        <v>80</v>
      </c>
      <c r="D1835">
        <v>78.714965820000003</v>
      </c>
      <c r="E1835">
        <v>50</v>
      </c>
      <c r="F1835">
        <v>49.983451842999997</v>
      </c>
      <c r="G1835">
        <v>1329.847168</v>
      </c>
      <c r="H1835">
        <v>1329.0461425999999</v>
      </c>
      <c r="I1835">
        <v>1334.9608154</v>
      </c>
      <c r="J1835">
        <v>1333.526001</v>
      </c>
      <c r="K1835">
        <v>0</v>
      </c>
      <c r="L1835">
        <v>2400</v>
      </c>
      <c r="M1835">
        <v>2400</v>
      </c>
      <c r="N1835">
        <v>0</v>
      </c>
    </row>
    <row r="1836" spans="1:14" x14ac:dyDescent="0.25">
      <c r="A1836">
        <v>930.37010399999997</v>
      </c>
      <c r="B1836" s="1">
        <f>DATE(2012,11,16) + TIME(8,52,56)</f>
        <v>41229.370092592595</v>
      </c>
      <c r="C1836">
        <v>80</v>
      </c>
      <c r="D1836">
        <v>78.655876160000005</v>
      </c>
      <c r="E1836">
        <v>50</v>
      </c>
      <c r="F1836">
        <v>49.98343277</v>
      </c>
      <c r="G1836">
        <v>1329.8226318</v>
      </c>
      <c r="H1836">
        <v>1329.0130615</v>
      </c>
      <c r="I1836">
        <v>1334.9576416</v>
      </c>
      <c r="J1836">
        <v>1333.5247803</v>
      </c>
      <c r="K1836">
        <v>0</v>
      </c>
      <c r="L1836">
        <v>2400</v>
      </c>
      <c r="M1836">
        <v>2400</v>
      </c>
      <c r="N1836">
        <v>0</v>
      </c>
    </row>
    <row r="1837" spans="1:14" x14ac:dyDescent="0.25">
      <c r="A1837">
        <v>931.03788599999996</v>
      </c>
      <c r="B1837" s="1">
        <f>DATE(2012,11,17) + TIME(0,54,33)</f>
        <v>41230.037881944445</v>
      </c>
      <c r="C1837">
        <v>80</v>
      </c>
      <c r="D1837">
        <v>78.593490600999999</v>
      </c>
      <c r="E1837">
        <v>50</v>
      </c>
      <c r="F1837">
        <v>49.983413696</v>
      </c>
      <c r="G1837">
        <v>1329.7977295000001</v>
      </c>
      <c r="H1837">
        <v>1328.9796143000001</v>
      </c>
      <c r="I1837">
        <v>1334.9543457</v>
      </c>
      <c r="J1837">
        <v>1333.5235596</v>
      </c>
      <c r="K1837">
        <v>0</v>
      </c>
      <c r="L1837">
        <v>2400</v>
      </c>
      <c r="M1837">
        <v>2400</v>
      </c>
      <c r="N1837">
        <v>0</v>
      </c>
    </row>
    <row r="1838" spans="1:14" x14ac:dyDescent="0.25">
      <c r="A1838">
        <v>931.72247500000003</v>
      </c>
      <c r="B1838" s="1">
        <f>DATE(2012,11,17) + TIME(17,20,21)</f>
        <v>41230.72246527778</v>
      </c>
      <c r="C1838">
        <v>80</v>
      </c>
      <c r="D1838">
        <v>78.528152465999995</v>
      </c>
      <c r="E1838">
        <v>50</v>
      </c>
      <c r="F1838">
        <v>49.983394623000002</v>
      </c>
      <c r="G1838">
        <v>1329.7723389</v>
      </c>
      <c r="H1838">
        <v>1328.9456786999999</v>
      </c>
      <c r="I1838">
        <v>1334.9510498</v>
      </c>
      <c r="J1838">
        <v>1333.5224608999999</v>
      </c>
      <c r="K1838">
        <v>0</v>
      </c>
      <c r="L1838">
        <v>2400</v>
      </c>
      <c r="M1838">
        <v>2400</v>
      </c>
      <c r="N1838">
        <v>0</v>
      </c>
    </row>
    <row r="1839" spans="1:14" x14ac:dyDescent="0.25">
      <c r="A1839">
        <v>932.4194</v>
      </c>
      <c r="B1839" s="1">
        <f>DATE(2012,11,18) + TIME(10,3,56)</f>
        <v>41231.419398148151</v>
      </c>
      <c r="C1839">
        <v>80</v>
      </c>
      <c r="D1839">
        <v>78.460243224999999</v>
      </c>
      <c r="E1839">
        <v>50</v>
      </c>
      <c r="F1839">
        <v>49.983371734999999</v>
      </c>
      <c r="G1839">
        <v>1329.7468262</v>
      </c>
      <c r="H1839">
        <v>1328.9116211</v>
      </c>
      <c r="I1839">
        <v>1334.9477539</v>
      </c>
      <c r="J1839">
        <v>1333.5213623</v>
      </c>
      <c r="K1839">
        <v>0</v>
      </c>
      <c r="L1839">
        <v>2400</v>
      </c>
      <c r="M1839">
        <v>2400</v>
      </c>
      <c r="N1839">
        <v>0</v>
      </c>
    </row>
    <row r="1840" spans="1:14" x14ac:dyDescent="0.25">
      <c r="A1840">
        <v>933.13817500000005</v>
      </c>
      <c r="B1840" s="1">
        <f>DATE(2012,11,19) + TIME(3,18,58)</f>
        <v>41232.138171296298</v>
      </c>
      <c r="C1840">
        <v>80</v>
      </c>
      <c r="D1840">
        <v>78.389533997000001</v>
      </c>
      <c r="E1840">
        <v>50</v>
      </c>
      <c r="F1840">
        <v>49.983352660999998</v>
      </c>
      <c r="G1840">
        <v>1329.7213135</v>
      </c>
      <c r="H1840">
        <v>1328.8776855000001</v>
      </c>
      <c r="I1840">
        <v>1334.9445800999999</v>
      </c>
      <c r="J1840">
        <v>1333.5202637</v>
      </c>
      <c r="K1840">
        <v>0</v>
      </c>
      <c r="L1840">
        <v>2400</v>
      </c>
      <c r="M1840">
        <v>2400</v>
      </c>
      <c r="N1840">
        <v>0</v>
      </c>
    </row>
    <row r="1841" spans="1:14" x14ac:dyDescent="0.25">
      <c r="A1841">
        <v>933.88466500000004</v>
      </c>
      <c r="B1841" s="1">
        <f>DATE(2012,11,19) + TIME(21,13,55)</f>
        <v>41232.884664351855</v>
      </c>
      <c r="C1841">
        <v>80</v>
      </c>
      <c r="D1841">
        <v>78.315574646000002</v>
      </c>
      <c r="E1841">
        <v>50</v>
      </c>
      <c r="F1841">
        <v>49.983333588000001</v>
      </c>
      <c r="G1841">
        <v>1329.6958007999999</v>
      </c>
      <c r="H1841">
        <v>1328.8436279</v>
      </c>
      <c r="I1841">
        <v>1334.9412841999999</v>
      </c>
      <c r="J1841">
        <v>1333.5191649999999</v>
      </c>
      <c r="K1841">
        <v>0</v>
      </c>
      <c r="L1841">
        <v>2400</v>
      </c>
      <c r="M1841">
        <v>2400</v>
      </c>
      <c r="N1841">
        <v>0</v>
      </c>
    </row>
    <row r="1842" spans="1:14" x14ac:dyDescent="0.25">
      <c r="A1842">
        <v>934.65218100000004</v>
      </c>
      <c r="B1842" s="1">
        <f>DATE(2012,11,20) + TIME(15,39,8)</f>
        <v>41233.652175925927</v>
      </c>
      <c r="C1842">
        <v>80</v>
      </c>
      <c r="D1842">
        <v>78.238349915000001</v>
      </c>
      <c r="E1842">
        <v>50</v>
      </c>
      <c r="F1842">
        <v>49.983310699</v>
      </c>
      <c r="G1842">
        <v>1329.6700439000001</v>
      </c>
      <c r="H1842">
        <v>1328.8094481999999</v>
      </c>
      <c r="I1842">
        <v>1334.9381103999999</v>
      </c>
      <c r="J1842">
        <v>1333.5180664</v>
      </c>
      <c r="K1842">
        <v>0</v>
      </c>
      <c r="L1842">
        <v>2400</v>
      </c>
      <c r="M1842">
        <v>2400</v>
      </c>
      <c r="N1842">
        <v>0</v>
      </c>
    </row>
    <row r="1843" spans="1:14" x14ac:dyDescent="0.25">
      <c r="A1843">
        <v>935.436239</v>
      </c>
      <c r="B1843" s="1">
        <f>DATE(2012,11,21) + TIME(10,28,11)</f>
        <v>41234.436238425929</v>
      </c>
      <c r="C1843">
        <v>80</v>
      </c>
      <c r="D1843">
        <v>78.158103943</v>
      </c>
      <c r="E1843">
        <v>50</v>
      </c>
      <c r="F1843">
        <v>49.983291626000003</v>
      </c>
      <c r="G1843">
        <v>1329.644043</v>
      </c>
      <c r="H1843">
        <v>1328.7752685999999</v>
      </c>
      <c r="I1843">
        <v>1334.9349365</v>
      </c>
      <c r="J1843">
        <v>1333.5170897999999</v>
      </c>
      <c r="K1843">
        <v>0</v>
      </c>
      <c r="L1843">
        <v>2400</v>
      </c>
      <c r="M1843">
        <v>2400</v>
      </c>
      <c r="N1843">
        <v>0</v>
      </c>
    </row>
    <row r="1844" spans="1:14" x14ac:dyDescent="0.25">
      <c r="A1844">
        <v>936.24384099999997</v>
      </c>
      <c r="B1844" s="1">
        <f>DATE(2012,11,22) + TIME(5,51,7)</f>
        <v>41235.243831018517</v>
      </c>
      <c r="C1844">
        <v>80</v>
      </c>
      <c r="D1844">
        <v>78.074691771999994</v>
      </c>
      <c r="E1844">
        <v>50</v>
      </c>
      <c r="F1844">
        <v>49.983268738</v>
      </c>
      <c r="G1844">
        <v>1329.6182861</v>
      </c>
      <c r="H1844">
        <v>1328.7410889</v>
      </c>
      <c r="I1844">
        <v>1334.9316406</v>
      </c>
      <c r="J1844">
        <v>1333.5161132999999</v>
      </c>
      <c r="K1844">
        <v>0</v>
      </c>
      <c r="L1844">
        <v>2400</v>
      </c>
      <c r="M1844">
        <v>2400</v>
      </c>
      <c r="N1844">
        <v>0</v>
      </c>
    </row>
    <row r="1845" spans="1:14" x14ac:dyDescent="0.25">
      <c r="A1845">
        <v>937.08246499999996</v>
      </c>
      <c r="B1845" s="1">
        <f>DATE(2012,11,23) + TIME(1,58,44)</f>
        <v>41236.082453703704</v>
      </c>
      <c r="C1845">
        <v>80</v>
      </c>
      <c r="D1845">
        <v>77.987609863000003</v>
      </c>
      <c r="E1845">
        <v>50</v>
      </c>
      <c r="F1845">
        <v>49.983249663999999</v>
      </c>
      <c r="G1845">
        <v>1329.5922852000001</v>
      </c>
      <c r="H1845">
        <v>1328.7069091999999</v>
      </c>
      <c r="I1845">
        <v>1334.9285889</v>
      </c>
      <c r="J1845">
        <v>1333.5151367000001</v>
      </c>
      <c r="K1845">
        <v>0</v>
      </c>
      <c r="L1845">
        <v>2400</v>
      </c>
      <c r="M1845">
        <v>2400</v>
      </c>
      <c r="N1845">
        <v>0</v>
      </c>
    </row>
    <row r="1846" spans="1:14" x14ac:dyDescent="0.25">
      <c r="A1846">
        <v>937.96057699999994</v>
      </c>
      <c r="B1846" s="1">
        <f>DATE(2012,11,23) + TIME(23,3,13)</f>
        <v>41236.96056712963</v>
      </c>
      <c r="C1846">
        <v>80</v>
      </c>
      <c r="D1846">
        <v>77.896133422999995</v>
      </c>
      <c r="E1846">
        <v>50</v>
      </c>
      <c r="F1846">
        <v>49.983226776000002</v>
      </c>
      <c r="G1846">
        <v>1329.5661620999999</v>
      </c>
      <c r="H1846">
        <v>1328.6726074000001</v>
      </c>
      <c r="I1846">
        <v>1334.925293</v>
      </c>
      <c r="J1846">
        <v>1333.5142822</v>
      </c>
      <c r="K1846">
        <v>0</v>
      </c>
      <c r="L1846">
        <v>2400</v>
      </c>
      <c r="M1846">
        <v>2400</v>
      </c>
      <c r="N1846">
        <v>0</v>
      </c>
    </row>
    <row r="1847" spans="1:14" x14ac:dyDescent="0.25">
      <c r="A1847">
        <v>938.88483599999995</v>
      </c>
      <c r="B1847" s="1">
        <f>DATE(2012,11,24) + TIME(21,14,9)</f>
        <v>41237.884826388887</v>
      </c>
      <c r="C1847">
        <v>80</v>
      </c>
      <c r="D1847">
        <v>77.799453735</v>
      </c>
      <c r="E1847">
        <v>50</v>
      </c>
      <c r="F1847">
        <v>49.983207702999998</v>
      </c>
      <c r="G1847">
        <v>1329.5395507999999</v>
      </c>
      <c r="H1847">
        <v>1328.6378173999999</v>
      </c>
      <c r="I1847">
        <v>1334.9221190999999</v>
      </c>
      <c r="J1847">
        <v>1333.5133057</v>
      </c>
      <c r="K1847">
        <v>0</v>
      </c>
      <c r="L1847">
        <v>2400</v>
      </c>
      <c r="M1847">
        <v>2400</v>
      </c>
      <c r="N1847">
        <v>0</v>
      </c>
    </row>
    <row r="1848" spans="1:14" x14ac:dyDescent="0.25">
      <c r="A1848">
        <v>939.85344999999995</v>
      </c>
      <c r="B1848" s="1">
        <f>DATE(2012,11,25) + TIME(20,28,58)</f>
        <v>41238.853449074071</v>
      </c>
      <c r="C1848">
        <v>80</v>
      </c>
      <c r="D1848">
        <v>77.697120666999993</v>
      </c>
      <c r="E1848">
        <v>50</v>
      </c>
      <c r="F1848">
        <v>49.983184813999998</v>
      </c>
      <c r="G1848">
        <v>1329.5124512</v>
      </c>
      <c r="H1848">
        <v>1328.6025391000001</v>
      </c>
      <c r="I1848">
        <v>1334.9188231999999</v>
      </c>
      <c r="J1848">
        <v>1333.5124512</v>
      </c>
      <c r="K1848">
        <v>0</v>
      </c>
      <c r="L1848">
        <v>2400</v>
      </c>
      <c r="M1848">
        <v>2400</v>
      </c>
      <c r="N1848">
        <v>0</v>
      </c>
    </row>
    <row r="1849" spans="1:14" x14ac:dyDescent="0.25">
      <c r="A1849">
        <v>940.83161700000005</v>
      </c>
      <c r="B1849" s="1">
        <f>DATE(2012,11,26) + TIME(19,57,31)</f>
        <v>41239.831608796296</v>
      </c>
      <c r="C1849">
        <v>80</v>
      </c>
      <c r="D1849">
        <v>77.590324401999993</v>
      </c>
      <c r="E1849">
        <v>50</v>
      </c>
      <c r="F1849">
        <v>49.983161926000001</v>
      </c>
      <c r="G1849">
        <v>1329.4847411999999</v>
      </c>
      <c r="H1849">
        <v>1328.5666504000001</v>
      </c>
      <c r="I1849">
        <v>1334.9155272999999</v>
      </c>
      <c r="J1849">
        <v>1333.5114745999999</v>
      </c>
      <c r="K1849">
        <v>0</v>
      </c>
      <c r="L1849">
        <v>2400</v>
      </c>
      <c r="M1849">
        <v>2400</v>
      </c>
      <c r="N1849">
        <v>0</v>
      </c>
    </row>
    <row r="1850" spans="1:14" x14ac:dyDescent="0.25">
      <c r="A1850">
        <v>941.82106799999997</v>
      </c>
      <c r="B1850" s="1">
        <f>DATE(2012,11,27) + TIME(19,42,20)</f>
        <v>41240.821064814816</v>
      </c>
      <c r="C1850">
        <v>80</v>
      </c>
      <c r="D1850">
        <v>77.480506896999998</v>
      </c>
      <c r="E1850">
        <v>50</v>
      </c>
      <c r="F1850">
        <v>49.983139037999997</v>
      </c>
      <c r="G1850">
        <v>1329.4572754000001</v>
      </c>
      <c r="H1850">
        <v>1328.5308838000001</v>
      </c>
      <c r="I1850">
        <v>1334.9122314000001</v>
      </c>
      <c r="J1850">
        <v>1333.5106201000001</v>
      </c>
      <c r="K1850">
        <v>0</v>
      </c>
      <c r="L1850">
        <v>2400</v>
      </c>
      <c r="M1850">
        <v>2400</v>
      </c>
      <c r="N1850">
        <v>0</v>
      </c>
    </row>
    <row r="1851" spans="1:14" x14ac:dyDescent="0.25">
      <c r="A1851">
        <v>942.83725100000004</v>
      </c>
      <c r="B1851" s="1">
        <f>DATE(2012,11,28) + TIME(20,5,38)</f>
        <v>41241.837245370371</v>
      </c>
      <c r="C1851">
        <v>80</v>
      </c>
      <c r="D1851">
        <v>77.367576599000003</v>
      </c>
      <c r="E1851">
        <v>50</v>
      </c>
      <c r="F1851">
        <v>49.983116150000001</v>
      </c>
      <c r="G1851">
        <v>1329.4300536999999</v>
      </c>
      <c r="H1851">
        <v>1328.4954834</v>
      </c>
      <c r="I1851">
        <v>1334.9090576000001</v>
      </c>
      <c r="J1851">
        <v>1333.5098877</v>
      </c>
      <c r="K1851">
        <v>0</v>
      </c>
      <c r="L1851">
        <v>2400</v>
      </c>
      <c r="M1851">
        <v>2400</v>
      </c>
      <c r="N1851">
        <v>0</v>
      </c>
    </row>
    <row r="1852" spans="1:14" x14ac:dyDescent="0.25">
      <c r="A1852">
        <v>943.88675499999999</v>
      </c>
      <c r="B1852" s="1">
        <f>DATE(2012,11,29) + TIME(21,16,55)</f>
        <v>41242.886747685188</v>
      </c>
      <c r="C1852">
        <v>80</v>
      </c>
      <c r="D1852">
        <v>77.250778198000006</v>
      </c>
      <c r="E1852">
        <v>50</v>
      </c>
      <c r="F1852">
        <v>49.983093261999997</v>
      </c>
      <c r="G1852">
        <v>1329.4030762</v>
      </c>
      <c r="H1852">
        <v>1328.4604492000001</v>
      </c>
      <c r="I1852">
        <v>1334.9058838000001</v>
      </c>
      <c r="J1852">
        <v>1333.5091553</v>
      </c>
      <c r="K1852">
        <v>0</v>
      </c>
      <c r="L1852">
        <v>2400</v>
      </c>
      <c r="M1852">
        <v>2400</v>
      </c>
      <c r="N1852">
        <v>0</v>
      </c>
    </row>
    <row r="1853" spans="1:14" x14ac:dyDescent="0.25">
      <c r="A1853">
        <v>944.44337700000005</v>
      </c>
      <c r="B1853" s="1">
        <f>DATE(2012,11,30) + TIME(10,38,27)</f>
        <v>41243.443368055552</v>
      </c>
      <c r="C1853">
        <v>80</v>
      </c>
      <c r="D1853">
        <v>77.159141540999997</v>
      </c>
      <c r="E1853">
        <v>50</v>
      </c>
      <c r="F1853">
        <v>49.983074188000003</v>
      </c>
      <c r="G1853">
        <v>1329.3763428</v>
      </c>
      <c r="H1853">
        <v>1328.4265137</v>
      </c>
      <c r="I1853">
        <v>1334.9027100000001</v>
      </c>
      <c r="J1853">
        <v>1333.5083007999999</v>
      </c>
      <c r="K1853">
        <v>0</v>
      </c>
      <c r="L1853">
        <v>2400</v>
      </c>
      <c r="M1853">
        <v>2400</v>
      </c>
      <c r="N1853">
        <v>0</v>
      </c>
    </row>
    <row r="1854" spans="1:14" x14ac:dyDescent="0.25">
      <c r="A1854">
        <v>945</v>
      </c>
      <c r="B1854" s="1">
        <f>DATE(2012,12,1) + TIME(0,0,0)</f>
        <v>41244</v>
      </c>
      <c r="C1854">
        <v>80</v>
      </c>
      <c r="D1854">
        <v>77.080734253000003</v>
      </c>
      <c r="E1854">
        <v>50</v>
      </c>
      <c r="F1854">
        <v>49.983058929000002</v>
      </c>
      <c r="G1854">
        <v>1329.3590088000001</v>
      </c>
      <c r="H1854">
        <v>1328.4023437999999</v>
      </c>
      <c r="I1854">
        <v>1334.9011230000001</v>
      </c>
      <c r="J1854">
        <v>1333.5079346</v>
      </c>
      <c r="K1854">
        <v>0</v>
      </c>
      <c r="L1854">
        <v>2400</v>
      </c>
      <c r="M1854">
        <v>2400</v>
      </c>
      <c r="N1854">
        <v>0</v>
      </c>
    </row>
    <row r="1855" spans="1:14" x14ac:dyDescent="0.25">
      <c r="A1855">
        <v>946.11324500000001</v>
      </c>
      <c r="B1855" s="1">
        <f>DATE(2012,12,2) + TIME(2,43,4)</f>
        <v>41245.113240740742</v>
      </c>
      <c r="C1855">
        <v>80</v>
      </c>
      <c r="D1855">
        <v>76.984992981000005</v>
      </c>
      <c r="E1855">
        <v>50</v>
      </c>
      <c r="F1855">
        <v>49.983043670999997</v>
      </c>
      <c r="G1855">
        <v>1329.3428954999999</v>
      </c>
      <c r="H1855">
        <v>1328.3803711</v>
      </c>
      <c r="I1855">
        <v>1334.8995361</v>
      </c>
      <c r="J1855">
        <v>1333.5076904</v>
      </c>
      <c r="K1855">
        <v>0</v>
      </c>
      <c r="L1855">
        <v>2400</v>
      </c>
      <c r="M1855">
        <v>2400</v>
      </c>
      <c r="N1855">
        <v>0</v>
      </c>
    </row>
    <row r="1856" spans="1:14" x14ac:dyDescent="0.25">
      <c r="A1856">
        <v>947.25899600000002</v>
      </c>
      <c r="B1856" s="1">
        <f>DATE(2012,12,3) + TIME(6,12,57)</f>
        <v>41246.258993055555</v>
      </c>
      <c r="C1856">
        <v>80</v>
      </c>
      <c r="D1856">
        <v>76.864837645999998</v>
      </c>
      <c r="E1856">
        <v>50</v>
      </c>
      <c r="F1856">
        <v>49.983024596999996</v>
      </c>
      <c r="G1856">
        <v>1329.3188477000001</v>
      </c>
      <c r="H1856">
        <v>1328.3510742000001</v>
      </c>
      <c r="I1856">
        <v>1334.8963623</v>
      </c>
      <c r="J1856">
        <v>1333.5069579999999</v>
      </c>
      <c r="K1856">
        <v>0</v>
      </c>
      <c r="L1856">
        <v>2400</v>
      </c>
      <c r="M1856">
        <v>2400</v>
      </c>
      <c r="N1856">
        <v>0</v>
      </c>
    </row>
    <row r="1857" spans="1:14" x14ac:dyDescent="0.25">
      <c r="A1857">
        <v>948.46117700000002</v>
      </c>
      <c r="B1857" s="1">
        <f>DATE(2012,12,4) + TIME(11,4,5)</f>
        <v>41247.461168981485</v>
      </c>
      <c r="C1857">
        <v>80</v>
      </c>
      <c r="D1857">
        <v>76.732833862000007</v>
      </c>
      <c r="E1857">
        <v>50</v>
      </c>
      <c r="F1857">
        <v>49.983001709</v>
      </c>
      <c r="G1857">
        <v>1329.2927245999999</v>
      </c>
      <c r="H1857">
        <v>1328.3179932</v>
      </c>
      <c r="I1857">
        <v>1334.8931885</v>
      </c>
      <c r="J1857">
        <v>1333.5063477000001</v>
      </c>
      <c r="K1857">
        <v>0</v>
      </c>
      <c r="L1857">
        <v>2400</v>
      </c>
      <c r="M1857">
        <v>2400</v>
      </c>
      <c r="N1857">
        <v>0</v>
      </c>
    </row>
    <row r="1858" spans="1:14" x14ac:dyDescent="0.25">
      <c r="A1858">
        <v>949.70068300000003</v>
      </c>
      <c r="B1858" s="1">
        <f>DATE(2012,12,5) + TIME(16,48,58)</f>
        <v>41248.700671296298</v>
      </c>
      <c r="C1858">
        <v>80</v>
      </c>
      <c r="D1858">
        <v>76.592742920000006</v>
      </c>
      <c r="E1858">
        <v>50</v>
      </c>
      <c r="F1858">
        <v>49.982978821000003</v>
      </c>
      <c r="G1858">
        <v>1329.2655029</v>
      </c>
      <c r="H1858">
        <v>1328.2834473</v>
      </c>
      <c r="I1858">
        <v>1334.8900146000001</v>
      </c>
      <c r="J1858">
        <v>1333.5056152</v>
      </c>
      <c r="K1858">
        <v>0</v>
      </c>
      <c r="L1858">
        <v>2400</v>
      </c>
      <c r="M1858">
        <v>2400</v>
      </c>
      <c r="N1858">
        <v>0</v>
      </c>
    </row>
    <row r="1859" spans="1:14" x14ac:dyDescent="0.25">
      <c r="A1859">
        <v>950.99681199999998</v>
      </c>
      <c r="B1859" s="1">
        <f>DATE(2012,12,6) + TIME(23,55,24)</f>
        <v>41249.996805555558</v>
      </c>
      <c r="C1859">
        <v>80</v>
      </c>
      <c r="D1859">
        <v>76.446075438999998</v>
      </c>
      <c r="E1859">
        <v>50</v>
      </c>
      <c r="F1859">
        <v>49.982955933</v>
      </c>
      <c r="G1859">
        <v>1329.2379149999999</v>
      </c>
      <c r="H1859">
        <v>1328.2482910000001</v>
      </c>
      <c r="I1859">
        <v>1334.8868408000001</v>
      </c>
      <c r="J1859">
        <v>1333.5050048999999</v>
      </c>
      <c r="K1859">
        <v>0</v>
      </c>
      <c r="L1859">
        <v>2400</v>
      </c>
      <c r="M1859">
        <v>2400</v>
      </c>
      <c r="N1859">
        <v>0</v>
      </c>
    </row>
    <row r="1860" spans="1:14" x14ac:dyDescent="0.25">
      <c r="A1860">
        <v>952.315606</v>
      </c>
      <c r="B1860" s="1">
        <f>DATE(2012,12,8) + TIME(7,34,28)</f>
        <v>41251.315601851849</v>
      </c>
      <c r="C1860">
        <v>80</v>
      </c>
      <c r="D1860">
        <v>76.293540954999997</v>
      </c>
      <c r="E1860">
        <v>50</v>
      </c>
      <c r="F1860">
        <v>49.982933043999999</v>
      </c>
      <c r="G1860">
        <v>1329.2098389</v>
      </c>
      <c r="H1860">
        <v>1328.2126464999999</v>
      </c>
      <c r="I1860">
        <v>1334.8836670000001</v>
      </c>
      <c r="J1860">
        <v>1333.5043945</v>
      </c>
      <c r="K1860">
        <v>0</v>
      </c>
      <c r="L1860">
        <v>2400</v>
      </c>
      <c r="M1860">
        <v>2400</v>
      </c>
      <c r="N1860">
        <v>0</v>
      </c>
    </row>
    <row r="1861" spans="1:14" x14ac:dyDescent="0.25">
      <c r="A1861">
        <v>953.66911300000004</v>
      </c>
      <c r="B1861" s="1">
        <f>DATE(2012,12,9) + TIME(16,3,31)</f>
        <v>41252.669108796297</v>
      </c>
      <c r="C1861">
        <v>80</v>
      </c>
      <c r="D1861">
        <v>76.136688231999997</v>
      </c>
      <c r="E1861">
        <v>50</v>
      </c>
      <c r="F1861">
        <v>49.982906342</v>
      </c>
      <c r="G1861">
        <v>1329.1818848</v>
      </c>
      <c r="H1861">
        <v>1328.1770019999999</v>
      </c>
      <c r="I1861">
        <v>1334.8804932</v>
      </c>
      <c r="J1861">
        <v>1333.5039062000001</v>
      </c>
      <c r="K1861">
        <v>0</v>
      </c>
      <c r="L1861">
        <v>2400</v>
      </c>
      <c r="M1861">
        <v>2400</v>
      </c>
      <c r="N1861">
        <v>0</v>
      </c>
    </row>
    <row r="1862" spans="1:14" x14ac:dyDescent="0.25">
      <c r="A1862">
        <v>955.05988600000001</v>
      </c>
      <c r="B1862" s="1">
        <f>DATE(2012,12,11) + TIME(1,26,14)</f>
        <v>41254.059884259259</v>
      </c>
      <c r="C1862">
        <v>80</v>
      </c>
      <c r="D1862">
        <v>75.975341796999999</v>
      </c>
      <c r="E1862">
        <v>50</v>
      </c>
      <c r="F1862">
        <v>49.982883452999999</v>
      </c>
      <c r="G1862">
        <v>1329.1539307</v>
      </c>
      <c r="H1862">
        <v>1328.1414795000001</v>
      </c>
      <c r="I1862">
        <v>1334.8773193</v>
      </c>
      <c r="J1862">
        <v>1333.5032959</v>
      </c>
      <c r="K1862">
        <v>0</v>
      </c>
      <c r="L1862">
        <v>2400</v>
      </c>
      <c r="M1862">
        <v>2400</v>
      </c>
      <c r="N1862">
        <v>0</v>
      </c>
    </row>
    <row r="1863" spans="1:14" x14ac:dyDescent="0.25">
      <c r="A1863">
        <v>956.50054</v>
      </c>
      <c r="B1863" s="1">
        <f>DATE(2012,12,12) + TIME(12,0,46)</f>
        <v>41255.500532407408</v>
      </c>
      <c r="C1863">
        <v>80</v>
      </c>
      <c r="D1863">
        <v>75.808967589999995</v>
      </c>
      <c r="E1863">
        <v>50</v>
      </c>
      <c r="F1863">
        <v>49.982860565000003</v>
      </c>
      <c r="G1863">
        <v>1329.1259766000001</v>
      </c>
      <c r="H1863">
        <v>1328.1060791</v>
      </c>
      <c r="I1863">
        <v>1334.8741454999999</v>
      </c>
      <c r="J1863">
        <v>1333.5028076000001</v>
      </c>
      <c r="K1863">
        <v>0</v>
      </c>
      <c r="L1863">
        <v>2400</v>
      </c>
      <c r="M1863">
        <v>2400</v>
      </c>
      <c r="N1863">
        <v>0</v>
      </c>
    </row>
    <row r="1864" spans="1:14" x14ac:dyDescent="0.25">
      <c r="A1864">
        <v>958.00864000000001</v>
      </c>
      <c r="B1864" s="1">
        <f>DATE(2012,12,14) + TIME(0,12,26)</f>
        <v>41257.008634259262</v>
      </c>
      <c r="C1864">
        <v>80</v>
      </c>
      <c r="D1864">
        <v>75.636268615999995</v>
      </c>
      <c r="E1864">
        <v>50</v>
      </c>
      <c r="F1864">
        <v>49.982837676999999</v>
      </c>
      <c r="G1864">
        <v>1329.0980225000001</v>
      </c>
      <c r="H1864">
        <v>1328.0708007999999</v>
      </c>
      <c r="I1864">
        <v>1334.8710937999999</v>
      </c>
      <c r="J1864">
        <v>1333.5023193</v>
      </c>
      <c r="K1864">
        <v>0</v>
      </c>
      <c r="L1864">
        <v>2400</v>
      </c>
      <c r="M1864">
        <v>2400</v>
      </c>
      <c r="N1864">
        <v>0</v>
      </c>
    </row>
    <row r="1865" spans="1:14" x14ac:dyDescent="0.25">
      <c r="A1865">
        <v>959.54885999999999</v>
      </c>
      <c r="B1865" s="1">
        <f>DATE(2012,12,15) + TIME(13,10,21)</f>
        <v>41258.548854166664</v>
      </c>
      <c r="C1865">
        <v>80</v>
      </c>
      <c r="D1865">
        <v>75.456962584999999</v>
      </c>
      <c r="E1865">
        <v>50</v>
      </c>
      <c r="F1865">
        <v>49.982810974000003</v>
      </c>
      <c r="G1865">
        <v>1329.0698242000001</v>
      </c>
      <c r="H1865">
        <v>1328.0351562000001</v>
      </c>
      <c r="I1865">
        <v>1334.8677978999999</v>
      </c>
      <c r="J1865">
        <v>1333.5018310999999</v>
      </c>
      <c r="K1865">
        <v>0</v>
      </c>
      <c r="L1865">
        <v>2400</v>
      </c>
      <c r="M1865">
        <v>2400</v>
      </c>
      <c r="N1865">
        <v>0</v>
      </c>
    </row>
    <row r="1866" spans="1:14" x14ac:dyDescent="0.25">
      <c r="A1866">
        <v>961.10834699999998</v>
      </c>
      <c r="B1866" s="1">
        <f>DATE(2012,12,17) + TIME(2,36,1)</f>
        <v>41260.108344907407</v>
      </c>
      <c r="C1866">
        <v>80</v>
      </c>
      <c r="D1866">
        <v>75.273498535000002</v>
      </c>
      <c r="E1866">
        <v>50</v>
      </c>
      <c r="F1866">
        <v>49.982788085999999</v>
      </c>
      <c r="G1866">
        <v>1329.0415039</v>
      </c>
      <c r="H1866">
        <v>1327.9995117000001</v>
      </c>
      <c r="I1866">
        <v>1334.8647461</v>
      </c>
      <c r="J1866">
        <v>1333.5014647999999</v>
      </c>
      <c r="K1866">
        <v>0</v>
      </c>
      <c r="L1866">
        <v>2400</v>
      </c>
      <c r="M1866">
        <v>2400</v>
      </c>
      <c r="N1866">
        <v>0</v>
      </c>
    </row>
    <row r="1867" spans="1:14" x14ac:dyDescent="0.25">
      <c r="A1867">
        <v>962.70382500000005</v>
      </c>
      <c r="B1867" s="1">
        <f>DATE(2012,12,18) + TIME(16,53,30)</f>
        <v>41261.703819444447</v>
      </c>
      <c r="C1867">
        <v>80</v>
      </c>
      <c r="D1867">
        <v>75.086845397999994</v>
      </c>
      <c r="E1867">
        <v>50</v>
      </c>
      <c r="F1867">
        <v>49.982765198000003</v>
      </c>
      <c r="G1867">
        <v>1329.0135498</v>
      </c>
      <c r="H1867">
        <v>1327.9642334</v>
      </c>
      <c r="I1867">
        <v>1334.8615723</v>
      </c>
      <c r="J1867">
        <v>1333.5009766000001</v>
      </c>
      <c r="K1867">
        <v>0</v>
      </c>
      <c r="L1867">
        <v>2400</v>
      </c>
      <c r="M1867">
        <v>2400</v>
      </c>
      <c r="N1867">
        <v>0</v>
      </c>
    </row>
    <row r="1868" spans="1:14" x14ac:dyDescent="0.25">
      <c r="A1868">
        <v>964.35667999999998</v>
      </c>
      <c r="B1868" s="1">
        <f>DATE(2012,12,20) + TIME(8,33,37)</f>
        <v>41263.356678240743</v>
      </c>
      <c r="C1868">
        <v>80</v>
      </c>
      <c r="D1868">
        <v>74.895606994999994</v>
      </c>
      <c r="E1868">
        <v>50</v>
      </c>
      <c r="F1868">
        <v>49.982742309999999</v>
      </c>
      <c r="G1868">
        <v>1328.9858397999999</v>
      </c>
      <c r="H1868">
        <v>1327.9293213000001</v>
      </c>
      <c r="I1868">
        <v>1334.8585204999999</v>
      </c>
      <c r="J1868">
        <v>1333.5006103999999</v>
      </c>
      <c r="K1868">
        <v>0</v>
      </c>
      <c r="L1868">
        <v>2400</v>
      </c>
      <c r="M1868">
        <v>2400</v>
      </c>
      <c r="N1868">
        <v>0</v>
      </c>
    </row>
    <row r="1869" spans="1:14" x14ac:dyDescent="0.25">
      <c r="A1869">
        <v>966.09020099999998</v>
      </c>
      <c r="B1869" s="1">
        <f>DATE(2012,12,22) + TIME(2,9,53)</f>
        <v>41265.090196759258</v>
      </c>
      <c r="C1869">
        <v>80</v>
      </c>
      <c r="D1869">
        <v>74.697570800999998</v>
      </c>
      <c r="E1869">
        <v>50</v>
      </c>
      <c r="F1869">
        <v>49.982715607000003</v>
      </c>
      <c r="G1869">
        <v>1328.9581298999999</v>
      </c>
      <c r="H1869">
        <v>1327.8945312000001</v>
      </c>
      <c r="I1869">
        <v>1334.8554687999999</v>
      </c>
      <c r="J1869">
        <v>1333.5002440999999</v>
      </c>
      <c r="K1869">
        <v>0</v>
      </c>
      <c r="L1869">
        <v>2400</v>
      </c>
      <c r="M1869">
        <v>2400</v>
      </c>
      <c r="N1869">
        <v>0</v>
      </c>
    </row>
    <row r="1870" spans="1:14" x14ac:dyDescent="0.25">
      <c r="A1870">
        <v>967.88805200000002</v>
      </c>
      <c r="B1870" s="1">
        <f>DATE(2012,12,23) + TIME(21,18,47)</f>
        <v>41266.888043981482</v>
      </c>
      <c r="C1870">
        <v>80</v>
      </c>
      <c r="D1870">
        <v>74.491325377999999</v>
      </c>
      <c r="E1870">
        <v>50</v>
      </c>
      <c r="F1870">
        <v>49.982692718999999</v>
      </c>
      <c r="G1870">
        <v>1328.9301757999999</v>
      </c>
      <c r="H1870">
        <v>1327.8594971</v>
      </c>
      <c r="I1870">
        <v>1334.8524170000001</v>
      </c>
      <c r="J1870">
        <v>1333.4998779</v>
      </c>
      <c r="K1870">
        <v>0</v>
      </c>
      <c r="L1870">
        <v>2400</v>
      </c>
      <c r="M1870">
        <v>2400</v>
      </c>
      <c r="N1870">
        <v>0</v>
      </c>
    </row>
    <row r="1871" spans="1:14" x14ac:dyDescent="0.25">
      <c r="A1871">
        <v>969.77497900000003</v>
      </c>
      <c r="B1871" s="1">
        <f>DATE(2012,12,25) + TIME(18,35,58)</f>
        <v>41268.774976851855</v>
      </c>
      <c r="C1871">
        <v>80</v>
      </c>
      <c r="D1871">
        <v>74.277069092000005</v>
      </c>
      <c r="E1871">
        <v>50</v>
      </c>
      <c r="F1871">
        <v>49.982669829999999</v>
      </c>
      <c r="G1871">
        <v>1328.9018555</v>
      </c>
      <c r="H1871">
        <v>1327.8242187999999</v>
      </c>
      <c r="I1871">
        <v>1334.8492432</v>
      </c>
      <c r="J1871">
        <v>1333.4995117000001</v>
      </c>
      <c r="K1871">
        <v>0</v>
      </c>
      <c r="L1871">
        <v>2400</v>
      </c>
      <c r="M1871">
        <v>2400</v>
      </c>
      <c r="N1871">
        <v>0</v>
      </c>
    </row>
    <row r="1872" spans="1:14" x14ac:dyDescent="0.25">
      <c r="A1872">
        <v>971.72954400000003</v>
      </c>
      <c r="B1872" s="1">
        <f>DATE(2012,12,27) + TIME(17,30,32)</f>
        <v>41270.729537037034</v>
      </c>
      <c r="C1872">
        <v>80</v>
      </c>
      <c r="D1872">
        <v>74.053726196</v>
      </c>
      <c r="E1872">
        <v>50</v>
      </c>
      <c r="F1872">
        <v>49.982643127000003</v>
      </c>
      <c r="G1872">
        <v>1328.8730469</v>
      </c>
      <c r="H1872">
        <v>1327.7884521000001</v>
      </c>
      <c r="I1872">
        <v>1334.8460693</v>
      </c>
      <c r="J1872">
        <v>1333.4991454999999</v>
      </c>
      <c r="K1872">
        <v>0</v>
      </c>
      <c r="L1872">
        <v>2400</v>
      </c>
      <c r="M1872">
        <v>2400</v>
      </c>
      <c r="N1872">
        <v>0</v>
      </c>
    </row>
    <row r="1873" spans="1:14" x14ac:dyDescent="0.25">
      <c r="A1873">
        <v>973.74183900000003</v>
      </c>
      <c r="B1873" s="1">
        <f>DATE(2012,12,29) + TIME(17,48,14)</f>
        <v>41272.741828703707</v>
      </c>
      <c r="C1873">
        <v>80</v>
      </c>
      <c r="D1873">
        <v>73.822883606000005</v>
      </c>
      <c r="E1873">
        <v>50</v>
      </c>
      <c r="F1873">
        <v>49.982620238999999</v>
      </c>
      <c r="G1873">
        <v>1328.8441161999999</v>
      </c>
      <c r="H1873">
        <v>1327.7524414</v>
      </c>
      <c r="I1873">
        <v>1334.8428954999999</v>
      </c>
      <c r="J1873">
        <v>1333.4987793</v>
      </c>
      <c r="K1873">
        <v>0</v>
      </c>
      <c r="L1873">
        <v>2400</v>
      </c>
      <c r="M1873">
        <v>2400</v>
      </c>
      <c r="N1873">
        <v>0</v>
      </c>
    </row>
    <row r="1874" spans="1:14" x14ac:dyDescent="0.25">
      <c r="A1874">
        <v>975.75564599999996</v>
      </c>
      <c r="B1874" s="1">
        <f>DATE(2012,12,31) + TIME(18,8,7)</f>
        <v>41274.755636574075</v>
      </c>
      <c r="C1874">
        <v>80</v>
      </c>
      <c r="D1874">
        <v>73.586921692000004</v>
      </c>
      <c r="E1874">
        <v>50</v>
      </c>
      <c r="F1874">
        <v>49.982597351000003</v>
      </c>
      <c r="G1874">
        <v>1328.8151855000001</v>
      </c>
      <c r="H1874">
        <v>1327.7164307</v>
      </c>
      <c r="I1874">
        <v>1334.8397216999999</v>
      </c>
      <c r="J1874">
        <v>1333.4985352000001</v>
      </c>
      <c r="K1874">
        <v>0</v>
      </c>
      <c r="L1874">
        <v>2400</v>
      </c>
      <c r="M1874">
        <v>2400</v>
      </c>
      <c r="N1874">
        <v>0</v>
      </c>
    </row>
    <row r="1875" spans="1:14" x14ac:dyDescent="0.25">
      <c r="A1875">
        <v>976</v>
      </c>
      <c r="B1875" s="1">
        <f>DATE(2013,1,1) + TIME(0,0,0)</f>
        <v>41275</v>
      </c>
      <c r="C1875">
        <v>80</v>
      </c>
      <c r="D1875">
        <v>73.489967346</v>
      </c>
      <c r="E1875">
        <v>50</v>
      </c>
      <c r="F1875">
        <v>49.982582092000001</v>
      </c>
      <c r="G1875">
        <v>1328.7873535000001</v>
      </c>
      <c r="H1875">
        <v>1327.6835937999999</v>
      </c>
      <c r="I1875">
        <v>1334.8365478999999</v>
      </c>
      <c r="J1875">
        <v>1333.4981689000001</v>
      </c>
      <c r="K1875">
        <v>0</v>
      </c>
      <c r="L1875">
        <v>2400</v>
      </c>
      <c r="M1875">
        <v>2400</v>
      </c>
      <c r="N1875">
        <v>0</v>
      </c>
    </row>
    <row r="1876" spans="1:14" x14ac:dyDescent="0.25">
      <c r="A1876">
        <v>978.03993500000001</v>
      </c>
      <c r="B1876" s="1">
        <f>DATE(2013,1,3) + TIME(0,57,30)</f>
        <v>41277.039930555555</v>
      </c>
      <c r="C1876">
        <v>80</v>
      </c>
      <c r="D1876">
        <v>73.307174683</v>
      </c>
      <c r="E1876">
        <v>50</v>
      </c>
      <c r="F1876">
        <v>49.982566833</v>
      </c>
      <c r="G1876">
        <v>1328.7801514</v>
      </c>
      <c r="H1876">
        <v>1327.6705322</v>
      </c>
      <c r="I1876">
        <v>1334.8361815999999</v>
      </c>
      <c r="J1876">
        <v>1333.4981689000001</v>
      </c>
      <c r="K1876">
        <v>0</v>
      </c>
      <c r="L1876">
        <v>2400</v>
      </c>
      <c r="M1876">
        <v>2400</v>
      </c>
      <c r="N1876">
        <v>0</v>
      </c>
    </row>
    <row r="1877" spans="1:14" x14ac:dyDescent="0.25">
      <c r="A1877">
        <v>980.13881600000002</v>
      </c>
      <c r="B1877" s="1">
        <f>DATE(2013,1,5) + TIME(3,19,53)</f>
        <v>41279.138807870368</v>
      </c>
      <c r="C1877">
        <v>80</v>
      </c>
      <c r="D1877">
        <v>73.077003478999998</v>
      </c>
      <c r="E1877">
        <v>50</v>
      </c>
      <c r="F1877">
        <v>49.982547760000003</v>
      </c>
      <c r="G1877">
        <v>1328.7548827999999</v>
      </c>
      <c r="H1877">
        <v>1327.6405029</v>
      </c>
      <c r="I1877">
        <v>1334.8332519999999</v>
      </c>
      <c r="J1877">
        <v>1333.4979248</v>
      </c>
      <c r="K1877">
        <v>0</v>
      </c>
      <c r="L1877">
        <v>2400</v>
      </c>
      <c r="M1877">
        <v>2400</v>
      </c>
      <c r="N1877">
        <v>0</v>
      </c>
    </row>
    <row r="1878" spans="1:14" x14ac:dyDescent="0.25">
      <c r="A1878">
        <v>982.30608500000005</v>
      </c>
      <c r="B1878" s="1">
        <f>DATE(2013,1,7) + TIME(7,20,45)</f>
        <v>41281.306076388886</v>
      </c>
      <c r="C1878">
        <v>80</v>
      </c>
      <c r="D1878">
        <v>72.833877563000001</v>
      </c>
      <c r="E1878">
        <v>50</v>
      </c>
      <c r="F1878">
        <v>49.982524871999999</v>
      </c>
      <c r="G1878">
        <v>1328.7277832</v>
      </c>
      <c r="H1878">
        <v>1327.6072998</v>
      </c>
      <c r="I1878">
        <v>1334.8302002</v>
      </c>
      <c r="J1878">
        <v>1333.4976807</v>
      </c>
      <c r="K1878">
        <v>0</v>
      </c>
      <c r="L1878">
        <v>2400</v>
      </c>
      <c r="M1878">
        <v>2400</v>
      </c>
      <c r="N1878">
        <v>0</v>
      </c>
    </row>
    <row r="1879" spans="1:14" x14ac:dyDescent="0.25">
      <c r="A1879">
        <v>984.54267700000003</v>
      </c>
      <c r="B1879" s="1">
        <f>DATE(2013,1,9) + TIME(13,1,27)</f>
        <v>41283.542673611111</v>
      </c>
      <c r="C1879">
        <v>80</v>
      </c>
      <c r="D1879">
        <v>72.582206725999995</v>
      </c>
      <c r="E1879">
        <v>50</v>
      </c>
      <c r="F1879">
        <v>49.982501984000002</v>
      </c>
      <c r="G1879">
        <v>1328.7004394999999</v>
      </c>
      <c r="H1879">
        <v>1327.5734863</v>
      </c>
      <c r="I1879">
        <v>1334.8271483999999</v>
      </c>
      <c r="J1879">
        <v>1333.4973144999999</v>
      </c>
      <c r="K1879">
        <v>0</v>
      </c>
      <c r="L1879">
        <v>2400</v>
      </c>
      <c r="M1879">
        <v>2400</v>
      </c>
      <c r="N1879">
        <v>0</v>
      </c>
    </row>
    <row r="1880" spans="1:14" x14ac:dyDescent="0.25">
      <c r="A1880">
        <v>986.912959</v>
      </c>
      <c r="B1880" s="1">
        <f>DATE(2013,1,11) + TIME(21,54,39)</f>
        <v>41285.912951388891</v>
      </c>
      <c r="C1880">
        <v>80</v>
      </c>
      <c r="D1880">
        <v>72.322189331000004</v>
      </c>
      <c r="E1880">
        <v>50</v>
      </c>
      <c r="F1880">
        <v>49.982482910000002</v>
      </c>
      <c r="G1880">
        <v>1328.6729736</v>
      </c>
      <c r="H1880">
        <v>1327.5394286999999</v>
      </c>
      <c r="I1880">
        <v>1334.8242187999999</v>
      </c>
      <c r="J1880">
        <v>1333.4970702999999</v>
      </c>
      <c r="K1880">
        <v>0</v>
      </c>
      <c r="L1880">
        <v>2400</v>
      </c>
      <c r="M1880">
        <v>2400</v>
      </c>
      <c r="N1880">
        <v>0</v>
      </c>
    </row>
    <row r="1881" spans="1:14" x14ac:dyDescent="0.25">
      <c r="A1881">
        <v>989.38278700000001</v>
      </c>
      <c r="B1881" s="1">
        <f>DATE(2013,1,14) + TIME(9,11,12)</f>
        <v>41288.382777777777</v>
      </c>
      <c r="C1881">
        <v>80</v>
      </c>
      <c r="D1881">
        <v>72.049613953000005</v>
      </c>
      <c r="E1881">
        <v>50</v>
      </c>
      <c r="F1881">
        <v>49.982460021999998</v>
      </c>
      <c r="G1881">
        <v>1328.6448975000001</v>
      </c>
      <c r="H1881">
        <v>1327.5050048999999</v>
      </c>
      <c r="I1881">
        <v>1334.8210449000001</v>
      </c>
      <c r="J1881">
        <v>1333.4968262</v>
      </c>
      <c r="K1881">
        <v>0</v>
      </c>
      <c r="L1881">
        <v>2400</v>
      </c>
      <c r="M1881">
        <v>2400</v>
      </c>
      <c r="N1881">
        <v>0</v>
      </c>
    </row>
    <row r="1882" spans="1:14" x14ac:dyDescent="0.25">
      <c r="A1882">
        <v>991.93204800000001</v>
      </c>
      <c r="B1882" s="1">
        <f>DATE(2013,1,16) + TIME(22,22,8)</f>
        <v>41290.932037037041</v>
      </c>
      <c r="C1882">
        <v>80</v>
      </c>
      <c r="D1882">
        <v>71.767120360999996</v>
      </c>
      <c r="E1882">
        <v>50</v>
      </c>
      <c r="F1882">
        <v>49.982437134000001</v>
      </c>
      <c r="G1882">
        <v>1328.6165771000001</v>
      </c>
      <c r="H1882">
        <v>1327.4700928</v>
      </c>
      <c r="I1882">
        <v>1334.8179932</v>
      </c>
      <c r="J1882">
        <v>1333.496582</v>
      </c>
      <c r="K1882">
        <v>0</v>
      </c>
      <c r="L1882">
        <v>2400</v>
      </c>
      <c r="M1882">
        <v>2400</v>
      </c>
      <c r="N1882">
        <v>0</v>
      </c>
    </row>
    <row r="1883" spans="1:14" x14ac:dyDescent="0.25">
      <c r="A1883">
        <v>994.48875099999998</v>
      </c>
      <c r="B1883" s="1">
        <f>DATE(2013,1,19) + TIME(11,43,48)</f>
        <v>41293.488749999997</v>
      </c>
      <c r="C1883">
        <v>80</v>
      </c>
      <c r="D1883">
        <v>71.477928161999998</v>
      </c>
      <c r="E1883">
        <v>50</v>
      </c>
      <c r="F1883">
        <v>49.982414245999998</v>
      </c>
      <c r="G1883">
        <v>1328.5881348</v>
      </c>
      <c r="H1883">
        <v>1327.4349365</v>
      </c>
      <c r="I1883">
        <v>1334.8148193</v>
      </c>
      <c r="J1883">
        <v>1333.4963379000001</v>
      </c>
      <c r="K1883">
        <v>0</v>
      </c>
      <c r="L1883">
        <v>2400</v>
      </c>
      <c r="M1883">
        <v>2400</v>
      </c>
      <c r="N1883">
        <v>0</v>
      </c>
    </row>
    <row r="1884" spans="1:14" x14ac:dyDescent="0.25">
      <c r="A1884">
        <v>997.08901100000003</v>
      </c>
      <c r="B1884" s="1">
        <f>DATE(2013,1,22) + TIME(2,8,10)</f>
        <v>41296.089004629626</v>
      </c>
      <c r="C1884">
        <v>80</v>
      </c>
      <c r="D1884">
        <v>71.187622070000003</v>
      </c>
      <c r="E1884">
        <v>50</v>
      </c>
      <c r="F1884">
        <v>49.982395171999997</v>
      </c>
      <c r="G1884">
        <v>1328.5600586</v>
      </c>
      <c r="H1884">
        <v>1327.4002685999999</v>
      </c>
      <c r="I1884">
        <v>1334.8117675999999</v>
      </c>
      <c r="J1884">
        <v>1333.4960937999999</v>
      </c>
      <c r="K1884">
        <v>0</v>
      </c>
      <c r="L1884">
        <v>2400</v>
      </c>
      <c r="M1884">
        <v>2400</v>
      </c>
      <c r="N1884">
        <v>0</v>
      </c>
    </row>
    <row r="1885" spans="1:14" x14ac:dyDescent="0.25">
      <c r="A1885">
        <v>999.76803500000005</v>
      </c>
      <c r="B1885" s="1">
        <f>DATE(2013,1,24) + TIME(18,25,58)</f>
        <v>41298.76803240741</v>
      </c>
      <c r="C1885">
        <v>80</v>
      </c>
      <c r="D1885">
        <v>70.893638611</v>
      </c>
      <c r="E1885">
        <v>50</v>
      </c>
      <c r="F1885">
        <v>49.982376099</v>
      </c>
      <c r="G1885">
        <v>1328.5325928</v>
      </c>
      <c r="H1885">
        <v>1327.3663329999999</v>
      </c>
      <c r="I1885">
        <v>1334.8088379000001</v>
      </c>
      <c r="J1885">
        <v>1333.4958495999999</v>
      </c>
      <c r="K1885">
        <v>0</v>
      </c>
      <c r="L1885">
        <v>2400</v>
      </c>
      <c r="M1885">
        <v>2400</v>
      </c>
      <c r="N1885">
        <v>0</v>
      </c>
    </row>
    <row r="1886" spans="1:14" x14ac:dyDescent="0.25">
      <c r="A1886">
        <v>1002.5677439999999</v>
      </c>
      <c r="B1886" s="1">
        <f>DATE(2013,1,27) + TIME(13,37,33)</f>
        <v>41301.567743055559</v>
      </c>
      <c r="C1886">
        <v>80</v>
      </c>
      <c r="D1886">
        <v>70.592582703000005</v>
      </c>
      <c r="E1886">
        <v>50</v>
      </c>
      <c r="F1886">
        <v>49.982357024999999</v>
      </c>
      <c r="G1886">
        <v>1328.5053711</v>
      </c>
      <c r="H1886">
        <v>1327.3326416</v>
      </c>
      <c r="I1886">
        <v>1334.8057861</v>
      </c>
      <c r="J1886">
        <v>1333.4956055</v>
      </c>
      <c r="K1886">
        <v>0</v>
      </c>
      <c r="L1886">
        <v>2400</v>
      </c>
      <c r="M1886">
        <v>2400</v>
      </c>
      <c r="N1886">
        <v>0</v>
      </c>
    </row>
    <row r="1887" spans="1:14" x14ac:dyDescent="0.25">
      <c r="A1887">
        <v>1005.488355</v>
      </c>
      <c r="B1887" s="1">
        <f>DATE(2013,1,30) + TIME(11,43,13)</f>
        <v>41304.488344907404</v>
      </c>
      <c r="C1887">
        <v>80</v>
      </c>
      <c r="D1887">
        <v>70.280845642000003</v>
      </c>
      <c r="E1887">
        <v>50</v>
      </c>
      <c r="F1887">
        <v>49.982337952000002</v>
      </c>
      <c r="G1887">
        <v>1328.4779053</v>
      </c>
      <c r="H1887">
        <v>1327.2989502</v>
      </c>
      <c r="I1887">
        <v>1334.8027344</v>
      </c>
      <c r="J1887">
        <v>1333.4953613</v>
      </c>
      <c r="K1887">
        <v>0</v>
      </c>
      <c r="L1887">
        <v>2400</v>
      </c>
      <c r="M1887">
        <v>2400</v>
      </c>
      <c r="N1887">
        <v>0</v>
      </c>
    </row>
    <row r="1888" spans="1:14" x14ac:dyDescent="0.25">
      <c r="A1888">
        <v>1007</v>
      </c>
      <c r="B1888" s="1">
        <f>DATE(2013,2,1) + TIME(0,0,0)</f>
        <v>41306</v>
      </c>
      <c r="C1888">
        <v>80</v>
      </c>
      <c r="D1888">
        <v>69.997932434000006</v>
      </c>
      <c r="E1888">
        <v>50</v>
      </c>
      <c r="F1888">
        <v>49.982315063000001</v>
      </c>
      <c r="G1888">
        <v>1328.4501952999999</v>
      </c>
      <c r="H1888">
        <v>1327.2655029</v>
      </c>
      <c r="I1888">
        <v>1334.7996826000001</v>
      </c>
      <c r="J1888">
        <v>1333.4951172000001</v>
      </c>
      <c r="K1888">
        <v>0</v>
      </c>
      <c r="L1888">
        <v>2400</v>
      </c>
      <c r="M1888">
        <v>2400</v>
      </c>
      <c r="N1888">
        <v>0</v>
      </c>
    </row>
    <row r="1889" spans="1:14" x14ac:dyDescent="0.25">
      <c r="A1889">
        <v>1010.004276</v>
      </c>
      <c r="B1889" s="1">
        <f>DATE(2013,2,4) + TIME(0,6,9)</f>
        <v>41309.004270833335</v>
      </c>
      <c r="C1889">
        <v>80</v>
      </c>
      <c r="D1889">
        <v>69.775360106999997</v>
      </c>
      <c r="E1889">
        <v>50</v>
      </c>
      <c r="F1889">
        <v>49.982307433999999</v>
      </c>
      <c r="G1889">
        <v>1328.4318848</v>
      </c>
      <c r="H1889">
        <v>1327.239624</v>
      </c>
      <c r="I1889">
        <v>1334.7982178</v>
      </c>
      <c r="J1889">
        <v>1333.4949951000001</v>
      </c>
      <c r="K1889">
        <v>0</v>
      </c>
      <c r="L1889">
        <v>2400</v>
      </c>
      <c r="M1889">
        <v>2400</v>
      </c>
      <c r="N1889">
        <v>0</v>
      </c>
    </row>
    <row r="1890" spans="1:14" x14ac:dyDescent="0.25">
      <c r="A1890">
        <v>1013.155244</v>
      </c>
      <c r="B1890" s="1">
        <f>DATE(2013,2,7) + TIME(3,43,33)</f>
        <v>41312.155243055553</v>
      </c>
      <c r="C1890">
        <v>80</v>
      </c>
      <c r="D1890">
        <v>69.457199097</v>
      </c>
      <c r="E1890">
        <v>50</v>
      </c>
      <c r="F1890">
        <v>49.982292174999998</v>
      </c>
      <c r="G1890">
        <v>1328.4079589999999</v>
      </c>
      <c r="H1890">
        <v>1327.2124022999999</v>
      </c>
      <c r="I1890">
        <v>1334.7951660000001</v>
      </c>
      <c r="J1890">
        <v>1333.494751</v>
      </c>
      <c r="K1890">
        <v>0</v>
      </c>
      <c r="L1890">
        <v>2400</v>
      </c>
      <c r="M1890">
        <v>2400</v>
      </c>
      <c r="N1890">
        <v>0</v>
      </c>
    </row>
    <row r="1891" spans="1:14" x14ac:dyDescent="0.25">
      <c r="A1891">
        <v>1016.443609</v>
      </c>
      <c r="B1891" s="1">
        <f>DATE(2013,2,10) + TIME(10,38,47)</f>
        <v>41315.443599537037</v>
      </c>
      <c r="C1891">
        <v>80</v>
      </c>
      <c r="D1891">
        <v>69.119300842000001</v>
      </c>
      <c r="E1891">
        <v>50</v>
      </c>
      <c r="F1891">
        <v>49.982276917</v>
      </c>
      <c r="G1891">
        <v>1328.3809814000001</v>
      </c>
      <c r="H1891">
        <v>1327.1795654</v>
      </c>
      <c r="I1891">
        <v>1334.7921143000001</v>
      </c>
      <c r="J1891">
        <v>1333.4945068</v>
      </c>
      <c r="K1891">
        <v>0</v>
      </c>
      <c r="L1891">
        <v>2400</v>
      </c>
      <c r="M1891">
        <v>2400</v>
      </c>
      <c r="N1891">
        <v>0</v>
      </c>
    </row>
    <row r="1892" spans="1:14" x14ac:dyDescent="0.25">
      <c r="A1892">
        <v>1019.764821</v>
      </c>
      <c r="B1892" s="1">
        <f>DATE(2013,2,13) + TIME(18,21,20)</f>
        <v>41318.764814814815</v>
      </c>
      <c r="C1892">
        <v>80</v>
      </c>
      <c r="D1892">
        <v>68.766532897999994</v>
      </c>
      <c r="E1892">
        <v>50</v>
      </c>
      <c r="F1892">
        <v>49.982257842999999</v>
      </c>
      <c r="G1892">
        <v>1328.3533935999999</v>
      </c>
      <c r="H1892">
        <v>1327.145874</v>
      </c>
      <c r="I1892">
        <v>1334.7890625</v>
      </c>
      <c r="J1892">
        <v>1333.4941406</v>
      </c>
      <c r="K1892">
        <v>0</v>
      </c>
      <c r="L1892">
        <v>2400</v>
      </c>
      <c r="M1892">
        <v>2400</v>
      </c>
      <c r="N1892">
        <v>0</v>
      </c>
    </row>
    <row r="1893" spans="1:14" x14ac:dyDescent="0.25">
      <c r="A1893">
        <v>1023.171024</v>
      </c>
      <c r="B1893" s="1">
        <f>DATE(2013,2,17) + TIME(4,6,16)</f>
        <v>41322.171018518522</v>
      </c>
      <c r="C1893">
        <v>80</v>
      </c>
      <c r="D1893">
        <v>68.413619995000005</v>
      </c>
      <c r="E1893">
        <v>50</v>
      </c>
      <c r="F1893">
        <v>49.982242583999998</v>
      </c>
      <c r="G1893">
        <v>1328.3260498</v>
      </c>
      <c r="H1893">
        <v>1327.1121826000001</v>
      </c>
      <c r="I1893">
        <v>1334.7860106999999</v>
      </c>
      <c r="J1893">
        <v>1333.4938964999999</v>
      </c>
      <c r="K1893">
        <v>0</v>
      </c>
      <c r="L1893">
        <v>2400</v>
      </c>
      <c r="M1893">
        <v>2400</v>
      </c>
      <c r="N1893">
        <v>0</v>
      </c>
    </row>
    <row r="1894" spans="1:14" x14ac:dyDescent="0.25">
      <c r="A1894">
        <v>1026.7167460000001</v>
      </c>
      <c r="B1894" s="1">
        <f>DATE(2013,2,20) + TIME(17,12,6)</f>
        <v>41325.716736111113</v>
      </c>
      <c r="C1894">
        <v>80</v>
      </c>
      <c r="D1894">
        <v>68.050498962000006</v>
      </c>
      <c r="E1894">
        <v>50</v>
      </c>
      <c r="F1894">
        <v>49.982231140000003</v>
      </c>
      <c r="G1894">
        <v>1328.2990723</v>
      </c>
      <c r="H1894">
        <v>1327.0789795000001</v>
      </c>
      <c r="I1894">
        <v>1334.7829589999999</v>
      </c>
      <c r="J1894">
        <v>1333.4935303</v>
      </c>
      <c r="K1894">
        <v>0</v>
      </c>
      <c r="L1894">
        <v>2400</v>
      </c>
      <c r="M1894">
        <v>2400</v>
      </c>
      <c r="N1894">
        <v>0</v>
      </c>
    </row>
    <row r="1895" spans="1:14" x14ac:dyDescent="0.25">
      <c r="A1895">
        <v>1030.47019</v>
      </c>
      <c r="B1895" s="1">
        <f>DATE(2013,2,24) + TIME(11,17,4)</f>
        <v>41329.470185185186</v>
      </c>
      <c r="C1895">
        <v>80</v>
      </c>
      <c r="D1895">
        <v>67.681083678999997</v>
      </c>
      <c r="E1895">
        <v>50</v>
      </c>
      <c r="F1895">
        <v>49.982215881000002</v>
      </c>
      <c r="G1895">
        <v>1328.2719727000001</v>
      </c>
      <c r="H1895">
        <v>1327.0457764</v>
      </c>
      <c r="I1895">
        <v>1334.7799072</v>
      </c>
      <c r="J1895">
        <v>1333.4932861</v>
      </c>
      <c r="K1895">
        <v>0</v>
      </c>
      <c r="L1895">
        <v>2400</v>
      </c>
      <c r="M1895">
        <v>2400</v>
      </c>
      <c r="N1895">
        <v>0</v>
      </c>
    </row>
    <row r="1896" spans="1:14" x14ac:dyDescent="0.25">
      <c r="A1896">
        <v>1034.3810880000001</v>
      </c>
      <c r="B1896" s="1">
        <f>DATE(2013,2,28) + TIME(9,8,45)</f>
        <v>41333.381076388891</v>
      </c>
      <c r="C1896">
        <v>80</v>
      </c>
      <c r="D1896">
        <v>67.286834717000005</v>
      </c>
      <c r="E1896">
        <v>50</v>
      </c>
      <c r="F1896">
        <v>49.982204437</v>
      </c>
      <c r="G1896">
        <v>1328.2446289</v>
      </c>
      <c r="H1896">
        <v>1327.0123291</v>
      </c>
      <c r="I1896">
        <v>1334.7768555</v>
      </c>
      <c r="J1896">
        <v>1333.4929199000001</v>
      </c>
      <c r="K1896">
        <v>0</v>
      </c>
      <c r="L1896">
        <v>2400</v>
      </c>
      <c r="M1896">
        <v>2400</v>
      </c>
      <c r="N1896">
        <v>0</v>
      </c>
    </row>
    <row r="1897" spans="1:14" x14ac:dyDescent="0.25">
      <c r="A1897">
        <v>1035</v>
      </c>
      <c r="B1897" s="1">
        <f>DATE(2013,3,1) + TIME(0,0,0)</f>
        <v>41334</v>
      </c>
      <c r="C1897">
        <v>80</v>
      </c>
      <c r="D1897">
        <v>67.040779114000003</v>
      </c>
      <c r="E1897">
        <v>50</v>
      </c>
      <c r="F1897">
        <v>49.982185364000003</v>
      </c>
      <c r="G1897">
        <v>1328.2166748</v>
      </c>
      <c r="H1897">
        <v>1326.9801024999999</v>
      </c>
      <c r="I1897">
        <v>1334.7736815999999</v>
      </c>
      <c r="J1897">
        <v>1333.4925536999999</v>
      </c>
      <c r="K1897">
        <v>0</v>
      </c>
      <c r="L1897">
        <v>2400</v>
      </c>
      <c r="M1897">
        <v>2400</v>
      </c>
      <c r="N1897">
        <v>0</v>
      </c>
    </row>
    <row r="1898" spans="1:14" x14ac:dyDescent="0.25">
      <c r="A1898">
        <v>1039.0743030000001</v>
      </c>
      <c r="B1898" s="1">
        <f>DATE(2013,3,5) + TIME(1,46,59)</f>
        <v>41338.074293981481</v>
      </c>
      <c r="C1898">
        <v>80</v>
      </c>
      <c r="D1898">
        <v>66.806999207000004</v>
      </c>
      <c r="E1898">
        <v>50</v>
      </c>
      <c r="F1898">
        <v>49.982189177999999</v>
      </c>
      <c r="G1898">
        <v>1328.2077637</v>
      </c>
      <c r="H1898">
        <v>1326.963501</v>
      </c>
      <c r="I1898">
        <v>1334.7731934000001</v>
      </c>
      <c r="J1898">
        <v>1333.4924315999999</v>
      </c>
      <c r="K1898">
        <v>0</v>
      </c>
      <c r="L1898">
        <v>2400</v>
      </c>
      <c r="M1898">
        <v>2400</v>
      </c>
      <c r="N1898">
        <v>0</v>
      </c>
    </row>
    <row r="1899" spans="1:14" x14ac:dyDescent="0.25">
      <c r="A1899">
        <v>1043.2477080000001</v>
      </c>
      <c r="B1899" s="1">
        <f>DATE(2013,3,9) + TIME(5,56,41)</f>
        <v>41342.247696759259</v>
      </c>
      <c r="C1899">
        <v>80</v>
      </c>
      <c r="D1899">
        <v>66.396224975999999</v>
      </c>
      <c r="E1899">
        <v>50</v>
      </c>
      <c r="F1899">
        <v>49.982177733999997</v>
      </c>
      <c r="G1899">
        <v>1328.1843262</v>
      </c>
      <c r="H1899">
        <v>1326.9377440999999</v>
      </c>
      <c r="I1899">
        <v>1334.7700195</v>
      </c>
      <c r="J1899">
        <v>1333.4920654</v>
      </c>
      <c r="K1899">
        <v>0</v>
      </c>
      <c r="L1899">
        <v>2400</v>
      </c>
      <c r="M1899">
        <v>2400</v>
      </c>
      <c r="N1899">
        <v>0</v>
      </c>
    </row>
    <row r="1900" spans="1:14" x14ac:dyDescent="0.25">
      <c r="A1900">
        <v>1047.4804140000001</v>
      </c>
      <c r="B1900" s="1">
        <f>DATE(2013,3,13) + TIME(11,31,47)</f>
        <v>41346.480405092596</v>
      </c>
      <c r="C1900">
        <v>80</v>
      </c>
      <c r="D1900">
        <v>66.003829956000004</v>
      </c>
      <c r="E1900">
        <v>50</v>
      </c>
      <c r="F1900">
        <v>49.982170105000002</v>
      </c>
      <c r="G1900">
        <v>1328.1572266000001</v>
      </c>
      <c r="H1900">
        <v>1326.9047852000001</v>
      </c>
      <c r="I1900">
        <v>1334.7668457</v>
      </c>
      <c r="J1900">
        <v>1333.4916992000001</v>
      </c>
      <c r="K1900">
        <v>0</v>
      </c>
      <c r="L1900">
        <v>2400</v>
      </c>
      <c r="M1900">
        <v>2400</v>
      </c>
      <c r="N1900">
        <v>0</v>
      </c>
    </row>
    <row r="1901" spans="1:14" x14ac:dyDescent="0.25">
      <c r="A1901">
        <v>1051.851042</v>
      </c>
      <c r="B1901" s="1">
        <f>DATE(2013,3,17) + TIME(20,25,30)</f>
        <v>41350.851041666669</v>
      </c>
      <c r="C1901">
        <v>80</v>
      </c>
      <c r="D1901">
        <v>65.537384032999995</v>
      </c>
      <c r="E1901">
        <v>50</v>
      </c>
      <c r="F1901">
        <v>49.982162475999999</v>
      </c>
      <c r="G1901">
        <v>1328.1307373</v>
      </c>
      <c r="H1901">
        <v>1326.8720702999999</v>
      </c>
      <c r="I1901">
        <v>1334.7637939000001</v>
      </c>
      <c r="J1901">
        <v>1333.4912108999999</v>
      </c>
      <c r="K1901">
        <v>0</v>
      </c>
      <c r="L1901">
        <v>2400</v>
      </c>
      <c r="M1901">
        <v>2400</v>
      </c>
      <c r="N1901">
        <v>0</v>
      </c>
    </row>
    <row r="1902" spans="1:14" x14ac:dyDescent="0.25">
      <c r="A1902">
        <v>1056.4126000000001</v>
      </c>
      <c r="B1902" s="1">
        <f>DATE(2013,3,22) + TIME(9,54,8)</f>
        <v>41355.412592592591</v>
      </c>
      <c r="C1902">
        <v>80</v>
      </c>
      <c r="D1902">
        <v>65.198684692</v>
      </c>
      <c r="E1902">
        <v>50</v>
      </c>
      <c r="F1902">
        <v>49.982154846</v>
      </c>
      <c r="G1902">
        <v>1328.1040039</v>
      </c>
      <c r="H1902">
        <v>1326.8391113</v>
      </c>
      <c r="I1902">
        <v>1334.7606201000001</v>
      </c>
      <c r="J1902">
        <v>1333.4907227000001</v>
      </c>
      <c r="K1902">
        <v>0</v>
      </c>
      <c r="L1902">
        <v>2400</v>
      </c>
      <c r="M1902">
        <v>2400</v>
      </c>
      <c r="N1902">
        <v>0</v>
      </c>
    </row>
    <row r="1903" spans="1:14" x14ac:dyDescent="0.25">
      <c r="A1903">
        <v>1061.2098719999999</v>
      </c>
      <c r="B1903" s="1">
        <f>DATE(2013,3,27) + TIME(5,2,12)</f>
        <v>41360.209861111114</v>
      </c>
      <c r="C1903">
        <v>80</v>
      </c>
      <c r="D1903">
        <v>64.546798706000004</v>
      </c>
      <c r="E1903">
        <v>50</v>
      </c>
      <c r="F1903">
        <v>49.982147216999998</v>
      </c>
      <c r="G1903">
        <v>1328.0780029</v>
      </c>
      <c r="H1903">
        <v>1326.807251</v>
      </c>
      <c r="I1903">
        <v>1334.7574463000001</v>
      </c>
      <c r="J1903">
        <v>1333.4902344</v>
      </c>
      <c r="K1903">
        <v>0</v>
      </c>
      <c r="L1903">
        <v>2400</v>
      </c>
      <c r="M1903">
        <v>2400</v>
      </c>
      <c r="N1903">
        <v>0</v>
      </c>
    </row>
    <row r="1904" spans="1:14" x14ac:dyDescent="0.25">
      <c r="A1904">
        <v>1063.604936</v>
      </c>
      <c r="B1904" s="1">
        <f>DATE(2013,3,29) + TIME(14,31,6)</f>
        <v>41362.604930555557</v>
      </c>
      <c r="C1904">
        <v>80</v>
      </c>
      <c r="D1904">
        <v>64.373329162999994</v>
      </c>
      <c r="E1904">
        <v>50</v>
      </c>
      <c r="F1904">
        <v>49.982131957999997</v>
      </c>
      <c r="G1904">
        <v>1328.0505370999999</v>
      </c>
      <c r="H1904">
        <v>1326.7730713000001</v>
      </c>
      <c r="I1904">
        <v>1334.7542725000001</v>
      </c>
      <c r="J1904">
        <v>1333.489624</v>
      </c>
      <c r="K1904">
        <v>0</v>
      </c>
      <c r="L1904">
        <v>2400</v>
      </c>
      <c r="M1904">
        <v>2400</v>
      </c>
      <c r="N1904">
        <v>0</v>
      </c>
    </row>
    <row r="1905" spans="1:14" x14ac:dyDescent="0.25">
      <c r="A1905">
        <v>1064.8024680000001</v>
      </c>
      <c r="B1905" s="1">
        <f>DATE(2013,3,30) + TIME(19,15,33)</f>
        <v>41363.802465277775</v>
      </c>
      <c r="C1905">
        <v>80</v>
      </c>
      <c r="D1905">
        <v>64.094757079999994</v>
      </c>
      <c r="E1905">
        <v>50</v>
      </c>
      <c r="F1905">
        <v>49.982120514000002</v>
      </c>
      <c r="G1905">
        <v>1328.0352783000001</v>
      </c>
      <c r="H1905">
        <v>1326.7542725000001</v>
      </c>
      <c r="I1905">
        <v>1334.7526855000001</v>
      </c>
      <c r="J1905">
        <v>1333.4893798999999</v>
      </c>
      <c r="K1905">
        <v>0</v>
      </c>
      <c r="L1905">
        <v>2400</v>
      </c>
      <c r="M1905">
        <v>2400</v>
      </c>
      <c r="N1905">
        <v>0</v>
      </c>
    </row>
    <row r="1906" spans="1:14" x14ac:dyDescent="0.25">
      <c r="A1906">
        <v>1066</v>
      </c>
      <c r="B1906" s="1">
        <f>DATE(2013,4,1) + TIME(0,0,0)</f>
        <v>41365</v>
      </c>
      <c r="C1906">
        <v>80</v>
      </c>
      <c r="D1906">
        <v>63.979804993000002</v>
      </c>
      <c r="E1906">
        <v>50</v>
      </c>
      <c r="F1906">
        <v>49.982116699000002</v>
      </c>
      <c r="G1906">
        <v>1328.0249022999999</v>
      </c>
      <c r="H1906">
        <v>1326.7376709</v>
      </c>
      <c r="I1906">
        <v>1334.7519531</v>
      </c>
      <c r="J1906">
        <v>1333.4892577999999</v>
      </c>
      <c r="K1906">
        <v>0</v>
      </c>
      <c r="L1906">
        <v>2400</v>
      </c>
      <c r="M1906">
        <v>2400</v>
      </c>
      <c r="N1906">
        <v>0</v>
      </c>
    </row>
    <row r="1907" spans="1:14" x14ac:dyDescent="0.25">
      <c r="A1907">
        <v>1068.395064</v>
      </c>
      <c r="B1907" s="1">
        <f>DATE(2013,4,3) + TIME(9,28,53)</f>
        <v>41367.395057870373</v>
      </c>
      <c r="C1907">
        <v>80</v>
      </c>
      <c r="D1907">
        <v>63.768173218000001</v>
      </c>
      <c r="E1907">
        <v>50</v>
      </c>
      <c r="F1907">
        <v>49.982120514000002</v>
      </c>
      <c r="G1907">
        <v>1328.0179443</v>
      </c>
      <c r="H1907">
        <v>1326.7282714999999</v>
      </c>
      <c r="I1907">
        <v>1334.7512207</v>
      </c>
      <c r="J1907">
        <v>1333.4891356999999</v>
      </c>
      <c r="K1907">
        <v>0</v>
      </c>
      <c r="L1907">
        <v>2400</v>
      </c>
      <c r="M1907">
        <v>2400</v>
      </c>
      <c r="N1907">
        <v>0</v>
      </c>
    </row>
    <row r="1908" spans="1:14" x14ac:dyDescent="0.25">
      <c r="A1908">
        <v>1073.7682649999999</v>
      </c>
      <c r="B1908" s="1">
        <f>DATE(2013,4,8) + TIME(18,26,18)</f>
        <v>41372.768263888887</v>
      </c>
      <c r="C1908">
        <v>80</v>
      </c>
      <c r="D1908">
        <v>63.500869751000003</v>
      </c>
      <c r="E1908">
        <v>50</v>
      </c>
      <c r="F1908">
        <v>49.982139586999999</v>
      </c>
      <c r="G1908">
        <v>1328.0072021000001</v>
      </c>
      <c r="H1908">
        <v>1326.7155762</v>
      </c>
      <c r="I1908">
        <v>1334.7496338000001</v>
      </c>
      <c r="J1908">
        <v>1333.4887695</v>
      </c>
      <c r="K1908">
        <v>0</v>
      </c>
      <c r="L1908">
        <v>2400</v>
      </c>
      <c r="M1908">
        <v>2400</v>
      </c>
      <c r="N1908">
        <v>0</v>
      </c>
    </row>
    <row r="1909" spans="1:14" x14ac:dyDescent="0.25">
      <c r="A1909">
        <v>1079.2346620000001</v>
      </c>
      <c r="B1909" s="1">
        <f>DATE(2013,4,14) + TIME(5,37,54)</f>
        <v>41378.234652777777</v>
      </c>
      <c r="C1909">
        <v>80</v>
      </c>
      <c r="D1909">
        <v>63.039089203000003</v>
      </c>
      <c r="E1909">
        <v>50</v>
      </c>
      <c r="F1909">
        <v>49.982139586999999</v>
      </c>
      <c r="G1909">
        <v>1327.9858397999999</v>
      </c>
      <c r="H1909">
        <v>1326.6933594</v>
      </c>
      <c r="I1909">
        <v>1334.7462158000001</v>
      </c>
      <c r="J1909">
        <v>1333.4881591999999</v>
      </c>
      <c r="K1909">
        <v>0</v>
      </c>
      <c r="L1909">
        <v>2400</v>
      </c>
      <c r="M1909">
        <v>2400</v>
      </c>
      <c r="N1909">
        <v>0</v>
      </c>
    </row>
    <row r="1910" spans="1:14" x14ac:dyDescent="0.25">
      <c r="A1910">
        <v>1084.824946</v>
      </c>
      <c r="B1910" s="1">
        <f>DATE(2013,4,19) + TIME(19,47,55)</f>
        <v>41383.824942129628</v>
      </c>
      <c r="C1910">
        <v>80</v>
      </c>
      <c r="D1910">
        <v>62.458332061999997</v>
      </c>
      <c r="E1910">
        <v>50</v>
      </c>
      <c r="F1910">
        <v>49.982139586999999</v>
      </c>
      <c r="G1910">
        <v>1327.9603271000001</v>
      </c>
      <c r="H1910">
        <v>1326.6618652</v>
      </c>
      <c r="I1910">
        <v>1334.7429199000001</v>
      </c>
      <c r="J1910">
        <v>1333.4874268000001</v>
      </c>
      <c r="K1910">
        <v>0</v>
      </c>
      <c r="L1910">
        <v>2400</v>
      </c>
      <c r="M1910">
        <v>2400</v>
      </c>
      <c r="N1910">
        <v>0</v>
      </c>
    </row>
    <row r="1911" spans="1:14" x14ac:dyDescent="0.25">
      <c r="A1911">
        <v>1087.7445520000001</v>
      </c>
      <c r="B1911" s="1">
        <f>DATE(2013,4,22) + TIME(17,52,9)</f>
        <v>41386.74454861111</v>
      </c>
      <c r="C1911">
        <v>80</v>
      </c>
      <c r="D1911">
        <v>62.045902251999998</v>
      </c>
      <c r="E1911">
        <v>50</v>
      </c>
      <c r="F1911">
        <v>49.982124329000001</v>
      </c>
      <c r="G1911">
        <v>1327.9346923999999</v>
      </c>
      <c r="H1911">
        <v>1326.6307373</v>
      </c>
      <c r="I1911">
        <v>1334.7395019999999</v>
      </c>
      <c r="J1911">
        <v>1333.4866943</v>
      </c>
      <c r="K1911">
        <v>0</v>
      </c>
      <c r="L1911">
        <v>2400</v>
      </c>
      <c r="M1911">
        <v>2400</v>
      </c>
      <c r="N1911">
        <v>0</v>
      </c>
    </row>
    <row r="1912" spans="1:14" x14ac:dyDescent="0.25">
      <c r="A1912">
        <v>1090.6641569999999</v>
      </c>
      <c r="B1912" s="1">
        <f>DATE(2013,4,25) + TIME(15,56,23)</f>
        <v>41389.664155092592</v>
      </c>
      <c r="C1912">
        <v>80</v>
      </c>
      <c r="D1912">
        <v>61.755550384999999</v>
      </c>
      <c r="E1912">
        <v>50</v>
      </c>
      <c r="F1912">
        <v>49.982124329000001</v>
      </c>
      <c r="G1912">
        <v>1327.9182129000001</v>
      </c>
      <c r="H1912">
        <v>1326.6072998</v>
      </c>
      <c r="I1912">
        <v>1334.7379149999999</v>
      </c>
      <c r="J1912">
        <v>1333.4863281</v>
      </c>
      <c r="K1912">
        <v>0</v>
      </c>
      <c r="L1912">
        <v>2400</v>
      </c>
      <c r="M1912">
        <v>2400</v>
      </c>
      <c r="N1912">
        <v>0</v>
      </c>
    </row>
    <row r="1913" spans="1:14" x14ac:dyDescent="0.25">
      <c r="A1913">
        <v>1093.3320779999999</v>
      </c>
      <c r="B1913" s="1">
        <f>DATE(2013,4,28) + TIME(7,58,11)</f>
        <v>41392.332071759258</v>
      </c>
      <c r="C1913">
        <v>80</v>
      </c>
      <c r="D1913">
        <v>61.460258484000001</v>
      </c>
      <c r="E1913">
        <v>50</v>
      </c>
      <c r="F1913">
        <v>49.982124329000001</v>
      </c>
      <c r="G1913">
        <v>1327.9053954999999</v>
      </c>
      <c r="H1913">
        <v>1326.5911865</v>
      </c>
      <c r="I1913">
        <v>1334.7362060999999</v>
      </c>
      <c r="J1913">
        <v>1333.4858397999999</v>
      </c>
      <c r="K1913">
        <v>0</v>
      </c>
      <c r="L1913">
        <v>2400</v>
      </c>
      <c r="M1913">
        <v>2400</v>
      </c>
      <c r="N1913">
        <v>0</v>
      </c>
    </row>
    <row r="1914" spans="1:14" x14ac:dyDescent="0.25">
      <c r="A1914">
        <v>1096</v>
      </c>
      <c r="B1914" s="1">
        <f>DATE(2013,5,1) + TIME(0,0,0)</f>
        <v>41395</v>
      </c>
      <c r="C1914">
        <v>80</v>
      </c>
      <c r="D1914">
        <v>61.294902802000003</v>
      </c>
      <c r="E1914">
        <v>50</v>
      </c>
      <c r="F1914">
        <v>49.982124329000001</v>
      </c>
      <c r="G1914">
        <v>1327.8936768000001</v>
      </c>
      <c r="H1914">
        <v>1326.5762939000001</v>
      </c>
      <c r="I1914">
        <v>1334.7347411999999</v>
      </c>
      <c r="J1914">
        <v>1333.4854736</v>
      </c>
      <c r="K1914">
        <v>0</v>
      </c>
      <c r="L1914">
        <v>2400</v>
      </c>
      <c r="M1914">
        <v>2400</v>
      </c>
      <c r="N1914">
        <v>0</v>
      </c>
    </row>
    <row r="1915" spans="1:14" x14ac:dyDescent="0.25">
      <c r="A1915">
        <v>1096.0000010000001</v>
      </c>
      <c r="B1915" s="1">
        <f>DATE(2013,5,1) + TIME(0,0,0)</f>
        <v>41395</v>
      </c>
      <c r="C1915">
        <v>80</v>
      </c>
      <c r="D1915">
        <v>61.295040131</v>
      </c>
      <c r="E1915">
        <v>50</v>
      </c>
      <c r="F1915">
        <v>49.982059479</v>
      </c>
      <c r="G1915">
        <v>1329.8854980000001</v>
      </c>
      <c r="H1915">
        <v>1328.6682129000001</v>
      </c>
      <c r="I1915">
        <v>1332.9595947</v>
      </c>
      <c r="J1915">
        <v>1332.2907714999999</v>
      </c>
      <c r="K1915">
        <v>2400</v>
      </c>
      <c r="L1915">
        <v>0</v>
      </c>
      <c r="M1915">
        <v>0</v>
      </c>
      <c r="N1915">
        <v>2400</v>
      </c>
    </row>
    <row r="1916" spans="1:14" x14ac:dyDescent="0.25">
      <c r="A1916">
        <v>1096.000004</v>
      </c>
      <c r="B1916" s="1">
        <f>DATE(2013,5,1) + TIME(0,0,0)</f>
        <v>41395</v>
      </c>
      <c r="C1916">
        <v>80</v>
      </c>
      <c r="D1916">
        <v>61.295253754000001</v>
      </c>
      <c r="E1916">
        <v>50</v>
      </c>
      <c r="F1916">
        <v>49.981979369999998</v>
      </c>
      <c r="G1916">
        <v>1330.6992187999999</v>
      </c>
      <c r="H1916">
        <v>1329.5159911999999</v>
      </c>
      <c r="I1916">
        <v>1332.3271483999999</v>
      </c>
      <c r="J1916">
        <v>1331.6579589999999</v>
      </c>
      <c r="K1916">
        <v>2400</v>
      </c>
      <c r="L1916">
        <v>0</v>
      </c>
      <c r="M1916">
        <v>0</v>
      </c>
      <c r="N1916">
        <v>2400</v>
      </c>
    </row>
    <row r="1917" spans="1:14" x14ac:dyDescent="0.25">
      <c r="A1917">
        <v>1096.0000130000001</v>
      </c>
      <c r="B1917" s="1">
        <f>DATE(2013,5,1) + TIME(0,0,1)</f>
        <v>41395.000011574077</v>
      </c>
      <c r="C1917">
        <v>80</v>
      </c>
      <c r="D1917">
        <v>61.295665741000001</v>
      </c>
      <c r="E1917">
        <v>50</v>
      </c>
      <c r="F1917">
        <v>49.981903076000002</v>
      </c>
      <c r="G1917">
        <v>1331.5368652</v>
      </c>
      <c r="H1917">
        <v>1330.3192139</v>
      </c>
      <c r="I1917">
        <v>1331.7191161999999</v>
      </c>
      <c r="J1917">
        <v>1331.0461425999999</v>
      </c>
      <c r="K1917">
        <v>2400</v>
      </c>
      <c r="L1917">
        <v>0</v>
      </c>
      <c r="M1917">
        <v>0</v>
      </c>
      <c r="N1917">
        <v>2400</v>
      </c>
    </row>
    <row r="1918" spans="1:14" x14ac:dyDescent="0.25">
      <c r="A1918">
        <v>1096.0000399999999</v>
      </c>
      <c r="B1918" s="1">
        <f>DATE(2013,5,1) + TIME(0,0,3)</f>
        <v>41395.000034722223</v>
      </c>
      <c r="C1918">
        <v>80</v>
      </c>
      <c r="D1918">
        <v>61.296718597000002</v>
      </c>
      <c r="E1918">
        <v>50</v>
      </c>
      <c r="F1918">
        <v>49.981826781999999</v>
      </c>
      <c r="G1918">
        <v>1332.3380127</v>
      </c>
      <c r="H1918">
        <v>1331.0832519999999</v>
      </c>
      <c r="I1918">
        <v>1331.1368408000001</v>
      </c>
      <c r="J1918">
        <v>1330.4523925999999</v>
      </c>
      <c r="K1918">
        <v>2400</v>
      </c>
      <c r="L1918">
        <v>0</v>
      </c>
      <c r="M1918">
        <v>0</v>
      </c>
      <c r="N1918">
        <v>2400</v>
      </c>
    </row>
    <row r="1919" spans="1:14" x14ac:dyDescent="0.25">
      <c r="A1919">
        <v>1096.000121</v>
      </c>
      <c r="B1919" s="1">
        <f>DATE(2013,5,1) + TIME(0,0,10)</f>
        <v>41395.000115740739</v>
      </c>
      <c r="C1919">
        <v>80</v>
      </c>
      <c r="D1919">
        <v>61.299747467000003</v>
      </c>
      <c r="E1919">
        <v>50</v>
      </c>
      <c r="F1919">
        <v>49.981746674</v>
      </c>
      <c r="G1919">
        <v>1333.1147461</v>
      </c>
      <c r="H1919">
        <v>1331.8244629000001</v>
      </c>
      <c r="I1919">
        <v>1330.5439452999999</v>
      </c>
      <c r="J1919">
        <v>1329.8364257999999</v>
      </c>
      <c r="K1919">
        <v>2400</v>
      </c>
      <c r="L1919">
        <v>0</v>
      </c>
      <c r="M1919">
        <v>0</v>
      </c>
      <c r="N1919">
        <v>2400</v>
      </c>
    </row>
    <row r="1920" spans="1:14" x14ac:dyDescent="0.25">
      <c r="A1920">
        <v>1096.000364</v>
      </c>
      <c r="B1920" s="1">
        <f>DATE(2013,5,1) + TIME(0,0,31)</f>
        <v>41395.000358796293</v>
      </c>
      <c r="C1920">
        <v>80</v>
      </c>
      <c r="D1920">
        <v>61.308868408000002</v>
      </c>
      <c r="E1920">
        <v>50</v>
      </c>
      <c r="F1920">
        <v>49.981651306000003</v>
      </c>
      <c r="G1920">
        <v>1333.8461914</v>
      </c>
      <c r="H1920">
        <v>1332.5209961</v>
      </c>
      <c r="I1920">
        <v>1329.9426269999999</v>
      </c>
      <c r="J1920">
        <v>1329.2055664</v>
      </c>
      <c r="K1920">
        <v>2400</v>
      </c>
      <c r="L1920">
        <v>0</v>
      </c>
      <c r="M1920">
        <v>0</v>
      </c>
      <c r="N1920">
        <v>2400</v>
      </c>
    </row>
    <row r="1921" spans="1:14" x14ac:dyDescent="0.25">
      <c r="A1921">
        <v>1096.0010930000001</v>
      </c>
      <c r="B1921" s="1">
        <f>DATE(2013,5,1) + TIME(0,1,34)</f>
        <v>41395.001087962963</v>
      </c>
      <c r="C1921">
        <v>80</v>
      </c>
      <c r="D1921">
        <v>61.336547852000002</v>
      </c>
      <c r="E1921">
        <v>50</v>
      </c>
      <c r="F1921">
        <v>49.981529236</v>
      </c>
      <c r="G1921">
        <v>1334.4233397999999</v>
      </c>
      <c r="H1921">
        <v>1333.0709228999999</v>
      </c>
      <c r="I1921">
        <v>1329.4342041</v>
      </c>
      <c r="J1921">
        <v>1328.6748047000001</v>
      </c>
      <c r="K1921">
        <v>2400</v>
      </c>
      <c r="L1921">
        <v>0</v>
      </c>
      <c r="M1921">
        <v>0</v>
      </c>
      <c r="N1921">
        <v>2400</v>
      </c>
    </row>
    <row r="1922" spans="1:14" x14ac:dyDescent="0.25">
      <c r="A1922">
        <v>1096.0032799999999</v>
      </c>
      <c r="B1922" s="1">
        <f>DATE(2013,5,1) + TIME(0,4,43)</f>
        <v>41395.003275462965</v>
      </c>
      <c r="C1922">
        <v>80</v>
      </c>
      <c r="D1922">
        <v>61.419834137000002</v>
      </c>
      <c r="E1922">
        <v>50</v>
      </c>
      <c r="F1922">
        <v>49.981327057000001</v>
      </c>
      <c r="G1922">
        <v>1334.7326660000001</v>
      </c>
      <c r="H1922">
        <v>1333.3687743999999</v>
      </c>
      <c r="I1922">
        <v>1329.1634521000001</v>
      </c>
      <c r="J1922">
        <v>1328.3946533000001</v>
      </c>
      <c r="K1922">
        <v>2400</v>
      </c>
      <c r="L1922">
        <v>0</v>
      </c>
      <c r="M1922">
        <v>0</v>
      </c>
      <c r="N1922">
        <v>2400</v>
      </c>
    </row>
    <row r="1923" spans="1:14" x14ac:dyDescent="0.25">
      <c r="A1923">
        <v>1096.0098410000001</v>
      </c>
      <c r="B1923" s="1">
        <f>DATE(2013,5,1) + TIME(0,14,10)</f>
        <v>41395.009837962964</v>
      </c>
      <c r="C1923">
        <v>80</v>
      </c>
      <c r="D1923">
        <v>61.666790009000003</v>
      </c>
      <c r="E1923">
        <v>50</v>
      </c>
      <c r="F1923">
        <v>49.980808258000003</v>
      </c>
      <c r="G1923">
        <v>1334.8161620999999</v>
      </c>
      <c r="H1923">
        <v>1333.4539795000001</v>
      </c>
      <c r="I1923">
        <v>1329.0998535000001</v>
      </c>
      <c r="J1923">
        <v>1328.3291016000001</v>
      </c>
      <c r="K1923">
        <v>2400</v>
      </c>
      <c r="L1923">
        <v>0</v>
      </c>
      <c r="M1923">
        <v>0</v>
      </c>
      <c r="N1923">
        <v>2400</v>
      </c>
    </row>
    <row r="1924" spans="1:14" x14ac:dyDescent="0.25">
      <c r="A1924">
        <v>1096.0276249999999</v>
      </c>
      <c r="B1924" s="1">
        <f>DATE(2013,5,1) + TIME(0,39,46)</f>
        <v>41395.027615740742</v>
      </c>
      <c r="C1924">
        <v>80</v>
      </c>
      <c r="D1924">
        <v>62.312801360999998</v>
      </c>
      <c r="E1924">
        <v>50</v>
      </c>
      <c r="F1924">
        <v>49.979446410999998</v>
      </c>
      <c r="G1924">
        <v>1334.8129882999999</v>
      </c>
      <c r="H1924">
        <v>1333.4621582</v>
      </c>
      <c r="I1924">
        <v>1329.0954589999999</v>
      </c>
      <c r="J1924">
        <v>1328.3245850000001</v>
      </c>
      <c r="K1924">
        <v>2400</v>
      </c>
      <c r="L1924">
        <v>0</v>
      </c>
      <c r="M1924">
        <v>0</v>
      </c>
      <c r="N1924">
        <v>2400</v>
      </c>
    </row>
    <row r="1925" spans="1:14" x14ac:dyDescent="0.25">
      <c r="A1925">
        <v>1096.0457590000001</v>
      </c>
      <c r="B1925" s="1">
        <f>DATE(2013,5,1) + TIME(1,5,53)</f>
        <v>41395.045752314814</v>
      </c>
      <c r="C1925">
        <v>80</v>
      </c>
      <c r="D1925">
        <v>62.955165862999998</v>
      </c>
      <c r="E1925">
        <v>50</v>
      </c>
      <c r="F1925">
        <v>49.978061676000003</v>
      </c>
      <c r="G1925">
        <v>1334.8344727000001</v>
      </c>
      <c r="H1925">
        <v>1333.4802245999999</v>
      </c>
      <c r="I1925">
        <v>1329.0953368999999</v>
      </c>
      <c r="J1925">
        <v>1328.3244629000001</v>
      </c>
      <c r="K1925">
        <v>2400</v>
      </c>
      <c r="L1925">
        <v>0</v>
      </c>
      <c r="M1925">
        <v>0</v>
      </c>
      <c r="N1925">
        <v>2400</v>
      </c>
    </row>
    <row r="1926" spans="1:14" x14ac:dyDescent="0.25">
      <c r="A1926">
        <v>1096.064261</v>
      </c>
      <c r="B1926" s="1">
        <f>DATE(2013,5,1) + TIME(1,32,32)</f>
        <v>41395.064259259256</v>
      </c>
      <c r="C1926">
        <v>80</v>
      </c>
      <c r="D1926">
        <v>63.593784331999998</v>
      </c>
      <c r="E1926">
        <v>50</v>
      </c>
      <c r="F1926">
        <v>49.976661682</v>
      </c>
      <c r="G1926">
        <v>1334.8575439000001</v>
      </c>
      <c r="H1926">
        <v>1333.4989014</v>
      </c>
      <c r="I1926">
        <v>1329.0953368999999</v>
      </c>
      <c r="J1926">
        <v>1328.3242187999999</v>
      </c>
      <c r="K1926">
        <v>2400</v>
      </c>
      <c r="L1926">
        <v>0</v>
      </c>
      <c r="M1926">
        <v>0</v>
      </c>
      <c r="N1926">
        <v>2400</v>
      </c>
    </row>
    <row r="1927" spans="1:14" x14ac:dyDescent="0.25">
      <c r="A1927">
        <v>1096.0831459999999</v>
      </c>
      <c r="B1927" s="1">
        <f>DATE(2013,5,1) + TIME(1,59,43)</f>
        <v>41395.083136574074</v>
      </c>
      <c r="C1927">
        <v>80</v>
      </c>
      <c r="D1927">
        <v>64.228424071999996</v>
      </c>
      <c r="E1927">
        <v>50</v>
      </c>
      <c r="F1927">
        <v>49.975234985</v>
      </c>
      <c r="G1927">
        <v>1334.8826904</v>
      </c>
      <c r="H1927">
        <v>1333.5187988</v>
      </c>
      <c r="I1927">
        <v>1329.0952147999999</v>
      </c>
      <c r="J1927">
        <v>1328.3240966999999</v>
      </c>
      <c r="K1927">
        <v>2400</v>
      </c>
      <c r="L1927">
        <v>0</v>
      </c>
      <c r="M1927">
        <v>0</v>
      </c>
      <c r="N1927">
        <v>2400</v>
      </c>
    </row>
    <row r="1928" spans="1:14" x14ac:dyDescent="0.25">
      <c r="A1928">
        <v>1096.1024299999999</v>
      </c>
      <c r="B1928" s="1">
        <f>DATE(2013,5,1) + TIME(2,27,29)</f>
        <v>41395.102418981478</v>
      </c>
      <c r="C1928">
        <v>80</v>
      </c>
      <c r="D1928">
        <v>64.858787536999998</v>
      </c>
      <c r="E1928">
        <v>50</v>
      </c>
      <c r="F1928">
        <v>49.973789214999996</v>
      </c>
      <c r="G1928">
        <v>1334.9099120999999</v>
      </c>
      <c r="H1928">
        <v>1333.5400391000001</v>
      </c>
      <c r="I1928">
        <v>1329.0952147999999</v>
      </c>
      <c r="J1928">
        <v>1328.3238524999999</v>
      </c>
      <c r="K1928">
        <v>2400</v>
      </c>
      <c r="L1928">
        <v>0</v>
      </c>
      <c r="M1928">
        <v>0</v>
      </c>
      <c r="N1928">
        <v>2400</v>
      </c>
    </row>
    <row r="1929" spans="1:14" x14ac:dyDescent="0.25">
      <c r="A1929">
        <v>1096.122128</v>
      </c>
      <c r="B1929" s="1">
        <f>DATE(2013,5,1) + TIME(2,55,51)</f>
        <v>41395.122118055559</v>
      </c>
      <c r="C1929">
        <v>80</v>
      </c>
      <c r="D1929">
        <v>65.484664917000003</v>
      </c>
      <c r="E1929">
        <v>50</v>
      </c>
      <c r="F1929">
        <v>49.972320557000003</v>
      </c>
      <c r="G1929">
        <v>1334.9389647999999</v>
      </c>
      <c r="H1929">
        <v>1333.5623779</v>
      </c>
      <c r="I1929">
        <v>1329.0950928</v>
      </c>
      <c r="J1929">
        <v>1328.3237305</v>
      </c>
      <c r="K1929">
        <v>2400</v>
      </c>
      <c r="L1929">
        <v>0</v>
      </c>
      <c r="M1929">
        <v>0</v>
      </c>
      <c r="N1929">
        <v>2400</v>
      </c>
    </row>
    <row r="1930" spans="1:14" x14ac:dyDescent="0.25">
      <c r="A1930">
        <v>1096.142259</v>
      </c>
      <c r="B1930" s="1">
        <f>DATE(2013,5,1) + TIME(3,24,51)</f>
        <v>41395.142256944448</v>
      </c>
      <c r="C1930">
        <v>80</v>
      </c>
      <c r="D1930">
        <v>66.105514525999993</v>
      </c>
      <c r="E1930">
        <v>50</v>
      </c>
      <c r="F1930">
        <v>49.970829010000003</v>
      </c>
      <c r="G1930">
        <v>1334.9700928</v>
      </c>
      <c r="H1930">
        <v>1333.5859375</v>
      </c>
      <c r="I1930">
        <v>1329.0949707</v>
      </c>
      <c r="J1930">
        <v>1328.3234863</v>
      </c>
      <c r="K1930">
        <v>2400</v>
      </c>
      <c r="L1930">
        <v>0</v>
      </c>
      <c r="M1930">
        <v>0</v>
      </c>
      <c r="N1930">
        <v>2400</v>
      </c>
    </row>
    <row r="1931" spans="1:14" x14ac:dyDescent="0.25">
      <c r="A1931">
        <v>1096.1628370000001</v>
      </c>
      <c r="B1931" s="1">
        <f>DATE(2013,5,1) + TIME(3,54,29)</f>
        <v>41395.162835648145</v>
      </c>
      <c r="C1931">
        <v>80</v>
      </c>
      <c r="D1931">
        <v>66.720809936999999</v>
      </c>
      <c r="E1931">
        <v>50</v>
      </c>
      <c r="F1931">
        <v>49.969310759999999</v>
      </c>
      <c r="G1931">
        <v>1335.0028076000001</v>
      </c>
      <c r="H1931">
        <v>1333.6104736</v>
      </c>
      <c r="I1931">
        <v>1329.0948486</v>
      </c>
      <c r="J1931">
        <v>1328.3232422000001</v>
      </c>
      <c r="K1931">
        <v>2400</v>
      </c>
      <c r="L1931">
        <v>0</v>
      </c>
      <c r="M1931">
        <v>0</v>
      </c>
      <c r="N1931">
        <v>2400</v>
      </c>
    </row>
    <row r="1932" spans="1:14" x14ac:dyDescent="0.25">
      <c r="A1932">
        <v>1096.183888</v>
      </c>
      <c r="B1932" s="1">
        <f>DATE(2013,5,1) + TIME(4,24,47)</f>
        <v>41395.183877314812</v>
      </c>
      <c r="C1932">
        <v>80</v>
      </c>
      <c r="D1932">
        <v>67.330131531000006</v>
      </c>
      <c r="E1932">
        <v>50</v>
      </c>
      <c r="F1932">
        <v>49.967769623000002</v>
      </c>
      <c r="G1932">
        <v>1335.0373535000001</v>
      </c>
      <c r="H1932">
        <v>1333.6362305</v>
      </c>
      <c r="I1932">
        <v>1329.0947266000001</v>
      </c>
      <c r="J1932">
        <v>1328.3229980000001</v>
      </c>
      <c r="K1932">
        <v>2400</v>
      </c>
      <c r="L1932">
        <v>0</v>
      </c>
      <c r="M1932">
        <v>0</v>
      </c>
      <c r="N1932">
        <v>2400</v>
      </c>
    </row>
    <row r="1933" spans="1:14" x14ac:dyDescent="0.25">
      <c r="A1933">
        <v>1096.205432</v>
      </c>
      <c r="B1933" s="1">
        <f>DATE(2013,5,1) + TIME(4,55,49)</f>
        <v>41395.205428240741</v>
      </c>
      <c r="C1933">
        <v>80</v>
      </c>
      <c r="D1933">
        <v>67.932929993000002</v>
      </c>
      <c r="E1933">
        <v>50</v>
      </c>
      <c r="F1933">
        <v>49.966197968000003</v>
      </c>
      <c r="G1933">
        <v>1335.0736084</v>
      </c>
      <c r="H1933">
        <v>1333.6628418</v>
      </c>
      <c r="I1933">
        <v>1329.0946045000001</v>
      </c>
      <c r="J1933">
        <v>1328.3227539</v>
      </c>
      <c r="K1933">
        <v>2400</v>
      </c>
      <c r="L1933">
        <v>0</v>
      </c>
      <c r="M1933">
        <v>0</v>
      </c>
      <c r="N1933">
        <v>2400</v>
      </c>
    </row>
    <row r="1934" spans="1:14" x14ac:dyDescent="0.25">
      <c r="A1934">
        <v>1096.2274930000001</v>
      </c>
      <c r="B1934" s="1">
        <f>DATE(2013,5,1) + TIME(5,27,35)</f>
        <v>41395.227488425924</v>
      </c>
      <c r="C1934">
        <v>80</v>
      </c>
      <c r="D1934">
        <v>68.528602599999999</v>
      </c>
      <c r="E1934">
        <v>50</v>
      </c>
      <c r="F1934">
        <v>49.964599608999997</v>
      </c>
      <c r="G1934">
        <v>1335.1113281</v>
      </c>
      <c r="H1934">
        <v>1333.6905518000001</v>
      </c>
      <c r="I1934">
        <v>1329.0943603999999</v>
      </c>
      <c r="J1934">
        <v>1328.3225098</v>
      </c>
      <c r="K1934">
        <v>2400</v>
      </c>
      <c r="L1934">
        <v>0</v>
      </c>
      <c r="M1934">
        <v>0</v>
      </c>
      <c r="N1934">
        <v>2400</v>
      </c>
    </row>
    <row r="1935" spans="1:14" x14ac:dyDescent="0.25">
      <c r="A1935">
        <v>1096.2500970000001</v>
      </c>
      <c r="B1935" s="1">
        <f>DATE(2013,5,1) + TIME(6,0,8)</f>
        <v>41395.250092592592</v>
      </c>
      <c r="C1935">
        <v>80</v>
      </c>
      <c r="D1935">
        <v>69.116493224999999</v>
      </c>
      <c r="E1935">
        <v>50</v>
      </c>
      <c r="F1935">
        <v>49.962974547999998</v>
      </c>
      <c r="G1935">
        <v>1335.1506348</v>
      </c>
      <c r="H1935">
        <v>1333.7191161999999</v>
      </c>
      <c r="I1935">
        <v>1329.0942382999999</v>
      </c>
      <c r="J1935">
        <v>1328.3221435999999</v>
      </c>
      <c r="K1935">
        <v>2400</v>
      </c>
      <c r="L1935">
        <v>0</v>
      </c>
      <c r="M1935">
        <v>0</v>
      </c>
      <c r="N1935">
        <v>2400</v>
      </c>
    </row>
    <row r="1936" spans="1:14" x14ac:dyDescent="0.25">
      <c r="A1936">
        <v>1096.2732719999999</v>
      </c>
      <c r="B1936" s="1">
        <f>DATE(2013,5,1) + TIME(6,33,30)</f>
        <v>41395.273263888892</v>
      </c>
      <c r="C1936">
        <v>80</v>
      </c>
      <c r="D1936">
        <v>69.695930481000005</v>
      </c>
      <c r="E1936">
        <v>50</v>
      </c>
      <c r="F1936">
        <v>49.961315155000001</v>
      </c>
      <c r="G1936">
        <v>1335.1912841999999</v>
      </c>
      <c r="H1936">
        <v>1333.7486572</v>
      </c>
      <c r="I1936">
        <v>1329.0939940999999</v>
      </c>
      <c r="J1936">
        <v>1328.3218993999999</v>
      </c>
      <c r="K1936">
        <v>2400</v>
      </c>
      <c r="L1936">
        <v>0</v>
      </c>
      <c r="M1936">
        <v>0</v>
      </c>
      <c r="N1936">
        <v>2400</v>
      </c>
    </row>
    <row r="1937" spans="1:14" x14ac:dyDescent="0.25">
      <c r="A1937">
        <v>1096.297047</v>
      </c>
      <c r="B1937" s="1">
        <f>DATE(2013,5,1) + TIME(7,7,44)</f>
        <v>41395.297037037039</v>
      </c>
      <c r="C1937">
        <v>80</v>
      </c>
      <c r="D1937">
        <v>70.265991210999999</v>
      </c>
      <c r="E1937">
        <v>50</v>
      </c>
      <c r="F1937">
        <v>49.959625244000001</v>
      </c>
      <c r="G1937">
        <v>1335.2332764</v>
      </c>
      <c r="H1937">
        <v>1333.7789307</v>
      </c>
      <c r="I1937">
        <v>1329.0938721</v>
      </c>
      <c r="J1937">
        <v>1328.3215332</v>
      </c>
      <c r="K1937">
        <v>2400</v>
      </c>
      <c r="L1937">
        <v>0</v>
      </c>
      <c r="M1937">
        <v>0</v>
      </c>
      <c r="N1937">
        <v>2400</v>
      </c>
    </row>
    <row r="1938" spans="1:14" x14ac:dyDescent="0.25">
      <c r="A1938">
        <v>1096.3214539999999</v>
      </c>
      <c r="B1938" s="1">
        <f>DATE(2013,5,1) + TIME(7,42,53)</f>
        <v>41395.321446759262</v>
      </c>
      <c r="C1938">
        <v>80</v>
      </c>
      <c r="D1938">
        <v>70.825881957999997</v>
      </c>
      <c r="E1938">
        <v>50</v>
      </c>
      <c r="F1938">
        <v>49.957897185999997</v>
      </c>
      <c r="G1938">
        <v>1335.2766113</v>
      </c>
      <c r="H1938">
        <v>1333.8100586</v>
      </c>
      <c r="I1938">
        <v>1329.0936279</v>
      </c>
      <c r="J1938">
        <v>1328.3211670000001</v>
      </c>
      <c r="K1938">
        <v>2400</v>
      </c>
      <c r="L1938">
        <v>0</v>
      </c>
      <c r="M1938">
        <v>0</v>
      </c>
      <c r="N1938">
        <v>2400</v>
      </c>
    </row>
    <row r="1939" spans="1:14" x14ac:dyDescent="0.25">
      <c r="A1939">
        <v>1096.3465309999999</v>
      </c>
      <c r="B1939" s="1">
        <f>DATE(2013,5,1) + TIME(8,19,0)</f>
        <v>41395.34652777778</v>
      </c>
      <c r="C1939">
        <v>80</v>
      </c>
      <c r="D1939">
        <v>71.375038146999998</v>
      </c>
      <c r="E1939">
        <v>50</v>
      </c>
      <c r="F1939">
        <v>49.956138611</v>
      </c>
      <c r="G1939">
        <v>1335.3209228999999</v>
      </c>
      <c r="H1939">
        <v>1333.8417969</v>
      </c>
      <c r="I1939">
        <v>1329.0933838000001</v>
      </c>
      <c r="J1939">
        <v>1328.3208007999999</v>
      </c>
      <c r="K1939">
        <v>2400</v>
      </c>
      <c r="L1939">
        <v>0</v>
      </c>
      <c r="M1939">
        <v>0</v>
      </c>
      <c r="N1939">
        <v>2400</v>
      </c>
    </row>
    <row r="1940" spans="1:14" x14ac:dyDescent="0.25">
      <c r="A1940">
        <v>1096.3723170000001</v>
      </c>
      <c r="B1940" s="1">
        <f>DATE(2013,5,1) + TIME(8,56,8)</f>
        <v>41395.372314814813</v>
      </c>
      <c r="C1940">
        <v>80</v>
      </c>
      <c r="D1940">
        <v>71.912696838000002</v>
      </c>
      <c r="E1940">
        <v>50</v>
      </c>
      <c r="F1940">
        <v>49.954338073999999</v>
      </c>
      <c r="G1940">
        <v>1335.3663329999999</v>
      </c>
      <c r="H1940">
        <v>1333.8742675999999</v>
      </c>
      <c r="I1940">
        <v>1329.0932617000001</v>
      </c>
      <c r="J1940">
        <v>1328.3204346</v>
      </c>
      <c r="K1940">
        <v>2400</v>
      </c>
      <c r="L1940">
        <v>0</v>
      </c>
      <c r="M1940">
        <v>0</v>
      </c>
      <c r="N1940">
        <v>2400</v>
      </c>
    </row>
    <row r="1941" spans="1:14" x14ac:dyDescent="0.25">
      <c r="A1941">
        <v>1096.3988649999999</v>
      </c>
      <c r="B1941" s="1">
        <f>DATE(2013,5,1) + TIME(9,34,21)</f>
        <v>41395.398854166669</v>
      </c>
      <c r="C1941">
        <v>80</v>
      </c>
      <c r="D1941">
        <v>72.438224792</v>
      </c>
      <c r="E1941">
        <v>50</v>
      </c>
      <c r="F1941">
        <v>49.95249939</v>
      </c>
      <c r="G1941">
        <v>1335.4128418</v>
      </c>
      <c r="H1941">
        <v>1333.9073486</v>
      </c>
      <c r="I1941">
        <v>1329.0930175999999</v>
      </c>
      <c r="J1941">
        <v>1328.3200684000001</v>
      </c>
      <c r="K1941">
        <v>2400</v>
      </c>
      <c r="L1941">
        <v>0</v>
      </c>
      <c r="M1941">
        <v>0</v>
      </c>
      <c r="N1941">
        <v>2400</v>
      </c>
    </row>
    <row r="1942" spans="1:14" x14ac:dyDescent="0.25">
      <c r="A1942">
        <v>1096.4262120000001</v>
      </c>
      <c r="B1942" s="1">
        <f>DATE(2013,5,1) + TIME(10,13,44)</f>
        <v>41395.426203703704</v>
      </c>
      <c r="C1942">
        <v>80</v>
      </c>
      <c r="D1942">
        <v>72.950584411999998</v>
      </c>
      <c r="E1942">
        <v>50</v>
      </c>
      <c r="F1942">
        <v>49.950614928999997</v>
      </c>
      <c r="G1942">
        <v>1335.4600829999999</v>
      </c>
      <c r="H1942">
        <v>1333.940918</v>
      </c>
      <c r="I1942">
        <v>1329.0927733999999</v>
      </c>
      <c r="J1942">
        <v>1328.3195800999999</v>
      </c>
      <c r="K1942">
        <v>2400</v>
      </c>
      <c r="L1942">
        <v>0</v>
      </c>
      <c r="M1942">
        <v>0</v>
      </c>
      <c r="N1942">
        <v>2400</v>
      </c>
    </row>
    <row r="1943" spans="1:14" x14ac:dyDescent="0.25">
      <c r="A1943">
        <v>1096.4544109999999</v>
      </c>
      <c r="B1943" s="1">
        <f>DATE(2013,5,1) + TIME(10,54,21)</f>
        <v>41395.454409722224</v>
      </c>
      <c r="C1943">
        <v>80</v>
      </c>
      <c r="D1943">
        <v>73.448959350999999</v>
      </c>
      <c r="E1943">
        <v>50</v>
      </c>
      <c r="F1943">
        <v>49.948684692</v>
      </c>
      <c r="G1943">
        <v>1335.5081786999999</v>
      </c>
      <c r="H1943">
        <v>1333.9750977000001</v>
      </c>
      <c r="I1943">
        <v>1329.0924072</v>
      </c>
      <c r="J1943">
        <v>1328.3190918</v>
      </c>
      <c r="K1943">
        <v>2400</v>
      </c>
      <c r="L1943">
        <v>0</v>
      </c>
      <c r="M1943">
        <v>0</v>
      </c>
      <c r="N1943">
        <v>2400</v>
      </c>
    </row>
    <row r="1944" spans="1:14" x14ac:dyDescent="0.25">
      <c r="A1944">
        <v>1096.4835189999999</v>
      </c>
      <c r="B1944" s="1">
        <f>DATE(2013,5,1) + TIME(11,36,15)</f>
        <v>41395.483506944445</v>
      </c>
      <c r="C1944">
        <v>80</v>
      </c>
      <c r="D1944">
        <v>73.932533264</v>
      </c>
      <c r="E1944">
        <v>50</v>
      </c>
      <c r="F1944">
        <v>49.946708678999997</v>
      </c>
      <c r="G1944">
        <v>1335.5570068</v>
      </c>
      <c r="H1944">
        <v>1334.0095214999999</v>
      </c>
      <c r="I1944">
        <v>1329.0921631000001</v>
      </c>
      <c r="J1944">
        <v>1328.3187256000001</v>
      </c>
      <c r="K1944">
        <v>2400</v>
      </c>
      <c r="L1944">
        <v>0</v>
      </c>
      <c r="M1944">
        <v>0</v>
      </c>
      <c r="N1944">
        <v>2400</v>
      </c>
    </row>
    <row r="1945" spans="1:14" x14ac:dyDescent="0.25">
      <c r="A1945">
        <v>1096.5136</v>
      </c>
      <c r="B1945" s="1">
        <f>DATE(2013,5,1) + TIME(12,19,35)</f>
        <v>41395.513599537036</v>
      </c>
      <c r="C1945">
        <v>80</v>
      </c>
      <c r="D1945">
        <v>74.400520325000002</v>
      </c>
      <c r="E1945">
        <v>50</v>
      </c>
      <c r="F1945">
        <v>49.944679260000001</v>
      </c>
      <c r="G1945">
        <v>1335.6063231999999</v>
      </c>
      <c r="H1945">
        <v>1334.0444336</v>
      </c>
      <c r="I1945">
        <v>1329.0919189000001</v>
      </c>
      <c r="J1945">
        <v>1328.3181152</v>
      </c>
      <c r="K1945">
        <v>2400</v>
      </c>
      <c r="L1945">
        <v>0</v>
      </c>
      <c r="M1945">
        <v>0</v>
      </c>
      <c r="N1945">
        <v>2400</v>
      </c>
    </row>
    <row r="1946" spans="1:14" x14ac:dyDescent="0.25">
      <c r="A1946">
        <v>1096.544727</v>
      </c>
      <c r="B1946" s="1">
        <f>DATE(2013,5,1) + TIME(13,4,24)</f>
        <v>41395.544722222221</v>
      </c>
      <c r="C1946">
        <v>80</v>
      </c>
      <c r="D1946">
        <v>74.852149963000002</v>
      </c>
      <c r="E1946">
        <v>50</v>
      </c>
      <c r="F1946">
        <v>49.942596436000002</v>
      </c>
      <c r="G1946">
        <v>1335.65625</v>
      </c>
      <c r="H1946">
        <v>1334.0795897999999</v>
      </c>
      <c r="I1946">
        <v>1329.0915527</v>
      </c>
      <c r="J1946">
        <v>1328.3176269999999</v>
      </c>
      <c r="K1946">
        <v>2400</v>
      </c>
      <c r="L1946">
        <v>0</v>
      </c>
      <c r="M1946">
        <v>0</v>
      </c>
      <c r="N1946">
        <v>2400</v>
      </c>
    </row>
    <row r="1947" spans="1:14" x14ac:dyDescent="0.25">
      <c r="A1947">
        <v>1096.57698</v>
      </c>
      <c r="B1947" s="1">
        <f>DATE(2013,5,1) + TIME(13,50,51)</f>
        <v>41395.576979166668</v>
      </c>
      <c r="C1947">
        <v>80</v>
      </c>
      <c r="D1947">
        <v>75.286453246999997</v>
      </c>
      <c r="E1947">
        <v>50</v>
      </c>
      <c r="F1947">
        <v>49.940452575999998</v>
      </c>
      <c r="G1947">
        <v>1335.706543</v>
      </c>
      <c r="H1947">
        <v>1334.1149902</v>
      </c>
      <c r="I1947">
        <v>1329.0911865</v>
      </c>
      <c r="J1947">
        <v>1328.3171387</v>
      </c>
      <c r="K1947">
        <v>2400</v>
      </c>
      <c r="L1947">
        <v>0</v>
      </c>
      <c r="M1947">
        <v>0</v>
      </c>
      <c r="N1947">
        <v>2400</v>
      </c>
    </row>
    <row r="1948" spans="1:14" x14ac:dyDescent="0.25">
      <c r="A1948">
        <v>1096.610449</v>
      </c>
      <c r="B1948" s="1">
        <f>DATE(2013,5,1) + TIME(14,39,2)</f>
        <v>41395.610439814816</v>
      </c>
      <c r="C1948">
        <v>80</v>
      </c>
      <c r="D1948">
        <v>75.702850342000005</v>
      </c>
      <c r="E1948">
        <v>50</v>
      </c>
      <c r="F1948">
        <v>49.938243866000001</v>
      </c>
      <c r="G1948">
        <v>1335.7572021000001</v>
      </c>
      <c r="H1948">
        <v>1334.1505127</v>
      </c>
      <c r="I1948">
        <v>1329.0908202999999</v>
      </c>
      <c r="J1948">
        <v>1328.3165283000001</v>
      </c>
      <c r="K1948">
        <v>2400</v>
      </c>
      <c r="L1948">
        <v>0</v>
      </c>
      <c r="M1948">
        <v>0</v>
      </c>
      <c r="N1948">
        <v>2400</v>
      </c>
    </row>
    <row r="1949" spans="1:14" x14ac:dyDescent="0.25">
      <c r="A1949">
        <v>1096.6452380000001</v>
      </c>
      <c r="B1949" s="1">
        <f>DATE(2013,5,1) + TIME(15,29,8)</f>
        <v>41395.645231481481</v>
      </c>
      <c r="C1949">
        <v>80</v>
      </c>
      <c r="D1949">
        <v>76.100799561000002</v>
      </c>
      <c r="E1949">
        <v>50</v>
      </c>
      <c r="F1949">
        <v>49.935966491999999</v>
      </c>
      <c r="G1949">
        <v>1335.8081055</v>
      </c>
      <c r="H1949">
        <v>1334.1861572</v>
      </c>
      <c r="I1949">
        <v>1329.0904541</v>
      </c>
      <c r="J1949">
        <v>1328.315918</v>
      </c>
      <c r="K1949">
        <v>2400</v>
      </c>
      <c r="L1949">
        <v>0</v>
      </c>
      <c r="M1949">
        <v>0</v>
      </c>
      <c r="N1949">
        <v>2400</v>
      </c>
    </row>
    <row r="1950" spans="1:14" x14ac:dyDescent="0.25">
      <c r="A1950">
        <v>1096.681458</v>
      </c>
      <c r="B1950" s="1">
        <f>DATE(2013,5,1) + TIME(16,21,17)</f>
        <v>41395.681446759256</v>
      </c>
      <c r="C1950">
        <v>80</v>
      </c>
      <c r="D1950">
        <v>76.479675293</v>
      </c>
      <c r="E1950">
        <v>50</v>
      </c>
      <c r="F1950">
        <v>49.933612822999997</v>
      </c>
      <c r="G1950">
        <v>1335.8590088000001</v>
      </c>
      <c r="H1950">
        <v>1334.2218018000001</v>
      </c>
      <c r="I1950">
        <v>1329.0900879000001</v>
      </c>
      <c r="J1950">
        <v>1328.3153076000001</v>
      </c>
      <c r="K1950">
        <v>2400</v>
      </c>
      <c r="L1950">
        <v>0</v>
      </c>
      <c r="M1950">
        <v>0</v>
      </c>
      <c r="N1950">
        <v>2400</v>
      </c>
    </row>
    <row r="1951" spans="1:14" x14ac:dyDescent="0.25">
      <c r="A1951">
        <v>1096.719077</v>
      </c>
      <c r="B1951" s="1">
        <f>DATE(2013,5,1) + TIME(17,15,28)</f>
        <v>41395.719074074077</v>
      </c>
      <c r="C1951">
        <v>80</v>
      </c>
      <c r="D1951">
        <v>76.837577820000007</v>
      </c>
      <c r="E1951">
        <v>50</v>
      </c>
      <c r="F1951">
        <v>49.931186676000003</v>
      </c>
      <c r="G1951">
        <v>1335.9100341999999</v>
      </c>
      <c r="H1951">
        <v>1334.2574463000001</v>
      </c>
      <c r="I1951">
        <v>1329.0897216999999</v>
      </c>
      <c r="J1951">
        <v>1328.3146973</v>
      </c>
      <c r="K1951">
        <v>2400</v>
      </c>
      <c r="L1951">
        <v>0</v>
      </c>
      <c r="M1951">
        <v>0</v>
      </c>
      <c r="N1951">
        <v>2400</v>
      </c>
    </row>
    <row r="1952" spans="1:14" x14ac:dyDescent="0.25">
      <c r="A1952">
        <v>1096.7581949999999</v>
      </c>
      <c r="B1952" s="1">
        <f>DATE(2013,5,1) + TIME(18,11,48)</f>
        <v>41395.758194444446</v>
      </c>
      <c r="C1952">
        <v>80</v>
      </c>
      <c r="D1952">
        <v>77.174079895000006</v>
      </c>
      <c r="E1952">
        <v>50</v>
      </c>
      <c r="F1952">
        <v>49.928688049000002</v>
      </c>
      <c r="G1952">
        <v>1335.9608154</v>
      </c>
      <c r="H1952">
        <v>1334.2928466999999</v>
      </c>
      <c r="I1952">
        <v>1329.0892334</v>
      </c>
      <c r="J1952">
        <v>1328.3139647999999</v>
      </c>
      <c r="K1952">
        <v>2400</v>
      </c>
      <c r="L1952">
        <v>0</v>
      </c>
      <c r="M1952">
        <v>0</v>
      </c>
      <c r="N1952">
        <v>2400</v>
      </c>
    </row>
    <row r="1953" spans="1:14" x14ac:dyDescent="0.25">
      <c r="A1953">
        <v>1096.7989219999999</v>
      </c>
      <c r="B1953" s="1">
        <f>DATE(2013,5,1) + TIME(19,10,26)</f>
        <v>41395.79891203704</v>
      </c>
      <c r="C1953">
        <v>80</v>
      </c>
      <c r="D1953">
        <v>77.488899231000005</v>
      </c>
      <c r="E1953">
        <v>50</v>
      </c>
      <c r="F1953">
        <v>49.926105499000002</v>
      </c>
      <c r="G1953">
        <v>1336.0112305</v>
      </c>
      <c r="H1953">
        <v>1334.3278809000001</v>
      </c>
      <c r="I1953">
        <v>1329.0887451000001</v>
      </c>
      <c r="J1953">
        <v>1328.3132324000001</v>
      </c>
      <c r="K1953">
        <v>2400</v>
      </c>
      <c r="L1953">
        <v>0</v>
      </c>
      <c r="M1953">
        <v>0</v>
      </c>
      <c r="N1953">
        <v>2400</v>
      </c>
    </row>
    <row r="1954" spans="1:14" x14ac:dyDescent="0.25">
      <c r="A1954">
        <v>1096.841379</v>
      </c>
      <c r="B1954" s="1">
        <f>DATE(2013,5,1) + TIME(20,11,35)</f>
        <v>41395.841377314813</v>
      </c>
      <c r="C1954">
        <v>80</v>
      </c>
      <c r="D1954">
        <v>77.78187561</v>
      </c>
      <c r="E1954">
        <v>50</v>
      </c>
      <c r="F1954">
        <v>49.923435210999997</v>
      </c>
      <c r="G1954">
        <v>1336.0610352000001</v>
      </c>
      <c r="H1954">
        <v>1334.3624268000001</v>
      </c>
      <c r="I1954">
        <v>1329.0882568</v>
      </c>
      <c r="J1954">
        <v>1328.3123779</v>
      </c>
      <c r="K1954">
        <v>2400</v>
      </c>
      <c r="L1954">
        <v>0</v>
      </c>
      <c r="M1954">
        <v>0</v>
      </c>
      <c r="N1954">
        <v>2400</v>
      </c>
    </row>
    <row r="1955" spans="1:14" x14ac:dyDescent="0.25">
      <c r="A1955">
        <v>1096.8857</v>
      </c>
      <c r="B1955" s="1">
        <f>DATE(2013,5,1) + TIME(21,15,24)</f>
        <v>41395.885694444441</v>
      </c>
      <c r="C1955">
        <v>80</v>
      </c>
      <c r="D1955">
        <v>78.052986145000006</v>
      </c>
      <c r="E1955">
        <v>50</v>
      </c>
      <c r="F1955">
        <v>49.920673370000003</v>
      </c>
      <c r="G1955">
        <v>1336.1102295000001</v>
      </c>
      <c r="H1955">
        <v>1334.3966064000001</v>
      </c>
      <c r="I1955">
        <v>1329.0877685999999</v>
      </c>
      <c r="J1955">
        <v>1328.3116454999999</v>
      </c>
      <c r="K1955">
        <v>2400</v>
      </c>
      <c r="L1955">
        <v>0</v>
      </c>
      <c r="M1955">
        <v>0</v>
      </c>
      <c r="N1955">
        <v>2400</v>
      </c>
    </row>
    <row r="1956" spans="1:14" x14ac:dyDescent="0.25">
      <c r="A1956">
        <v>1096.9320359999999</v>
      </c>
      <c r="B1956" s="1">
        <f>DATE(2013,5,1) + TIME(22,22,7)</f>
        <v>41395.932025462964</v>
      </c>
      <c r="C1956">
        <v>80</v>
      </c>
      <c r="D1956">
        <v>78.302360535000005</v>
      </c>
      <c r="E1956">
        <v>50</v>
      </c>
      <c r="F1956">
        <v>49.917808532999999</v>
      </c>
      <c r="G1956">
        <v>1336.1585693</v>
      </c>
      <c r="H1956">
        <v>1334.4300536999999</v>
      </c>
      <c r="I1956">
        <v>1329.0871582</v>
      </c>
      <c r="J1956">
        <v>1328.3107910000001</v>
      </c>
      <c r="K1956">
        <v>2400</v>
      </c>
      <c r="L1956">
        <v>0</v>
      </c>
      <c r="M1956">
        <v>0</v>
      </c>
      <c r="N1956">
        <v>2400</v>
      </c>
    </row>
    <row r="1957" spans="1:14" x14ac:dyDescent="0.25">
      <c r="A1957">
        <v>1096.9805570000001</v>
      </c>
      <c r="B1957" s="1">
        <f>DATE(2013,5,1) + TIME(23,32,0)</f>
        <v>41395.980555555558</v>
      </c>
      <c r="C1957">
        <v>80</v>
      </c>
      <c r="D1957">
        <v>78.530273437999995</v>
      </c>
      <c r="E1957">
        <v>50</v>
      </c>
      <c r="F1957">
        <v>49.914836884000003</v>
      </c>
      <c r="G1957">
        <v>1336.2058105000001</v>
      </c>
      <c r="H1957">
        <v>1334.4628906</v>
      </c>
      <c r="I1957">
        <v>1329.0865478999999</v>
      </c>
      <c r="J1957">
        <v>1328.3098144999999</v>
      </c>
      <c r="K1957">
        <v>2400</v>
      </c>
      <c r="L1957">
        <v>0</v>
      </c>
      <c r="M1957">
        <v>0</v>
      </c>
      <c r="N1957">
        <v>2400</v>
      </c>
    </row>
    <row r="1958" spans="1:14" x14ac:dyDescent="0.25">
      <c r="A1958">
        <v>1097.0314539999999</v>
      </c>
      <c r="B1958" s="1">
        <f>DATE(2013,5,2) + TIME(0,45,17)</f>
        <v>41396.031446759262</v>
      </c>
      <c r="C1958">
        <v>80</v>
      </c>
      <c r="D1958">
        <v>78.737167357999994</v>
      </c>
      <c r="E1958">
        <v>50</v>
      </c>
      <c r="F1958">
        <v>49.911750793000003</v>
      </c>
      <c r="G1958">
        <v>1336.2520752</v>
      </c>
      <c r="H1958">
        <v>1334.4949951000001</v>
      </c>
      <c r="I1958">
        <v>1329.0859375</v>
      </c>
      <c r="J1958">
        <v>1328.3088379000001</v>
      </c>
      <c r="K1958">
        <v>2400</v>
      </c>
      <c r="L1958">
        <v>0</v>
      </c>
      <c r="M1958">
        <v>0</v>
      </c>
      <c r="N1958">
        <v>2400</v>
      </c>
    </row>
    <row r="1959" spans="1:14" x14ac:dyDescent="0.25">
      <c r="A1959">
        <v>1097.0849459999999</v>
      </c>
      <c r="B1959" s="1">
        <f>DATE(2013,5,2) + TIME(2,2,19)</f>
        <v>41396.08494212963</v>
      </c>
      <c r="C1959">
        <v>80</v>
      </c>
      <c r="D1959">
        <v>78.923622131000002</v>
      </c>
      <c r="E1959">
        <v>50</v>
      </c>
      <c r="F1959">
        <v>49.908535004000001</v>
      </c>
      <c r="G1959">
        <v>1336.2971190999999</v>
      </c>
      <c r="H1959">
        <v>1334.5261230000001</v>
      </c>
      <c r="I1959">
        <v>1329.0853271000001</v>
      </c>
      <c r="J1959">
        <v>1328.3078613</v>
      </c>
      <c r="K1959">
        <v>2400</v>
      </c>
      <c r="L1959">
        <v>0</v>
      </c>
      <c r="M1959">
        <v>0</v>
      </c>
      <c r="N1959">
        <v>2400</v>
      </c>
    </row>
    <row r="1960" spans="1:14" x14ac:dyDescent="0.25">
      <c r="A1960">
        <v>1097.14132</v>
      </c>
      <c r="B1960" s="1">
        <f>DATE(2013,5,2) + TIME(3,23,30)</f>
        <v>41396.141319444447</v>
      </c>
      <c r="C1960">
        <v>80</v>
      </c>
      <c r="D1960">
        <v>79.090377808</v>
      </c>
      <c r="E1960">
        <v>50</v>
      </c>
      <c r="F1960">
        <v>49.905178069999998</v>
      </c>
      <c r="G1960">
        <v>1336.3376464999999</v>
      </c>
      <c r="H1960">
        <v>1334.5543213000001</v>
      </c>
      <c r="I1960">
        <v>1329.0845947</v>
      </c>
      <c r="J1960">
        <v>1328.3067627</v>
      </c>
      <c r="K1960">
        <v>2400</v>
      </c>
      <c r="L1960">
        <v>0</v>
      </c>
      <c r="M1960">
        <v>0</v>
      </c>
      <c r="N1960">
        <v>2400</v>
      </c>
    </row>
    <row r="1961" spans="1:14" x14ac:dyDescent="0.25">
      <c r="A1961">
        <v>1097.200924</v>
      </c>
      <c r="B1961" s="1">
        <f>DATE(2013,5,2) + TIME(4,49,19)</f>
        <v>41396.200914351852</v>
      </c>
      <c r="C1961">
        <v>80</v>
      </c>
      <c r="D1961">
        <v>79.238388061999999</v>
      </c>
      <c r="E1961">
        <v>50</v>
      </c>
      <c r="F1961">
        <v>49.901668549</v>
      </c>
      <c r="G1961">
        <v>1336.3763428</v>
      </c>
      <c r="H1961">
        <v>1334.5812988</v>
      </c>
      <c r="I1961">
        <v>1329.0837402</v>
      </c>
      <c r="J1961">
        <v>1328.3056641000001</v>
      </c>
      <c r="K1961">
        <v>2400</v>
      </c>
      <c r="L1961">
        <v>0</v>
      </c>
      <c r="M1961">
        <v>0</v>
      </c>
      <c r="N1961">
        <v>2400</v>
      </c>
    </row>
    <row r="1962" spans="1:14" x14ac:dyDescent="0.25">
      <c r="A1962">
        <v>1097.264099</v>
      </c>
      <c r="B1962" s="1">
        <f>DATE(2013,5,2) + TIME(6,20,18)</f>
        <v>41396.264097222222</v>
      </c>
      <c r="C1962">
        <v>80</v>
      </c>
      <c r="D1962">
        <v>79.368553161999998</v>
      </c>
      <c r="E1962">
        <v>50</v>
      </c>
      <c r="F1962">
        <v>49.897983551000003</v>
      </c>
      <c r="G1962">
        <v>1336.4136963000001</v>
      </c>
      <c r="H1962">
        <v>1334.6072998</v>
      </c>
      <c r="I1962">
        <v>1329.0830077999999</v>
      </c>
      <c r="J1962">
        <v>1328.3044434000001</v>
      </c>
      <c r="K1962">
        <v>2400</v>
      </c>
      <c r="L1962">
        <v>0</v>
      </c>
      <c r="M1962">
        <v>0</v>
      </c>
      <c r="N1962">
        <v>2400</v>
      </c>
    </row>
    <row r="1963" spans="1:14" x14ac:dyDescent="0.25">
      <c r="A1963">
        <v>1097.327992</v>
      </c>
      <c r="B1963" s="1">
        <f>DATE(2013,5,2) + TIME(7,52,18)</f>
        <v>41396.327986111108</v>
      </c>
      <c r="C1963">
        <v>80</v>
      </c>
      <c r="D1963">
        <v>79.477378845000004</v>
      </c>
      <c r="E1963">
        <v>50</v>
      </c>
      <c r="F1963">
        <v>49.894287108999997</v>
      </c>
      <c r="G1963">
        <v>1336.4471435999999</v>
      </c>
      <c r="H1963">
        <v>1334.6306152</v>
      </c>
      <c r="I1963">
        <v>1329.0820312000001</v>
      </c>
      <c r="J1963">
        <v>1328.3031006000001</v>
      </c>
      <c r="K1963">
        <v>2400</v>
      </c>
      <c r="L1963">
        <v>0</v>
      </c>
      <c r="M1963">
        <v>0</v>
      </c>
      <c r="N1963">
        <v>2400</v>
      </c>
    </row>
    <row r="1964" spans="1:14" x14ac:dyDescent="0.25">
      <c r="A1964">
        <v>1097.3930849999999</v>
      </c>
      <c r="B1964" s="1">
        <f>DATE(2013,5,2) + TIME(9,26,2)</f>
        <v>41396.393078703702</v>
      </c>
      <c r="C1964">
        <v>80</v>
      </c>
      <c r="D1964">
        <v>79.568542480000005</v>
      </c>
      <c r="E1964">
        <v>50</v>
      </c>
      <c r="F1964">
        <v>49.890552520999996</v>
      </c>
      <c r="G1964">
        <v>1336.4755858999999</v>
      </c>
      <c r="H1964">
        <v>1334.6506348</v>
      </c>
      <c r="I1964">
        <v>1329.0811768000001</v>
      </c>
      <c r="J1964">
        <v>1328.3017577999999</v>
      </c>
      <c r="K1964">
        <v>2400</v>
      </c>
      <c r="L1964">
        <v>0</v>
      </c>
      <c r="M1964">
        <v>0</v>
      </c>
      <c r="N1964">
        <v>2400</v>
      </c>
    </row>
    <row r="1965" spans="1:14" x14ac:dyDescent="0.25">
      <c r="A1965">
        <v>1097.459834</v>
      </c>
      <c r="B1965" s="1">
        <f>DATE(2013,5,2) + TIME(11,2,9)</f>
        <v>41396.459826388891</v>
      </c>
      <c r="C1965">
        <v>80</v>
      </c>
      <c r="D1965">
        <v>79.644950867000006</v>
      </c>
      <c r="E1965">
        <v>50</v>
      </c>
      <c r="F1965">
        <v>49.886753081999998</v>
      </c>
      <c r="G1965">
        <v>1336.5014647999999</v>
      </c>
      <c r="H1965">
        <v>1334.6690673999999</v>
      </c>
      <c r="I1965">
        <v>1329.0802002</v>
      </c>
      <c r="J1965">
        <v>1328.3004149999999</v>
      </c>
      <c r="K1965">
        <v>2400</v>
      </c>
      <c r="L1965">
        <v>0</v>
      </c>
      <c r="M1965">
        <v>0</v>
      </c>
      <c r="N1965">
        <v>2400</v>
      </c>
    </row>
    <row r="1966" spans="1:14" x14ac:dyDescent="0.25">
      <c r="A1966">
        <v>1097.528395</v>
      </c>
      <c r="B1966" s="1">
        <f>DATE(2013,5,2) + TIME(12,40,53)</f>
        <v>41396.528391203705</v>
      </c>
      <c r="C1966">
        <v>80</v>
      </c>
      <c r="D1966">
        <v>79.708724975999999</v>
      </c>
      <c r="E1966">
        <v>50</v>
      </c>
      <c r="F1966">
        <v>49.882881165000001</v>
      </c>
      <c r="G1966">
        <v>1336.5251464999999</v>
      </c>
      <c r="H1966">
        <v>1334.6859131000001</v>
      </c>
      <c r="I1966">
        <v>1329.0792236</v>
      </c>
      <c r="J1966">
        <v>1328.2989502</v>
      </c>
      <c r="K1966">
        <v>2400</v>
      </c>
      <c r="L1966">
        <v>0</v>
      </c>
      <c r="M1966">
        <v>0</v>
      </c>
      <c r="N1966">
        <v>2400</v>
      </c>
    </row>
    <row r="1967" spans="1:14" x14ac:dyDescent="0.25">
      <c r="A1967">
        <v>1097.5973779999999</v>
      </c>
      <c r="B1967" s="1">
        <f>DATE(2013,5,2) + TIME(14,20,13)</f>
        <v>41396.597372685188</v>
      </c>
      <c r="C1967">
        <v>80</v>
      </c>
      <c r="D1967">
        <v>79.760749817000004</v>
      </c>
      <c r="E1967">
        <v>50</v>
      </c>
      <c r="F1967">
        <v>49.879016876000001</v>
      </c>
      <c r="G1967">
        <v>1336.5466309000001</v>
      </c>
      <c r="H1967">
        <v>1334.7015381000001</v>
      </c>
      <c r="I1967">
        <v>1329.0782471</v>
      </c>
      <c r="J1967">
        <v>1328.2974853999999</v>
      </c>
      <c r="K1967">
        <v>2400</v>
      </c>
      <c r="L1967">
        <v>0</v>
      </c>
      <c r="M1967">
        <v>0</v>
      </c>
      <c r="N1967">
        <v>2400</v>
      </c>
    </row>
    <row r="1968" spans="1:14" x14ac:dyDescent="0.25">
      <c r="A1968">
        <v>1097.6670360000001</v>
      </c>
      <c r="B1968" s="1">
        <f>DATE(2013,5,2) + TIME(16,0,31)</f>
        <v>41396.667025462964</v>
      </c>
      <c r="C1968">
        <v>80</v>
      </c>
      <c r="D1968">
        <v>79.803199767999999</v>
      </c>
      <c r="E1968">
        <v>50</v>
      </c>
      <c r="F1968">
        <v>49.875137328999998</v>
      </c>
      <c r="G1968">
        <v>1336.5617675999999</v>
      </c>
      <c r="H1968">
        <v>1334.7127685999999</v>
      </c>
      <c r="I1968">
        <v>1329.0772704999999</v>
      </c>
      <c r="J1968">
        <v>1328.2960204999999</v>
      </c>
      <c r="K1968">
        <v>2400</v>
      </c>
      <c r="L1968">
        <v>0</v>
      </c>
      <c r="M1968">
        <v>0</v>
      </c>
      <c r="N1968">
        <v>2400</v>
      </c>
    </row>
    <row r="1969" spans="1:14" x14ac:dyDescent="0.25">
      <c r="A1969">
        <v>1097.7376260000001</v>
      </c>
      <c r="B1969" s="1">
        <f>DATE(2013,5,2) + TIME(17,42,10)</f>
        <v>41396.737615740742</v>
      </c>
      <c r="C1969">
        <v>80</v>
      </c>
      <c r="D1969">
        <v>79.837867736999996</v>
      </c>
      <c r="E1969">
        <v>50</v>
      </c>
      <c r="F1969">
        <v>49.871234893999997</v>
      </c>
      <c r="G1969">
        <v>1336.5750731999999</v>
      </c>
      <c r="H1969">
        <v>1334.7229004000001</v>
      </c>
      <c r="I1969">
        <v>1329.0761719</v>
      </c>
      <c r="J1969">
        <v>1328.2945557</v>
      </c>
      <c r="K1969">
        <v>2400</v>
      </c>
      <c r="L1969">
        <v>0</v>
      </c>
      <c r="M1969">
        <v>0</v>
      </c>
      <c r="N1969">
        <v>2400</v>
      </c>
    </row>
    <row r="1970" spans="1:14" x14ac:dyDescent="0.25">
      <c r="A1970">
        <v>1097.809311</v>
      </c>
      <c r="B1970" s="1">
        <f>DATE(2013,5,2) + TIME(19,25,24)</f>
        <v>41396.809305555558</v>
      </c>
      <c r="C1970">
        <v>80</v>
      </c>
      <c r="D1970">
        <v>79.866142272999994</v>
      </c>
      <c r="E1970">
        <v>50</v>
      </c>
      <c r="F1970">
        <v>49.867301941000001</v>
      </c>
      <c r="G1970">
        <v>1336.5869141000001</v>
      </c>
      <c r="H1970">
        <v>1334.7321777</v>
      </c>
      <c r="I1970">
        <v>1329.0750731999999</v>
      </c>
      <c r="J1970">
        <v>1328.2929687999999</v>
      </c>
      <c r="K1970">
        <v>2400</v>
      </c>
      <c r="L1970">
        <v>0</v>
      </c>
      <c r="M1970">
        <v>0</v>
      </c>
      <c r="N1970">
        <v>2400</v>
      </c>
    </row>
    <row r="1971" spans="1:14" x14ac:dyDescent="0.25">
      <c r="A1971">
        <v>1097.8822700000001</v>
      </c>
      <c r="B1971" s="1">
        <f>DATE(2013,5,2) + TIME(21,10,28)</f>
        <v>41396.882268518515</v>
      </c>
      <c r="C1971">
        <v>80</v>
      </c>
      <c r="D1971">
        <v>79.889175414999997</v>
      </c>
      <c r="E1971">
        <v>50</v>
      </c>
      <c r="F1971">
        <v>49.863323211999997</v>
      </c>
      <c r="G1971">
        <v>1336.5974120999999</v>
      </c>
      <c r="H1971">
        <v>1334.7404785000001</v>
      </c>
      <c r="I1971">
        <v>1329.0739745999999</v>
      </c>
      <c r="J1971">
        <v>1328.2915039</v>
      </c>
      <c r="K1971">
        <v>2400</v>
      </c>
      <c r="L1971">
        <v>0</v>
      </c>
      <c r="M1971">
        <v>0</v>
      </c>
      <c r="N1971">
        <v>2400</v>
      </c>
    </row>
    <row r="1972" spans="1:14" x14ac:dyDescent="0.25">
      <c r="A1972">
        <v>1097.95669</v>
      </c>
      <c r="B1972" s="1">
        <f>DATE(2013,5,2) + TIME(22,57,37)</f>
        <v>41396.956678240742</v>
      </c>
      <c r="C1972">
        <v>80</v>
      </c>
      <c r="D1972">
        <v>79.907905579000001</v>
      </c>
      <c r="E1972">
        <v>50</v>
      </c>
      <c r="F1972">
        <v>49.859294890999998</v>
      </c>
      <c r="G1972">
        <v>1336.6065673999999</v>
      </c>
      <c r="H1972">
        <v>1334.7479248</v>
      </c>
      <c r="I1972">
        <v>1329.072876</v>
      </c>
      <c r="J1972">
        <v>1328.2897949000001</v>
      </c>
      <c r="K1972">
        <v>2400</v>
      </c>
      <c r="L1972">
        <v>0</v>
      </c>
      <c r="M1972">
        <v>0</v>
      </c>
      <c r="N1972">
        <v>2400</v>
      </c>
    </row>
    <row r="1973" spans="1:14" x14ac:dyDescent="0.25">
      <c r="A1973">
        <v>1098.0327729999999</v>
      </c>
      <c r="B1973" s="1">
        <f>DATE(2013,5,3) + TIME(0,47,11)</f>
        <v>41397.032766203702</v>
      </c>
      <c r="C1973">
        <v>80</v>
      </c>
      <c r="D1973">
        <v>79.923103333</v>
      </c>
      <c r="E1973">
        <v>50</v>
      </c>
      <c r="F1973">
        <v>49.855201721</v>
      </c>
      <c r="G1973">
        <v>1336.6143798999999</v>
      </c>
      <c r="H1973">
        <v>1334.7546387</v>
      </c>
      <c r="I1973">
        <v>1329.0717772999999</v>
      </c>
      <c r="J1973">
        <v>1328.2882079999999</v>
      </c>
      <c r="K1973">
        <v>2400</v>
      </c>
      <c r="L1973">
        <v>0</v>
      </c>
      <c r="M1973">
        <v>0</v>
      </c>
      <c r="N1973">
        <v>2400</v>
      </c>
    </row>
    <row r="1974" spans="1:14" x14ac:dyDescent="0.25">
      <c r="A1974">
        <v>1098.110737</v>
      </c>
      <c r="B1974" s="1">
        <f>DATE(2013,5,3) + TIME(2,39,27)</f>
        <v>41397.110729166663</v>
      </c>
      <c r="C1974">
        <v>80</v>
      </c>
      <c r="D1974">
        <v>79.935409546000002</v>
      </c>
      <c r="E1974">
        <v>50</v>
      </c>
      <c r="F1974">
        <v>49.851039886000002</v>
      </c>
      <c r="G1974">
        <v>1336.6213379000001</v>
      </c>
      <c r="H1974">
        <v>1334.7608643000001</v>
      </c>
      <c r="I1974">
        <v>1329.0705565999999</v>
      </c>
      <c r="J1974">
        <v>1328.286499</v>
      </c>
      <c r="K1974">
        <v>2400</v>
      </c>
      <c r="L1974">
        <v>0</v>
      </c>
      <c r="M1974">
        <v>0</v>
      </c>
      <c r="N1974">
        <v>2400</v>
      </c>
    </row>
    <row r="1975" spans="1:14" x14ac:dyDescent="0.25">
      <c r="A1975">
        <v>1098.190818</v>
      </c>
      <c r="B1975" s="1">
        <f>DATE(2013,5,3) + TIME(4,34,46)</f>
        <v>41397.190810185188</v>
      </c>
      <c r="C1975">
        <v>80</v>
      </c>
      <c r="D1975">
        <v>79.945343018000003</v>
      </c>
      <c r="E1975">
        <v>50</v>
      </c>
      <c r="F1975">
        <v>49.846794127999999</v>
      </c>
      <c r="G1975">
        <v>1336.6271973</v>
      </c>
      <c r="H1975">
        <v>1334.7663574000001</v>
      </c>
      <c r="I1975">
        <v>1329.0693358999999</v>
      </c>
      <c r="J1975">
        <v>1328.284668</v>
      </c>
      <c r="K1975">
        <v>2400</v>
      </c>
      <c r="L1975">
        <v>0</v>
      </c>
      <c r="M1975">
        <v>0</v>
      </c>
      <c r="N1975">
        <v>2400</v>
      </c>
    </row>
    <row r="1976" spans="1:14" x14ac:dyDescent="0.25">
      <c r="A1976">
        <v>1098.2732739999999</v>
      </c>
      <c r="B1976" s="1">
        <f>DATE(2013,5,3) + TIME(6,33,30)</f>
        <v>41397.273263888892</v>
      </c>
      <c r="C1976">
        <v>80</v>
      </c>
      <c r="D1976">
        <v>79.953346252000003</v>
      </c>
      <c r="E1976">
        <v>50</v>
      </c>
      <c r="F1976">
        <v>49.842456818000002</v>
      </c>
      <c r="G1976">
        <v>1336.6320800999999</v>
      </c>
      <c r="H1976">
        <v>1334.7712402</v>
      </c>
      <c r="I1976">
        <v>1329.0681152</v>
      </c>
      <c r="J1976">
        <v>1328.2828368999999</v>
      </c>
      <c r="K1976">
        <v>2400</v>
      </c>
      <c r="L1976">
        <v>0</v>
      </c>
      <c r="M1976">
        <v>0</v>
      </c>
      <c r="N1976">
        <v>2400</v>
      </c>
    </row>
    <row r="1977" spans="1:14" x14ac:dyDescent="0.25">
      <c r="A1977">
        <v>1098.358559</v>
      </c>
      <c r="B1977" s="1">
        <f>DATE(2013,5,3) + TIME(8,36,19)</f>
        <v>41397.358553240738</v>
      </c>
      <c r="C1977">
        <v>80</v>
      </c>
      <c r="D1977">
        <v>79.959762573000006</v>
      </c>
      <c r="E1977">
        <v>50</v>
      </c>
      <c r="F1977">
        <v>49.838001251000001</v>
      </c>
      <c r="G1977">
        <v>1336.6335449000001</v>
      </c>
      <c r="H1977">
        <v>1334.7739257999999</v>
      </c>
      <c r="I1977">
        <v>1329.0667725000001</v>
      </c>
      <c r="J1977">
        <v>1328.2810059000001</v>
      </c>
      <c r="K1977">
        <v>2400</v>
      </c>
      <c r="L1977">
        <v>0</v>
      </c>
      <c r="M1977">
        <v>0</v>
      </c>
      <c r="N1977">
        <v>2400</v>
      </c>
    </row>
    <row r="1978" spans="1:14" x14ac:dyDescent="0.25">
      <c r="A1978">
        <v>1098.446985</v>
      </c>
      <c r="B1978" s="1">
        <f>DATE(2013,5,3) + TIME(10,43,39)</f>
        <v>41397.446979166663</v>
      </c>
      <c r="C1978">
        <v>80</v>
      </c>
      <c r="D1978">
        <v>79.964897156000006</v>
      </c>
      <c r="E1978">
        <v>50</v>
      </c>
      <c r="F1978">
        <v>49.833415985000002</v>
      </c>
      <c r="G1978">
        <v>1336.6345214999999</v>
      </c>
      <c r="H1978">
        <v>1334.7763672000001</v>
      </c>
      <c r="I1978">
        <v>1329.0654297000001</v>
      </c>
      <c r="J1978">
        <v>1328.2790527</v>
      </c>
      <c r="K1978">
        <v>2400</v>
      </c>
      <c r="L1978">
        <v>0</v>
      </c>
      <c r="M1978">
        <v>0</v>
      </c>
      <c r="N1978">
        <v>2400</v>
      </c>
    </row>
    <row r="1979" spans="1:14" x14ac:dyDescent="0.25">
      <c r="A1979">
        <v>1098.5379390000001</v>
      </c>
      <c r="B1979" s="1">
        <f>DATE(2013,5,3) + TIME(12,54,37)</f>
        <v>41397.537928240738</v>
      </c>
      <c r="C1979">
        <v>80</v>
      </c>
      <c r="D1979">
        <v>79.968940735000004</v>
      </c>
      <c r="E1979">
        <v>50</v>
      </c>
      <c r="F1979">
        <v>49.828731537000003</v>
      </c>
      <c r="G1979">
        <v>1336.6348877</v>
      </c>
      <c r="H1979">
        <v>1334.7785644999999</v>
      </c>
      <c r="I1979">
        <v>1329.0639647999999</v>
      </c>
      <c r="J1979">
        <v>1328.2770995999999</v>
      </c>
      <c r="K1979">
        <v>2400</v>
      </c>
      <c r="L1979">
        <v>0</v>
      </c>
      <c r="M1979">
        <v>0</v>
      </c>
      <c r="N1979">
        <v>2400</v>
      </c>
    </row>
    <row r="1980" spans="1:14" x14ac:dyDescent="0.25">
      <c r="A1980">
        <v>1098.6317429999999</v>
      </c>
      <c r="B1980" s="1">
        <f>DATE(2013,5,3) + TIME(15,9,42)</f>
        <v>41397.631736111114</v>
      </c>
      <c r="C1980">
        <v>80</v>
      </c>
      <c r="D1980">
        <v>79.972129821999999</v>
      </c>
      <c r="E1980">
        <v>50</v>
      </c>
      <c r="F1980">
        <v>49.823932648000003</v>
      </c>
      <c r="G1980">
        <v>1336.6347656</v>
      </c>
      <c r="H1980">
        <v>1334.7803954999999</v>
      </c>
      <c r="I1980">
        <v>1329.0625</v>
      </c>
      <c r="J1980">
        <v>1328.2749022999999</v>
      </c>
      <c r="K1980">
        <v>2400</v>
      </c>
      <c r="L1980">
        <v>0</v>
      </c>
      <c r="M1980">
        <v>0</v>
      </c>
      <c r="N1980">
        <v>2400</v>
      </c>
    </row>
    <row r="1981" spans="1:14" x14ac:dyDescent="0.25">
      <c r="A1981">
        <v>1098.7287160000001</v>
      </c>
      <c r="B1981" s="1">
        <f>DATE(2013,5,3) + TIME(17,29,21)</f>
        <v>41397.728715277779</v>
      </c>
      <c r="C1981">
        <v>80</v>
      </c>
      <c r="D1981">
        <v>79.974624633999994</v>
      </c>
      <c r="E1981">
        <v>50</v>
      </c>
      <c r="F1981">
        <v>49.819007874</v>
      </c>
      <c r="G1981">
        <v>1336.6342772999999</v>
      </c>
      <c r="H1981">
        <v>1334.7821045000001</v>
      </c>
      <c r="I1981">
        <v>1329.0610352000001</v>
      </c>
      <c r="J1981">
        <v>1328.2728271000001</v>
      </c>
      <c r="K1981">
        <v>2400</v>
      </c>
      <c r="L1981">
        <v>0</v>
      </c>
      <c r="M1981">
        <v>0</v>
      </c>
      <c r="N1981">
        <v>2400</v>
      </c>
    </row>
    <row r="1982" spans="1:14" x14ac:dyDescent="0.25">
      <c r="A1982">
        <v>1098.829268</v>
      </c>
      <c r="B1982" s="1">
        <f>DATE(2013,5,3) + TIME(19,54,8)</f>
        <v>41397.829259259262</v>
      </c>
      <c r="C1982">
        <v>80</v>
      </c>
      <c r="D1982">
        <v>79.976577758999994</v>
      </c>
      <c r="E1982">
        <v>50</v>
      </c>
      <c r="F1982">
        <v>49.813938141000001</v>
      </c>
      <c r="G1982">
        <v>1336.6333007999999</v>
      </c>
      <c r="H1982">
        <v>1334.7835693</v>
      </c>
      <c r="I1982">
        <v>1329.0594481999999</v>
      </c>
      <c r="J1982">
        <v>1328.2705077999999</v>
      </c>
      <c r="K1982">
        <v>2400</v>
      </c>
      <c r="L1982">
        <v>0</v>
      </c>
      <c r="M1982">
        <v>0</v>
      </c>
      <c r="N1982">
        <v>2400</v>
      </c>
    </row>
    <row r="1983" spans="1:14" x14ac:dyDescent="0.25">
      <c r="A1983">
        <v>1098.933765</v>
      </c>
      <c r="B1983" s="1">
        <f>DATE(2013,5,3) + TIME(22,24,37)</f>
        <v>41397.933761574073</v>
      </c>
      <c r="C1983">
        <v>80</v>
      </c>
      <c r="D1983">
        <v>79.978088378999999</v>
      </c>
      <c r="E1983">
        <v>50</v>
      </c>
      <c r="F1983">
        <v>49.808708191000001</v>
      </c>
      <c r="G1983">
        <v>1336.6319579999999</v>
      </c>
      <c r="H1983">
        <v>1334.7849120999999</v>
      </c>
      <c r="I1983">
        <v>1329.0577393000001</v>
      </c>
      <c r="J1983">
        <v>1328.2681885</v>
      </c>
      <c r="K1983">
        <v>2400</v>
      </c>
      <c r="L1983">
        <v>0</v>
      </c>
      <c r="M1983">
        <v>0</v>
      </c>
      <c r="N1983">
        <v>2400</v>
      </c>
    </row>
    <row r="1984" spans="1:14" x14ac:dyDescent="0.25">
      <c r="A1984">
        <v>1099.0430610000001</v>
      </c>
      <c r="B1984" s="1">
        <f>DATE(2013,5,4) + TIME(1,2,0)</f>
        <v>41398.043055555558</v>
      </c>
      <c r="C1984">
        <v>80</v>
      </c>
      <c r="D1984">
        <v>79.979270935000002</v>
      </c>
      <c r="E1984">
        <v>50</v>
      </c>
      <c r="F1984">
        <v>49.803279877000001</v>
      </c>
      <c r="G1984">
        <v>1336.630249</v>
      </c>
      <c r="H1984">
        <v>1334.7860106999999</v>
      </c>
      <c r="I1984">
        <v>1329.0560303</v>
      </c>
      <c r="J1984">
        <v>1328.2657471</v>
      </c>
      <c r="K1984">
        <v>2400</v>
      </c>
      <c r="L1984">
        <v>0</v>
      </c>
      <c r="M1984">
        <v>0</v>
      </c>
      <c r="N1984">
        <v>2400</v>
      </c>
    </row>
    <row r="1985" spans="1:14" x14ac:dyDescent="0.25">
      <c r="A1985">
        <v>1099.1580269999999</v>
      </c>
      <c r="B1985" s="1">
        <f>DATE(2013,5,4) + TIME(3,47,33)</f>
        <v>41398.158020833333</v>
      </c>
      <c r="C1985">
        <v>80</v>
      </c>
      <c r="D1985">
        <v>79.980178832999997</v>
      </c>
      <c r="E1985">
        <v>50</v>
      </c>
      <c r="F1985">
        <v>49.797618866000001</v>
      </c>
      <c r="G1985">
        <v>1336.6280518000001</v>
      </c>
      <c r="H1985">
        <v>1334.7869873</v>
      </c>
      <c r="I1985">
        <v>1329.0543213000001</v>
      </c>
      <c r="J1985">
        <v>1328.2631836</v>
      </c>
      <c r="K1985">
        <v>2400</v>
      </c>
      <c r="L1985">
        <v>0</v>
      </c>
      <c r="M1985">
        <v>0</v>
      </c>
      <c r="N1985">
        <v>2400</v>
      </c>
    </row>
    <row r="1986" spans="1:14" x14ac:dyDescent="0.25">
      <c r="A1986">
        <v>1099.2794819999999</v>
      </c>
      <c r="B1986" s="1">
        <f>DATE(2013,5,4) + TIME(6,42,27)</f>
        <v>41398.279479166667</v>
      </c>
      <c r="C1986">
        <v>80</v>
      </c>
      <c r="D1986">
        <v>79.980873107999997</v>
      </c>
      <c r="E1986">
        <v>50</v>
      </c>
      <c r="F1986">
        <v>49.791690826</v>
      </c>
      <c r="G1986">
        <v>1336.6256103999999</v>
      </c>
      <c r="H1986">
        <v>1334.7878418</v>
      </c>
      <c r="I1986">
        <v>1329.0523682</v>
      </c>
      <c r="J1986">
        <v>1328.260376</v>
      </c>
      <c r="K1986">
        <v>2400</v>
      </c>
      <c r="L1986">
        <v>0</v>
      </c>
      <c r="M1986">
        <v>0</v>
      </c>
      <c r="N1986">
        <v>2400</v>
      </c>
    </row>
    <row r="1987" spans="1:14" x14ac:dyDescent="0.25">
      <c r="A1987">
        <v>1099.404556</v>
      </c>
      <c r="B1987" s="1">
        <f>DATE(2013,5,4) + TIME(9,42,33)</f>
        <v>41398.404548611114</v>
      </c>
      <c r="C1987">
        <v>80</v>
      </c>
      <c r="D1987">
        <v>79.981391907000003</v>
      </c>
      <c r="E1987">
        <v>50</v>
      </c>
      <c r="F1987">
        <v>49.785621642999999</v>
      </c>
      <c r="G1987">
        <v>1336.6228027</v>
      </c>
      <c r="H1987">
        <v>1334.7884521000001</v>
      </c>
      <c r="I1987">
        <v>1329.0504149999999</v>
      </c>
      <c r="J1987">
        <v>1328.2575684000001</v>
      </c>
      <c r="K1987">
        <v>2400</v>
      </c>
      <c r="L1987">
        <v>0</v>
      </c>
      <c r="M1987">
        <v>0</v>
      </c>
      <c r="N1987">
        <v>2400</v>
      </c>
    </row>
    <row r="1988" spans="1:14" x14ac:dyDescent="0.25">
      <c r="A1988">
        <v>1099.5329750000001</v>
      </c>
      <c r="B1988" s="1">
        <f>DATE(2013,5,4) + TIME(12,47,29)</f>
        <v>41398.53297453704</v>
      </c>
      <c r="C1988">
        <v>80</v>
      </c>
      <c r="D1988">
        <v>79.981773376000007</v>
      </c>
      <c r="E1988">
        <v>50</v>
      </c>
      <c r="F1988">
        <v>49.779422760000003</v>
      </c>
      <c r="G1988">
        <v>1336.6196289</v>
      </c>
      <c r="H1988">
        <v>1334.7890625</v>
      </c>
      <c r="I1988">
        <v>1329.0483397999999</v>
      </c>
      <c r="J1988">
        <v>1328.2545166</v>
      </c>
      <c r="K1988">
        <v>2400</v>
      </c>
      <c r="L1988">
        <v>0</v>
      </c>
      <c r="M1988">
        <v>0</v>
      </c>
      <c r="N1988">
        <v>2400</v>
      </c>
    </row>
    <row r="1989" spans="1:14" x14ac:dyDescent="0.25">
      <c r="A1989">
        <v>1099.665066</v>
      </c>
      <c r="B1989" s="1">
        <f>DATE(2013,5,4) + TIME(15,57,41)</f>
        <v>41398.66505787037</v>
      </c>
      <c r="C1989">
        <v>80</v>
      </c>
      <c r="D1989">
        <v>79.982048035000005</v>
      </c>
      <c r="E1989">
        <v>50</v>
      </c>
      <c r="F1989">
        <v>49.773082733000003</v>
      </c>
      <c r="G1989">
        <v>1336.6163329999999</v>
      </c>
      <c r="H1989">
        <v>1334.7895507999999</v>
      </c>
      <c r="I1989">
        <v>1329.0461425999999</v>
      </c>
      <c r="J1989">
        <v>1328.2514647999999</v>
      </c>
      <c r="K1989">
        <v>2400</v>
      </c>
      <c r="L1989">
        <v>0</v>
      </c>
      <c r="M1989">
        <v>0</v>
      </c>
      <c r="N1989">
        <v>2400</v>
      </c>
    </row>
    <row r="1990" spans="1:14" x14ac:dyDescent="0.25">
      <c r="A1990">
        <v>1099.801158</v>
      </c>
      <c r="B1990" s="1">
        <f>DATE(2013,5,4) + TIME(19,13,40)</f>
        <v>41398.801157407404</v>
      </c>
      <c r="C1990">
        <v>80</v>
      </c>
      <c r="D1990">
        <v>79.982254028</v>
      </c>
      <c r="E1990">
        <v>50</v>
      </c>
      <c r="F1990">
        <v>49.766586304</v>
      </c>
      <c r="G1990">
        <v>1336.612793</v>
      </c>
      <c r="H1990">
        <v>1334.7899170000001</v>
      </c>
      <c r="I1990">
        <v>1329.0439452999999</v>
      </c>
      <c r="J1990">
        <v>1328.2484131000001</v>
      </c>
      <c r="K1990">
        <v>2400</v>
      </c>
      <c r="L1990">
        <v>0</v>
      </c>
      <c r="M1990">
        <v>0</v>
      </c>
      <c r="N1990">
        <v>2400</v>
      </c>
    </row>
    <row r="1991" spans="1:14" x14ac:dyDescent="0.25">
      <c r="A1991">
        <v>1099.9416249999999</v>
      </c>
      <c r="B1991" s="1">
        <f>DATE(2013,5,4) + TIME(22,35,56)</f>
        <v>41398.941620370373</v>
      </c>
      <c r="C1991">
        <v>80</v>
      </c>
      <c r="D1991">
        <v>79.982398986999996</v>
      </c>
      <c r="E1991">
        <v>50</v>
      </c>
      <c r="F1991">
        <v>49.759925842000001</v>
      </c>
      <c r="G1991">
        <v>1336.6091309000001</v>
      </c>
      <c r="H1991">
        <v>1334.7902832</v>
      </c>
      <c r="I1991">
        <v>1329.0417480000001</v>
      </c>
      <c r="J1991">
        <v>1328.2451172000001</v>
      </c>
      <c r="K1991">
        <v>2400</v>
      </c>
      <c r="L1991">
        <v>0</v>
      </c>
      <c r="M1991">
        <v>0</v>
      </c>
      <c r="N1991">
        <v>2400</v>
      </c>
    </row>
    <row r="1992" spans="1:14" x14ac:dyDescent="0.25">
      <c r="A1992">
        <v>1100.0828300000001</v>
      </c>
      <c r="B1992" s="1">
        <f>DATE(2013,5,5) + TIME(1,59,16)</f>
        <v>41399.082824074074</v>
      </c>
      <c r="C1992">
        <v>80</v>
      </c>
      <c r="D1992">
        <v>79.982498168999996</v>
      </c>
      <c r="E1992">
        <v>50</v>
      </c>
      <c r="F1992">
        <v>49.753246306999998</v>
      </c>
      <c r="G1992">
        <v>1336.6052245999999</v>
      </c>
      <c r="H1992">
        <v>1334.7905272999999</v>
      </c>
      <c r="I1992">
        <v>1329.0393065999999</v>
      </c>
      <c r="J1992">
        <v>1328.2416992000001</v>
      </c>
      <c r="K1992">
        <v>2400</v>
      </c>
      <c r="L1992">
        <v>0</v>
      </c>
      <c r="M1992">
        <v>0</v>
      </c>
      <c r="N1992">
        <v>2400</v>
      </c>
    </row>
    <row r="1993" spans="1:14" x14ac:dyDescent="0.25">
      <c r="A1993">
        <v>1100.224886</v>
      </c>
      <c r="B1993" s="1">
        <f>DATE(2013,5,5) + TIME(5,23,50)</f>
        <v>41399.22488425926</v>
      </c>
      <c r="C1993">
        <v>80</v>
      </c>
      <c r="D1993">
        <v>79.982566833000007</v>
      </c>
      <c r="E1993">
        <v>50</v>
      </c>
      <c r="F1993">
        <v>49.746543883999998</v>
      </c>
      <c r="G1993">
        <v>1336.6013184000001</v>
      </c>
      <c r="H1993">
        <v>1334.7907714999999</v>
      </c>
      <c r="I1993">
        <v>1329.0369873</v>
      </c>
      <c r="J1993">
        <v>1328.2384033000001</v>
      </c>
      <c r="K1993">
        <v>2400</v>
      </c>
      <c r="L1993">
        <v>0</v>
      </c>
      <c r="M1993">
        <v>0</v>
      </c>
      <c r="N1993">
        <v>2400</v>
      </c>
    </row>
    <row r="1994" spans="1:14" x14ac:dyDescent="0.25">
      <c r="A1994">
        <v>1100.3681630000001</v>
      </c>
      <c r="B1994" s="1">
        <f>DATE(2013,5,5) + TIME(8,50,9)</f>
        <v>41399.368159722224</v>
      </c>
      <c r="C1994">
        <v>80</v>
      </c>
      <c r="D1994">
        <v>79.982604980000005</v>
      </c>
      <c r="E1994">
        <v>50</v>
      </c>
      <c r="F1994">
        <v>49.739810943999998</v>
      </c>
      <c r="G1994">
        <v>1336.5972899999999</v>
      </c>
      <c r="H1994">
        <v>1334.7908935999999</v>
      </c>
      <c r="I1994">
        <v>1329.0345459</v>
      </c>
      <c r="J1994">
        <v>1328.2348632999999</v>
      </c>
      <c r="K1994">
        <v>2400</v>
      </c>
      <c r="L1994">
        <v>0</v>
      </c>
      <c r="M1994">
        <v>0</v>
      </c>
      <c r="N1994">
        <v>2400</v>
      </c>
    </row>
    <row r="1995" spans="1:14" x14ac:dyDescent="0.25">
      <c r="A1995">
        <v>1100.513072</v>
      </c>
      <c r="B1995" s="1">
        <f>DATE(2013,5,5) + TIME(12,18,49)</f>
        <v>41399.513067129628</v>
      </c>
      <c r="C1995">
        <v>80</v>
      </c>
      <c r="D1995">
        <v>79.982635497999993</v>
      </c>
      <c r="E1995">
        <v>50</v>
      </c>
      <c r="F1995">
        <v>49.733028412000003</v>
      </c>
      <c r="G1995">
        <v>1336.5932617000001</v>
      </c>
      <c r="H1995">
        <v>1334.7910156</v>
      </c>
      <c r="I1995">
        <v>1329.0322266000001</v>
      </c>
      <c r="J1995">
        <v>1328.2314452999999</v>
      </c>
      <c r="K1995">
        <v>2400</v>
      </c>
      <c r="L1995">
        <v>0</v>
      </c>
      <c r="M1995">
        <v>0</v>
      </c>
      <c r="N1995">
        <v>2400</v>
      </c>
    </row>
    <row r="1996" spans="1:14" x14ac:dyDescent="0.25">
      <c r="A1996">
        <v>1100.6600269999999</v>
      </c>
      <c r="B1996" s="1">
        <f>DATE(2013,5,5) + TIME(15,50,26)</f>
        <v>41399.66002314815</v>
      </c>
      <c r="C1996">
        <v>80</v>
      </c>
      <c r="D1996">
        <v>79.982643127000003</v>
      </c>
      <c r="E1996">
        <v>50</v>
      </c>
      <c r="F1996">
        <v>49.726177216000004</v>
      </c>
      <c r="G1996">
        <v>1336.5892334</v>
      </c>
      <c r="H1996">
        <v>1334.7910156</v>
      </c>
      <c r="I1996">
        <v>1329.0297852000001</v>
      </c>
      <c r="J1996">
        <v>1328.2279053</v>
      </c>
      <c r="K1996">
        <v>2400</v>
      </c>
      <c r="L1996">
        <v>0</v>
      </c>
      <c r="M1996">
        <v>0</v>
      </c>
      <c r="N1996">
        <v>2400</v>
      </c>
    </row>
    <row r="1997" spans="1:14" x14ac:dyDescent="0.25">
      <c r="A1997">
        <v>1100.8094490000001</v>
      </c>
      <c r="B1997" s="1">
        <f>DATE(2013,5,5) + TIME(19,25,36)</f>
        <v>41399.809444444443</v>
      </c>
      <c r="C1997">
        <v>80</v>
      </c>
      <c r="D1997">
        <v>79.982643127000003</v>
      </c>
      <c r="E1997">
        <v>50</v>
      </c>
      <c r="F1997">
        <v>49.719245911000002</v>
      </c>
      <c r="G1997">
        <v>1336.5850829999999</v>
      </c>
      <c r="H1997">
        <v>1334.7911377</v>
      </c>
      <c r="I1997">
        <v>1329.0272216999999</v>
      </c>
      <c r="J1997">
        <v>1328.2243652</v>
      </c>
      <c r="K1997">
        <v>2400</v>
      </c>
      <c r="L1997">
        <v>0</v>
      </c>
      <c r="M1997">
        <v>0</v>
      </c>
      <c r="N1997">
        <v>2400</v>
      </c>
    </row>
    <row r="1998" spans="1:14" x14ac:dyDescent="0.25">
      <c r="A1998">
        <v>1100.9617760000001</v>
      </c>
      <c r="B1998" s="1">
        <f>DATE(2013,5,5) + TIME(23,4,57)</f>
        <v>41399.961770833332</v>
      </c>
      <c r="C1998">
        <v>80</v>
      </c>
      <c r="D1998">
        <v>79.982635497999993</v>
      </c>
      <c r="E1998">
        <v>50</v>
      </c>
      <c r="F1998">
        <v>49.712215424</v>
      </c>
      <c r="G1998">
        <v>1336.5810547000001</v>
      </c>
      <c r="H1998">
        <v>1334.7911377</v>
      </c>
      <c r="I1998">
        <v>1329.0246582</v>
      </c>
      <c r="J1998">
        <v>1328.2207031</v>
      </c>
      <c r="K1998">
        <v>2400</v>
      </c>
      <c r="L1998">
        <v>0</v>
      </c>
      <c r="M1998">
        <v>0</v>
      </c>
      <c r="N1998">
        <v>2400</v>
      </c>
    </row>
    <row r="1999" spans="1:14" x14ac:dyDescent="0.25">
      <c r="A1999">
        <v>1101.117477</v>
      </c>
      <c r="B1999" s="1">
        <f>DATE(2013,5,6) + TIME(2,49,10)</f>
        <v>41400.117476851854</v>
      </c>
      <c r="C1999">
        <v>80</v>
      </c>
      <c r="D1999">
        <v>79.982620238999999</v>
      </c>
      <c r="E1999">
        <v>50</v>
      </c>
      <c r="F1999">
        <v>49.705070495999998</v>
      </c>
      <c r="G1999">
        <v>1336.5769043</v>
      </c>
      <c r="H1999">
        <v>1334.7912598</v>
      </c>
      <c r="I1999">
        <v>1329.0220947</v>
      </c>
      <c r="J1999">
        <v>1328.2169189000001</v>
      </c>
      <c r="K1999">
        <v>2400</v>
      </c>
      <c r="L1999">
        <v>0</v>
      </c>
      <c r="M1999">
        <v>0</v>
      </c>
      <c r="N1999">
        <v>2400</v>
      </c>
    </row>
    <row r="2000" spans="1:14" x14ac:dyDescent="0.25">
      <c r="A2000">
        <v>1101.277075</v>
      </c>
      <c r="B2000" s="1">
        <f>DATE(2013,5,6) + TIME(6,38,59)</f>
        <v>41400.277071759258</v>
      </c>
      <c r="C2000">
        <v>80</v>
      </c>
      <c r="D2000">
        <v>79.982604980000005</v>
      </c>
      <c r="E2000">
        <v>50</v>
      </c>
      <c r="F2000">
        <v>49.697788238999998</v>
      </c>
      <c r="G2000">
        <v>1336.5727539</v>
      </c>
      <c r="H2000">
        <v>1334.7912598</v>
      </c>
      <c r="I2000">
        <v>1329.0194091999999</v>
      </c>
      <c r="J2000">
        <v>1328.2131348</v>
      </c>
      <c r="K2000">
        <v>2400</v>
      </c>
      <c r="L2000">
        <v>0</v>
      </c>
      <c r="M2000">
        <v>0</v>
      </c>
      <c r="N2000">
        <v>2400</v>
      </c>
    </row>
    <row r="2001" spans="1:14" x14ac:dyDescent="0.25">
      <c r="A2001">
        <v>1101.441137</v>
      </c>
      <c r="B2001" s="1">
        <f>DATE(2013,5,6) + TIME(10,35,14)</f>
        <v>41400.441134259258</v>
      </c>
      <c r="C2001">
        <v>80</v>
      </c>
      <c r="D2001">
        <v>79.982582092000001</v>
      </c>
      <c r="E2001">
        <v>50</v>
      </c>
      <c r="F2001">
        <v>49.690345764</v>
      </c>
      <c r="G2001">
        <v>1336.5686035000001</v>
      </c>
      <c r="H2001">
        <v>1334.7913818</v>
      </c>
      <c r="I2001">
        <v>1329.0167236</v>
      </c>
      <c r="J2001">
        <v>1328.2092285000001</v>
      </c>
      <c r="K2001">
        <v>2400</v>
      </c>
      <c r="L2001">
        <v>0</v>
      </c>
      <c r="M2001">
        <v>0</v>
      </c>
      <c r="N2001">
        <v>2400</v>
      </c>
    </row>
    <row r="2002" spans="1:14" x14ac:dyDescent="0.25">
      <c r="A2002">
        <v>1101.6102820000001</v>
      </c>
      <c r="B2002" s="1">
        <f>DATE(2013,5,6) + TIME(14,38,48)</f>
        <v>41400.610277777778</v>
      </c>
      <c r="C2002">
        <v>80</v>
      </c>
      <c r="D2002">
        <v>79.982551575000002</v>
      </c>
      <c r="E2002">
        <v>50</v>
      </c>
      <c r="F2002">
        <v>49.682723998999997</v>
      </c>
      <c r="G2002">
        <v>1336.5643310999999</v>
      </c>
      <c r="H2002">
        <v>1334.7913818</v>
      </c>
      <c r="I2002">
        <v>1329.0139160000001</v>
      </c>
      <c r="J2002">
        <v>1328.2052002</v>
      </c>
      <c r="K2002">
        <v>2400</v>
      </c>
      <c r="L2002">
        <v>0</v>
      </c>
      <c r="M2002">
        <v>0</v>
      </c>
      <c r="N2002">
        <v>2400</v>
      </c>
    </row>
    <row r="2003" spans="1:14" x14ac:dyDescent="0.25">
      <c r="A2003">
        <v>1101.785292</v>
      </c>
      <c r="B2003" s="1">
        <f>DATE(2013,5,6) + TIME(18,50,49)</f>
        <v>41400.78528935185</v>
      </c>
      <c r="C2003">
        <v>80</v>
      </c>
      <c r="D2003">
        <v>79.982521057</v>
      </c>
      <c r="E2003">
        <v>50</v>
      </c>
      <c r="F2003">
        <v>49.674892426</v>
      </c>
      <c r="G2003">
        <v>1336.5600586</v>
      </c>
      <c r="H2003">
        <v>1334.7915039</v>
      </c>
      <c r="I2003">
        <v>1329.0109863</v>
      </c>
      <c r="J2003">
        <v>1328.2010498</v>
      </c>
      <c r="K2003">
        <v>2400</v>
      </c>
      <c r="L2003">
        <v>0</v>
      </c>
      <c r="M2003">
        <v>0</v>
      </c>
      <c r="N2003">
        <v>2400</v>
      </c>
    </row>
    <row r="2004" spans="1:14" x14ac:dyDescent="0.25">
      <c r="A2004">
        <v>1101.967261</v>
      </c>
      <c r="B2004" s="1">
        <f>DATE(2013,5,6) + TIME(23,12,51)</f>
        <v>41400.967256944445</v>
      </c>
      <c r="C2004">
        <v>80</v>
      </c>
      <c r="D2004">
        <v>79.982490540000001</v>
      </c>
      <c r="E2004">
        <v>50</v>
      </c>
      <c r="F2004">
        <v>49.666809082</v>
      </c>
      <c r="G2004">
        <v>1336.5557861</v>
      </c>
      <c r="H2004">
        <v>1334.7915039</v>
      </c>
      <c r="I2004">
        <v>1329.0080565999999</v>
      </c>
      <c r="J2004">
        <v>1328.1967772999999</v>
      </c>
      <c r="K2004">
        <v>2400</v>
      </c>
      <c r="L2004">
        <v>0</v>
      </c>
      <c r="M2004">
        <v>0</v>
      </c>
      <c r="N2004">
        <v>2400</v>
      </c>
    </row>
    <row r="2005" spans="1:14" x14ac:dyDescent="0.25">
      <c r="A2005">
        <v>1102.1581120000001</v>
      </c>
      <c r="B2005" s="1">
        <f>DATE(2013,5,7) + TIME(3,47,40)</f>
        <v>41401.158101851855</v>
      </c>
      <c r="C2005">
        <v>80</v>
      </c>
      <c r="D2005">
        <v>79.982452393000003</v>
      </c>
      <c r="E2005">
        <v>50</v>
      </c>
      <c r="F2005">
        <v>49.658405303999999</v>
      </c>
      <c r="G2005">
        <v>1336.5513916</v>
      </c>
      <c r="H2005">
        <v>1334.791626</v>
      </c>
      <c r="I2005">
        <v>1329.0048827999999</v>
      </c>
      <c r="J2005">
        <v>1328.1922606999999</v>
      </c>
      <c r="K2005">
        <v>2400</v>
      </c>
      <c r="L2005">
        <v>0</v>
      </c>
      <c r="M2005">
        <v>0</v>
      </c>
      <c r="N2005">
        <v>2400</v>
      </c>
    </row>
    <row r="2006" spans="1:14" x14ac:dyDescent="0.25">
      <c r="A2006">
        <v>1102.3550849999999</v>
      </c>
      <c r="B2006" s="1">
        <f>DATE(2013,5,7) + TIME(8,31,19)</f>
        <v>41401.355081018519</v>
      </c>
      <c r="C2006">
        <v>80</v>
      </c>
      <c r="D2006">
        <v>79.982414246000005</v>
      </c>
      <c r="E2006">
        <v>50</v>
      </c>
      <c r="F2006">
        <v>49.649784087999997</v>
      </c>
      <c r="G2006">
        <v>1336.546875</v>
      </c>
      <c r="H2006">
        <v>1334.7917480000001</v>
      </c>
      <c r="I2006">
        <v>1329.0017089999999</v>
      </c>
      <c r="J2006">
        <v>1328.1876221</v>
      </c>
      <c r="K2006">
        <v>2400</v>
      </c>
      <c r="L2006">
        <v>0</v>
      </c>
      <c r="M2006">
        <v>0</v>
      </c>
      <c r="N2006">
        <v>2400</v>
      </c>
    </row>
    <row r="2007" spans="1:14" x14ac:dyDescent="0.25">
      <c r="A2007">
        <v>1102.5610899999999</v>
      </c>
      <c r="B2007" s="1">
        <f>DATE(2013,5,7) + TIME(13,27,58)</f>
        <v>41401.56108796296</v>
      </c>
      <c r="C2007">
        <v>80</v>
      </c>
      <c r="D2007">
        <v>79.982376099000007</v>
      </c>
      <c r="E2007">
        <v>50</v>
      </c>
      <c r="F2007">
        <v>49.640838623</v>
      </c>
      <c r="G2007">
        <v>1336.5423584</v>
      </c>
      <c r="H2007">
        <v>1334.7918701000001</v>
      </c>
      <c r="I2007">
        <v>1328.9982910000001</v>
      </c>
      <c r="J2007">
        <v>1328.1827393000001</v>
      </c>
      <c r="K2007">
        <v>2400</v>
      </c>
      <c r="L2007">
        <v>0</v>
      </c>
      <c r="M2007">
        <v>0</v>
      </c>
      <c r="N2007">
        <v>2400</v>
      </c>
    </row>
    <row r="2008" spans="1:14" x14ac:dyDescent="0.25">
      <c r="A2008">
        <v>1102.777689</v>
      </c>
      <c r="B2008" s="1">
        <f>DATE(2013,5,7) + TIME(18,39,52)</f>
        <v>41401.777685185189</v>
      </c>
      <c r="C2008">
        <v>80</v>
      </c>
      <c r="D2008">
        <v>79.982330321999996</v>
      </c>
      <c r="E2008">
        <v>50</v>
      </c>
      <c r="F2008">
        <v>49.631519318000002</v>
      </c>
      <c r="G2008">
        <v>1336.5378418</v>
      </c>
      <c r="H2008">
        <v>1334.7919922000001</v>
      </c>
      <c r="I2008">
        <v>1328.994751</v>
      </c>
      <c r="J2008">
        <v>1328.1777344</v>
      </c>
      <c r="K2008">
        <v>2400</v>
      </c>
      <c r="L2008">
        <v>0</v>
      </c>
      <c r="M2008">
        <v>0</v>
      </c>
      <c r="N2008">
        <v>2400</v>
      </c>
    </row>
    <row r="2009" spans="1:14" x14ac:dyDescent="0.25">
      <c r="A2009">
        <v>1103.0065520000001</v>
      </c>
      <c r="B2009" s="1">
        <f>DATE(2013,5,8) + TIME(0,9,26)</f>
        <v>41402.006550925929</v>
      </c>
      <c r="C2009">
        <v>80</v>
      </c>
      <c r="D2009">
        <v>79.982284546000002</v>
      </c>
      <c r="E2009">
        <v>50</v>
      </c>
      <c r="F2009">
        <v>49.621765136999997</v>
      </c>
      <c r="G2009">
        <v>1336.5332031</v>
      </c>
      <c r="H2009">
        <v>1334.7922363</v>
      </c>
      <c r="I2009">
        <v>1328.9910889</v>
      </c>
      <c r="J2009">
        <v>1328.1723632999999</v>
      </c>
      <c r="K2009">
        <v>2400</v>
      </c>
      <c r="L2009">
        <v>0</v>
      </c>
      <c r="M2009">
        <v>0</v>
      </c>
      <c r="N2009">
        <v>2400</v>
      </c>
    </row>
    <row r="2010" spans="1:14" x14ac:dyDescent="0.25">
      <c r="A2010">
        <v>1103.238243</v>
      </c>
      <c r="B2010" s="1">
        <f>DATE(2013,5,8) + TIME(5,43,4)</f>
        <v>41402.238240740742</v>
      </c>
      <c r="C2010">
        <v>80</v>
      </c>
      <c r="D2010">
        <v>79.982238769999995</v>
      </c>
      <c r="E2010">
        <v>50</v>
      </c>
      <c r="F2010">
        <v>49.611896514999998</v>
      </c>
      <c r="G2010">
        <v>1336.5284423999999</v>
      </c>
      <c r="H2010">
        <v>1334.7923584</v>
      </c>
      <c r="I2010">
        <v>1328.9873047000001</v>
      </c>
      <c r="J2010">
        <v>1328.1668701000001</v>
      </c>
      <c r="K2010">
        <v>2400</v>
      </c>
      <c r="L2010">
        <v>0</v>
      </c>
      <c r="M2010">
        <v>0</v>
      </c>
      <c r="N2010">
        <v>2400</v>
      </c>
    </row>
    <row r="2011" spans="1:14" x14ac:dyDescent="0.25">
      <c r="A2011">
        <v>1103.4731240000001</v>
      </c>
      <c r="B2011" s="1">
        <f>DATE(2013,5,8) + TIME(11,21,17)</f>
        <v>41402.473113425927</v>
      </c>
      <c r="C2011">
        <v>80</v>
      </c>
      <c r="D2011">
        <v>79.982192992999998</v>
      </c>
      <c r="E2011">
        <v>50</v>
      </c>
      <c r="F2011">
        <v>49.601917266999997</v>
      </c>
      <c r="G2011">
        <v>1336.5238036999999</v>
      </c>
      <c r="H2011">
        <v>1334.7926024999999</v>
      </c>
      <c r="I2011">
        <v>1328.9832764</v>
      </c>
      <c r="J2011">
        <v>1328.1612548999999</v>
      </c>
      <c r="K2011">
        <v>2400</v>
      </c>
      <c r="L2011">
        <v>0</v>
      </c>
      <c r="M2011">
        <v>0</v>
      </c>
      <c r="N2011">
        <v>2400</v>
      </c>
    </row>
    <row r="2012" spans="1:14" x14ac:dyDescent="0.25">
      <c r="A2012">
        <v>1103.71181</v>
      </c>
      <c r="B2012" s="1">
        <f>DATE(2013,5,8) + TIME(17,5,0)</f>
        <v>41402.711805555555</v>
      </c>
      <c r="C2012">
        <v>80</v>
      </c>
      <c r="D2012">
        <v>79.982147217000005</v>
      </c>
      <c r="E2012">
        <v>50</v>
      </c>
      <c r="F2012">
        <v>49.591808319000002</v>
      </c>
      <c r="G2012">
        <v>1336.5191649999999</v>
      </c>
      <c r="H2012">
        <v>1334.7929687999999</v>
      </c>
      <c r="I2012">
        <v>1328.9793701000001</v>
      </c>
      <c r="J2012">
        <v>1328.1555175999999</v>
      </c>
      <c r="K2012">
        <v>2400</v>
      </c>
      <c r="L2012">
        <v>0</v>
      </c>
      <c r="M2012">
        <v>0</v>
      </c>
      <c r="N2012">
        <v>2400</v>
      </c>
    </row>
    <row r="2013" spans="1:14" x14ac:dyDescent="0.25">
      <c r="A2013">
        <v>1103.9511030000001</v>
      </c>
      <c r="B2013" s="1">
        <f>DATE(2013,5,8) + TIME(22,49,35)</f>
        <v>41402.951099537036</v>
      </c>
      <c r="C2013">
        <v>80</v>
      </c>
      <c r="D2013">
        <v>79.982101439999994</v>
      </c>
      <c r="E2013">
        <v>50</v>
      </c>
      <c r="F2013">
        <v>49.581684113000001</v>
      </c>
      <c r="G2013">
        <v>1336.5147704999999</v>
      </c>
      <c r="H2013">
        <v>1334.7932129000001</v>
      </c>
      <c r="I2013">
        <v>1328.9753418</v>
      </c>
      <c r="J2013">
        <v>1328.1496582</v>
      </c>
      <c r="K2013">
        <v>2400</v>
      </c>
      <c r="L2013">
        <v>0</v>
      </c>
      <c r="M2013">
        <v>0</v>
      </c>
      <c r="N2013">
        <v>2400</v>
      </c>
    </row>
    <row r="2014" spans="1:14" x14ac:dyDescent="0.25">
      <c r="A2014">
        <v>1104.1916349999999</v>
      </c>
      <c r="B2014" s="1">
        <f>DATE(2013,5,9) + TIME(4,35,57)</f>
        <v>41403.191631944443</v>
      </c>
      <c r="C2014">
        <v>80</v>
      </c>
      <c r="D2014">
        <v>79.982048035000005</v>
      </c>
      <c r="E2014">
        <v>50</v>
      </c>
      <c r="F2014">
        <v>49.571537018000001</v>
      </c>
      <c r="G2014">
        <v>1336.510376</v>
      </c>
      <c r="H2014">
        <v>1334.7935791</v>
      </c>
      <c r="I2014">
        <v>1328.9713135</v>
      </c>
      <c r="J2014">
        <v>1328.1439209</v>
      </c>
      <c r="K2014">
        <v>2400</v>
      </c>
      <c r="L2014">
        <v>0</v>
      </c>
      <c r="M2014">
        <v>0</v>
      </c>
      <c r="N2014">
        <v>2400</v>
      </c>
    </row>
    <row r="2015" spans="1:14" x14ac:dyDescent="0.25">
      <c r="A2015">
        <v>1104.4342449999999</v>
      </c>
      <c r="B2015" s="1">
        <f>DATE(2013,5,9) + TIME(10,25,18)</f>
        <v>41403.434236111112</v>
      </c>
      <c r="C2015">
        <v>80</v>
      </c>
      <c r="D2015">
        <v>79.982002257999994</v>
      </c>
      <c r="E2015">
        <v>50</v>
      </c>
      <c r="F2015">
        <v>49.561340332</v>
      </c>
      <c r="G2015">
        <v>1336.5061035000001</v>
      </c>
      <c r="H2015">
        <v>1334.7939452999999</v>
      </c>
      <c r="I2015">
        <v>1328.9671631000001</v>
      </c>
      <c r="J2015">
        <v>1328.1379394999999</v>
      </c>
      <c r="K2015">
        <v>2400</v>
      </c>
      <c r="L2015">
        <v>0</v>
      </c>
      <c r="M2015">
        <v>0</v>
      </c>
      <c r="N2015">
        <v>2400</v>
      </c>
    </row>
    <row r="2016" spans="1:14" x14ac:dyDescent="0.25">
      <c r="A2016">
        <v>1104.679774</v>
      </c>
      <c r="B2016" s="1">
        <f>DATE(2013,5,9) + TIME(16,18,52)</f>
        <v>41403.679768518516</v>
      </c>
      <c r="C2016">
        <v>80</v>
      </c>
      <c r="D2016">
        <v>79.981956482000001</v>
      </c>
      <c r="E2016">
        <v>50</v>
      </c>
      <c r="F2016">
        <v>49.551071167000003</v>
      </c>
      <c r="G2016">
        <v>1336.5020752</v>
      </c>
      <c r="H2016">
        <v>1334.7943115</v>
      </c>
      <c r="I2016">
        <v>1328.9631348</v>
      </c>
      <c r="J2016">
        <v>1328.1320800999999</v>
      </c>
      <c r="K2016">
        <v>2400</v>
      </c>
      <c r="L2016">
        <v>0</v>
      </c>
      <c r="M2016">
        <v>0</v>
      </c>
      <c r="N2016">
        <v>2400</v>
      </c>
    </row>
    <row r="2017" spans="1:14" x14ac:dyDescent="0.25">
      <c r="A2017">
        <v>1104.929085</v>
      </c>
      <c r="B2017" s="1">
        <f>DATE(2013,5,9) + TIME(22,17,52)</f>
        <v>41403.929074074076</v>
      </c>
      <c r="C2017">
        <v>80</v>
      </c>
      <c r="D2017">
        <v>79.981910705999994</v>
      </c>
      <c r="E2017">
        <v>50</v>
      </c>
      <c r="F2017">
        <v>49.54070282</v>
      </c>
      <c r="G2017">
        <v>1336.4979248</v>
      </c>
      <c r="H2017">
        <v>1334.7947998</v>
      </c>
      <c r="I2017">
        <v>1328.9588623</v>
      </c>
      <c r="J2017">
        <v>1328.1260986</v>
      </c>
      <c r="K2017">
        <v>2400</v>
      </c>
      <c r="L2017">
        <v>0</v>
      </c>
      <c r="M2017">
        <v>0</v>
      </c>
      <c r="N2017">
        <v>2400</v>
      </c>
    </row>
    <row r="2018" spans="1:14" x14ac:dyDescent="0.25">
      <c r="A2018">
        <v>1105.1830849999999</v>
      </c>
      <c r="B2018" s="1">
        <f>DATE(2013,5,10) + TIME(4,23,38)</f>
        <v>41404.183078703703</v>
      </c>
      <c r="C2018">
        <v>80</v>
      </c>
      <c r="D2018">
        <v>79.981864928999997</v>
      </c>
      <c r="E2018">
        <v>50</v>
      </c>
      <c r="F2018">
        <v>49.530208588000001</v>
      </c>
      <c r="G2018">
        <v>1336.4940185999999</v>
      </c>
      <c r="H2018">
        <v>1334.7951660000001</v>
      </c>
      <c r="I2018">
        <v>1328.9547118999999</v>
      </c>
      <c r="J2018">
        <v>1328.1199951000001</v>
      </c>
      <c r="K2018">
        <v>2400</v>
      </c>
      <c r="L2018">
        <v>0</v>
      </c>
      <c r="M2018">
        <v>0</v>
      </c>
      <c r="N2018">
        <v>2400</v>
      </c>
    </row>
    <row r="2019" spans="1:14" x14ac:dyDescent="0.25">
      <c r="A2019">
        <v>1105.4427069999999</v>
      </c>
      <c r="B2019" s="1">
        <f>DATE(2013,5,10) + TIME(10,37,29)</f>
        <v>41404.442696759259</v>
      </c>
      <c r="C2019">
        <v>80</v>
      </c>
      <c r="D2019">
        <v>79.981819153000004</v>
      </c>
      <c r="E2019">
        <v>50</v>
      </c>
      <c r="F2019">
        <v>49.519561768000003</v>
      </c>
      <c r="G2019">
        <v>1336.4901123</v>
      </c>
      <c r="H2019">
        <v>1334.7956543</v>
      </c>
      <c r="I2019">
        <v>1328.9504394999999</v>
      </c>
      <c r="J2019">
        <v>1328.1138916</v>
      </c>
      <c r="K2019">
        <v>2400</v>
      </c>
      <c r="L2019">
        <v>0</v>
      </c>
      <c r="M2019">
        <v>0</v>
      </c>
      <c r="N2019">
        <v>2400</v>
      </c>
    </row>
    <row r="2020" spans="1:14" x14ac:dyDescent="0.25">
      <c r="A2020">
        <v>1105.7089779999999</v>
      </c>
      <c r="B2020" s="1">
        <f>DATE(2013,5,10) + TIME(17,0,55)</f>
        <v>41404.708969907406</v>
      </c>
      <c r="C2020">
        <v>80</v>
      </c>
      <c r="D2020">
        <v>79.981773376000007</v>
      </c>
      <c r="E2020">
        <v>50</v>
      </c>
      <c r="F2020">
        <v>49.508724213000001</v>
      </c>
      <c r="G2020">
        <v>1336.4862060999999</v>
      </c>
      <c r="H2020">
        <v>1334.7961425999999</v>
      </c>
      <c r="I2020">
        <v>1328.9460449000001</v>
      </c>
      <c r="J2020">
        <v>1328.1075439000001</v>
      </c>
      <c r="K2020">
        <v>2400</v>
      </c>
      <c r="L2020">
        <v>0</v>
      </c>
      <c r="M2020">
        <v>0</v>
      </c>
      <c r="N2020">
        <v>2400</v>
      </c>
    </row>
    <row r="2021" spans="1:14" x14ac:dyDescent="0.25">
      <c r="A2021">
        <v>1105.9831119999999</v>
      </c>
      <c r="B2021" s="1">
        <f>DATE(2013,5,10) + TIME(23,35,40)</f>
        <v>41404.983101851853</v>
      </c>
      <c r="C2021">
        <v>80</v>
      </c>
      <c r="D2021">
        <v>79.981727599999999</v>
      </c>
      <c r="E2021">
        <v>50</v>
      </c>
      <c r="F2021">
        <v>49.497661591000004</v>
      </c>
      <c r="G2021">
        <v>1336.4822998</v>
      </c>
      <c r="H2021">
        <v>1334.7966309000001</v>
      </c>
      <c r="I2021">
        <v>1328.9415283000001</v>
      </c>
      <c r="J2021">
        <v>1328.1011963000001</v>
      </c>
      <c r="K2021">
        <v>2400</v>
      </c>
      <c r="L2021">
        <v>0</v>
      </c>
      <c r="M2021">
        <v>0</v>
      </c>
      <c r="N2021">
        <v>2400</v>
      </c>
    </row>
    <row r="2022" spans="1:14" x14ac:dyDescent="0.25">
      <c r="A2022">
        <v>1106.2664090000001</v>
      </c>
      <c r="B2022" s="1">
        <f>DATE(2013,5,11) + TIME(6,23,37)</f>
        <v>41405.266400462962</v>
      </c>
      <c r="C2022">
        <v>80</v>
      </c>
      <c r="D2022">
        <v>79.981681824000006</v>
      </c>
      <c r="E2022">
        <v>50</v>
      </c>
      <c r="F2022">
        <v>49.486331939999999</v>
      </c>
      <c r="G2022">
        <v>1336.4785156</v>
      </c>
      <c r="H2022">
        <v>1334.7971190999999</v>
      </c>
      <c r="I2022">
        <v>1328.9370117000001</v>
      </c>
      <c r="J2022">
        <v>1328.0946045000001</v>
      </c>
      <c r="K2022">
        <v>2400</v>
      </c>
      <c r="L2022">
        <v>0</v>
      </c>
      <c r="M2022">
        <v>0</v>
      </c>
      <c r="N2022">
        <v>2400</v>
      </c>
    </row>
    <row r="2023" spans="1:14" x14ac:dyDescent="0.25">
      <c r="A2023">
        <v>1106.5608480000001</v>
      </c>
      <c r="B2023" s="1">
        <f>DATE(2013,5,11) + TIME(13,27,37)</f>
        <v>41405.560844907406</v>
      </c>
      <c r="C2023">
        <v>80</v>
      </c>
      <c r="D2023">
        <v>79.981636046999995</v>
      </c>
      <c r="E2023">
        <v>50</v>
      </c>
      <c r="F2023">
        <v>49.474666595000002</v>
      </c>
      <c r="G2023">
        <v>1336.4746094</v>
      </c>
      <c r="H2023">
        <v>1334.7976074000001</v>
      </c>
      <c r="I2023">
        <v>1328.932251</v>
      </c>
      <c r="J2023">
        <v>1328.0877685999999</v>
      </c>
      <c r="K2023">
        <v>2400</v>
      </c>
      <c r="L2023">
        <v>0</v>
      </c>
      <c r="M2023">
        <v>0</v>
      </c>
      <c r="N2023">
        <v>2400</v>
      </c>
    </row>
    <row r="2024" spans="1:14" x14ac:dyDescent="0.25">
      <c r="A2024">
        <v>1106.8695729999999</v>
      </c>
      <c r="B2024" s="1">
        <f>DATE(2013,5,11) + TIME(20,52,11)</f>
        <v>41405.869571759256</v>
      </c>
      <c r="C2024">
        <v>80</v>
      </c>
      <c r="D2024">
        <v>79.981590271000002</v>
      </c>
      <c r="E2024">
        <v>50</v>
      </c>
      <c r="F2024">
        <v>49.46257782</v>
      </c>
      <c r="G2024">
        <v>1336.4708252</v>
      </c>
      <c r="H2024">
        <v>1334.7980957</v>
      </c>
      <c r="I2024">
        <v>1328.9273682</v>
      </c>
      <c r="J2024">
        <v>1328.0806885</v>
      </c>
      <c r="K2024">
        <v>2400</v>
      </c>
      <c r="L2024">
        <v>0</v>
      </c>
      <c r="M2024">
        <v>0</v>
      </c>
      <c r="N2024">
        <v>2400</v>
      </c>
    </row>
    <row r="2025" spans="1:14" x14ac:dyDescent="0.25">
      <c r="A2025">
        <v>1107.1888550000001</v>
      </c>
      <c r="B2025" s="1">
        <f>DATE(2013,5,12) + TIME(4,31,57)</f>
        <v>41406.188854166663</v>
      </c>
      <c r="C2025">
        <v>80</v>
      </c>
      <c r="D2025">
        <v>79.981544494999994</v>
      </c>
      <c r="E2025">
        <v>50</v>
      </c>
      <c r="F2025">
        <v>49.450164794999999</v>
      </c>
      <c r="G2025">
        <v>1336.4669189000001</v>
      </c>
      <c r="H2025">
        <v>1334.7987060999999</v>
      </c>
      <c r="I2025">
        <v>1328.9222411999999</v>
      </c>
      <c r="J2025">
        <v>1328.0733643000001</v>
      </c>
      <c r="K2025">
        <v>2400</v>
      </c>
      <c r="L2025">
        <v>0</v>
      </c>
      <c r="M2025">
        <v>0</v>
      </c>
      <c r="N2025">
        <v>2400</v>
      </c>
    </row>
    <row r="2026" spans="1:14" x14ac:dyDescent="0.25">
      <c r="A2026">
        <v>1107.524253</v>
      </c>
      <c r="B2026" s="1">
        <f>DATE(2013,5,12) + TIME(12,34,55)</f>
        <v>41406.524247685185</v>
      </c>
      <c r="C2026">
        <v>80</v>
      </c>
      <c r="D2026">
        <v>79.981491089000002</v>
      </c>
      <c r="E2026">
        <v>50</v>
      </c>
      <c r="F2026">
        <v>49.437271117999998</v>
      </c>
      <c r="G2026">
        <v>1336.4630127</v>
      </c>
      <c r="H2026">
        <v>1334.7993164</v>
      </c>
      <c r="I2026">
        <v>1328.9169922000001</v>
      </c>
      <c r="J2026">
        <v>1328.0657959</v>
      </c>
      <c r="K2026">
        <v>2400</v>
      </c>
      <c r="L2026">
        <v>0</v>
      </c>
      <c r="M2026">
        <v>0</v>
      </c>
      <c r="N2026">
        <v>2400</v>
      </c>
    </row>
    <row r="2027" spans="1:14" x14ac:dyDescent="0.25">
      <c r="A2027">
        <v>1107.8757009999999</v>
      </c>
      <c r="B2027" s="1">
        <f>DATE(2013,5,12) + TIME(21,1,0)</f>
        <v>41406.875694444447</v>
      </c>
      <c r="C2027">
        <v>80</v>
      </c>
      <c r="D2027">
        <v>79.981445312000005</v>
      </c>
      <c r="E2027">
        <v>50</v>
      </c>
      <c r="F2027">
        <v>49.423892975000001</v>
      </c>
      <c r="G2027">
        <v>1336.4589844</v>
      </c>
      <c r="H2027">
        <v>1334.7999268000001</v>
      </c>
      <c r="I2027">
        <v>1328.911499</v>
      </c>
      <c r="J2027">
        <v>1328.0579834</v>
      </c>
      <c r="K2027">
        <v>2400</v>
      </c>
      <c r="L2027">
        <v>0</v>
      </c>
      <c r="M2027">
        <v>0</v>
      </c>
      <c r="N2027">
        <v>2400</v>
      </c>
    </row>
    <row r="2028" spans="1:14" x14ac:dyDescent="0.25">
      <c r="A2028">
        <v>1108.2313979999999</v>
      </c>
      <c r="B2028" s="1">
        <f>DATE(2013,5,13) + TIME(5,33,12)</f>
        <v>41407.231388888889</v>
      </c>
      <c r="C2028">
        <v>80</v>
      </c>
      <c r="D2028">
        <v>79.981399535999998</v>
      </c>
      <c r="E2028">
        <v>50</v>
      </c>
      <c r="F2028">
        <v>49.410350800000003</v>
      </c>
      <c r="G2028">
        <v>1336.4549560999999</v>
      </c>
      <c r="H2028">
        <v>1334.8005370999999</v>
      </c>
      <c r="I2028">
        <v>1328.9058838000001</v>
      </c>
      <c r="J2028">
        <v>1328.0498047000001</v>
      </c>
      <c r="K2028">
        <v>2400</v>
      </c>
      <c r="L2028">
        <v>0</v>
      </c>
      <c r="M2028">
        <v>0</v>
      </c>
      <c r="N2028">
        <v>2400</v>
      </c>
    </row>
    <row r="2029" spans="1:14" x14ac:dyDescent="0.25">
      <c r="A2029">
        <v>1108.411564</v>
      </c>
      <c r="B2029" s="1">
        <f>DATE(2013,5,13) + TIME(9,52,39)</f>
        <v>41407.411562499998</v>
      </c>
      <c r="C2029">
        <v>80</v>
      </c>
      <c r="D2029">
        <v>79.981361389</v>
      </c>
      <c r="E2029">
        <v>50</v>
      </c>
      <c r="F2029">
        <v>49.402408600000001</v>
      </c>
      <c r="G2029">
        <v>1336.4510498</v>
      </c>
      <c r="H2029">
        <v>1334.8012695</v>
      </c>
      <c r="I2029">
        <v>1328.9005127</v>
      </c>
      <c r="J2029">
        <v>1328.0423584</v>
      </c>
      <c r="K2029">
        <v>2400</v>
      </c>
      <c r="L2029">
        <v>0</v>
      </c>
      <c r="M2029">
        <v>0</v>
      </c>
      <c r="N2029">
        <v>2400</v>
      </c>
    </row>
    <row r="2030" spans="1:14" x14ac:dyDescent="0.25">
      <c r="A2030">
        <v>1108.7718970000001</v>
      </c>
      <c r="B2030" s="1">
        <f>DATE(2013,5,13) + TIME(18,31,31)</f>
        <v>41407.771886574075</v>
      </c>
      <c r="C2030">
        <v>80</v>
      </c>
      <c r="D2030">
        <v>79.981315613000007</v>
      </c>
      <c r="E2030">
        <v>50</v>
      </c>
      <c r="F2030">
        <v>49.389022826999998</v>
      </c>
      <c r="G2030">
        <v>1336.4490966999999</v>
      </c>
      <c r="H2030">
        <v>1334.8016356999999</v>
      </c>
      <c r="I2030">
        <v>1328.8968506000001</v>
      </c>
      <c r="J2030">
        <v>1328.0368652</v>
      </c>
      <c r="K2030">
        <v>2400</v>
      </c>
      <c r="L2030">
        <v>0</v>
      </c>
      <c r="M2030">
        <v>0</v>
      </c>
      <c r="N2030">
        <v>2400</v>
      </c>
    </row>
    <row r="2031" spans="1:14" x14ac:dyDescent="0.25">
      <c r="A2031">
        <v>1109.132656</v>
      </c>
      <c r="B2031" s="1">
        <f>DATE(2013,5,14) + TIME(3,11,1)</f>
        <v>41408.132650462961</v>
      </c>
      <c r="C2031">
        <v>80</v>
      </c>
      <c r="D2031">
        <v>79.981269835999996</v>
      </c>
      <c r="E2031">
        <v>50</v>
      </c>
      <c r="F2031">
        <v>49.375553130999997</v>
      </c>
      <c r="G2031">
        <v>1336.4453125</v>
      </c>
      <c r="H2031">
        <v>1334.8022461</v>
      </c>
      <c r="I2031">
        <v>1328.8911132999999</v>
      </c>
      <c r="J2031">
        <v>1328.0286865</v>
      </c>
      <c r="K2031">
        <v>2400</v>
      </c>
      <c r="L2031">
        <v>0</v>
      </c>
      <c r="M2031">
        <v>0</v>
      </c>
      <c r="N2031">
        <v>2400</v>
      </c>
    </row>
    <row r="2032" spans="1:14" x14ac:dyDescent="0.25">
      <c r="A2032">
        <v>1109.4957669999999</v>
      </c>
      <c r="B2032" s="1">
        <f>DATE(2013,5,14) + TIME(11,53,54)</f>
        <v>41408.495763888888</v>
      </c>
      <c r="C2032">
        <v>80</v>
      </c>
      <c r="D2032">
        <v>79.981224060000002</v>
      </c>
      <c r="E2032">
        <v>50</v>
      </c>
      <c r="F2032">
        <v>49.361999511999997</v>
      </c>
      <c r="G2032">
        <v>1336.4417725000001</v>
      </c>
      <c r="H2032">
        <v>1334.8029785000001</v>
      </c>
      <c r="I2032">
        <v>1328.885376</v>
      </c>
      <c r="J2032">
        <v>1328.0203856999999</v>
      </c>
      <c r="K2032">
        <v>2400</v>
      </c>
      <c r="L2032">
        <v>0</v>
      </c>
      <c r="M2032">
        <v>0</v>
      </c>
      <c r="N2032">
        <v>2400</v>
      </c>
    </row>
    <row r="2033" spans="1:14" x14ac:dyDescent="0.25">
      <c r="A2033">
        <v>1109.8628699999999</v>
      </c>
      <c r="B2033" s="1">
        <f>DATE(2013,5,14) + TIME(20,42,31)</f>
        <v>41408.862858796296</v>
      </c>
      <c r="C2033">
        <v>80</v>
      </c>
      <c r="D2033">
        <v>79.981185913000004</v>
      </c>
      <c r="E2033">
        <v>50</v>
      </c>
      <c r="F2033">
        <v>49.348339080999999</v>
      </c>
      <c r="G2033">
        <v>1336.4382324000001</v>
      </c>
      <c r="H2033">
        <v>1334.8037108999999</v>
      </c>
      <c r="I2033">
        <v>1328.8795166</v>
      </c>
      <c r="J2033">
        <v>1328.0120850000001</v>
      </c>
      <c r="K2033">
        <v>2400</v>
      </c>
      <c r="L2033">
        <v>0</v>
      </c>
      <c r="M2033">
        <v>0</v>
      </c>
      <c r="N2033">
        <v>2400</v>
      </c>
    </row>
    <row r="2034" spans="1:14" x14ac:dyDescent="0.25">
      <c r="A2034">
        <v>1110.2356239999999</v>
      </c>
      <c r="B2034" s="1">
        <f>DATE(2013,5,15) + TIME(5,39,17)</f>
        <v>41409.235613425924</v>
      </c>
      <c r="C2034">
        <v>80</v>
      </c>
      <c r="D2034">
        <v>79.981140136999997</v>
      </c>
      <c r="E2034">
        <v>50</v>
      </c>
      <c r="F2034">
        <v>49.334545134999999</v>
      </c>
      <c r="G2034">
        <v>1336.4346923999999</v>
      </c>
      <c r="H2034">
        <v>1334.8043213000001</v>
      </c>
      <c r="I2034">
        <v>1328.8736572</v>
      </c>
      <c r="J2034">
        <v>1328.0036620999999</v>
      </c>
      <c r="K2034">
        <v>2400</v>
      </c>
      <c r="L2034">
        <v>0</v>
      </c>
      <c r="M2034">
        <v>0</v>
      </c>
      <c r="N2034">
        <v>2400</v>
      </c>
    </row>
    <row r="2035" spans="1:14" x14ac:dyDescent="0.25">
      <c r="A2035">
        <v>1110.615859</v>
      </c>
      <c r="B2035" s="1">
        <f>DATE(2013,5,15) + TIME(14,46,50)</f>
        <v>41409.615856481483</v>
      </c>
      <c r="C2035">
        <v>80</v>
      </c>
      <c r="D2035">
        <v>79.98109436</v>
      </c>
      <c r="E2035">
        <v>50</v>
      </c>
      <c r="F2035">
        <v>49.320579529</v>
      </c>
      <c r="G2035">
        <v>1336.4313964999999</v>
      </c>
      <c r="H2035">
        <v>1334.8050536999999</v>
      </c>
      <c r="I2035">
        <v>1328.8676757999999</v>
      </c>
      <c r="J2035">
        <v>1327.9951172000001</v>
      </c>
      <c r="K2035">
        <v>2400</v>
      </c>
      <c r="L2035">
        <v>0</v>
      </c>
      <c r="M2035">
        <v>0</v>
      </c>
      <c r="N2035">
        <v>2400</v>
      </c>
    </row>
    <row r="2036" spans="1:14" x14ac:dyDescent="0.25">
      <c r="A2036">
        <v>1111.005598</v>
      </c>
      <c r="B2036" s="1">
        <f>DATE(2013,5,16) + TIME(0,8,3)</f>
        <v>41410.005590277775</v>
      </c>
      <c r="C2036">
        <v>80</v>
      </c>
      <c r="D2036">
        <v>79.981048584000007</v>
      </c>
      <c r="E2036">
        <v>50</v>
      </c>
      <c r="F2036">
        <v>49.306392670000001</v>
      </c>
      <c r="G2036">
        <v>1336.4279785000001</v>
      </c>
      <c r="H2036">
        <v>1334.8056641000001</v>
      </c>
      <c r="I2036">
        <v>1328.8616943</v>
      </c>
      <c r="J2036">
        <v>1327.9864502</v>
      </c>
      <c r="K2036">
        <v>2400</v>
      </c>
      <c r="L2036">
        <v>0</v>
      </c>
      <c r="M2036">
        <v>0</v>
      </c>
      <c r="N2036">
        <v>2400</v>
      </c>
    </row>
    <row r="2037" spans="1:14" x14ac:dyDescent="0.25">
      <c r="A2037">
        <v>1111.4067930000001</v>
      </c>
      <c r="B2037" s="1">
        <f>DATE(2013,5,16) + TIME(9,45,46)</f>
        <v>41410.406782407408</v>
      </c>
      <c r="C2037">
        <v>80</v>
      </c>
      <c r="D2037">
        <v>79.981002808</v>
      </c>
      <c r="E2037">
        <v>50</v>
      </c>
      <c r="F2037">
        <v>49.291934967000003</v>
      </c>
      <c r="G2037">
        <v>1336.4246826000001</v>
      </c>
      <c r="H2037">
        <v>1334.8063964999999</v>
      </c>
      <c r="I2037">
        <v>1328.8554687999999</v>
      </c>
      <c r="J2037">
        <v>1327.9775391000001</v>
      </c>
      <c r="K2037">
        <v>2400</v>
      </c>
      <c r="L2037">
        <v>0</v>
      </c>
      <c r="M2037">
        <v>0</v>
      </c>
      <c r="N2037">
        <v>2400</v>
      </c>
    </row>
    <row r="2038" spans="1:14" x14ac:dyDescent="0.25">
      <c r="A2038">
        <v>1111.821635</v>
      </c>
      <c r="B2038" s="1">
        <f>DATE(2013,5,16) + TIME(19,43,9)</f>
        <v>41410.821631944447</v>
      </c>
      <c r="C2038">
        <v>80</v>
      </c>
      <c r="D2038">
        <v>79.980964661000002</v>
      </c>
      <c r="E2038">
        <v>50</v>
      </c>
      <c r="F2038">
        <v>49.277145386000001</v>
      </c>
      <c r="G2038">
        <v>1336.4213867000001</v>
      </c>
      <c r="H2038">
        <v>1334.8070068</v>
      </c>
      <c r="I2038">
        <v>1328.8492432</v>
      </c>
      <c r="J2038">
        <v>1327.9685059000001</v>
      </c>
      <c r="K2038">
        <v>2400</v>
      </c>
      <c r="L2038">
        <v>0</v>
      </c>
      <c r="M2038">
        <v>0</v>
      </c>
      <c r="N2038">
        <v>2400</v>
      </c>
    </row>
    <row r="2039" spans="1:14" x14ac:dyDescent="0.25">
      <c r="A2039">
        <v>1112.252596</v>
      </c>
      <c r="B2039" s="1">
        <f>DATE(2013,5,17) + TIME(6,3,44)</f>
        <v>41411.252592592595</v>
      </c>
      <c r="C2039">
        <v>80</v>
      </c>
      <c r="D2039">
        <v>79.980918884000005</v>
      </c>
      <c r="E2039">
        <v>50</v>
      </c>
      <c r="F2039">
        <v>49.261955260999997</v>
      </c>
      <c r="G2039">
        <v>1336.4179687999999</v>
      </c>
      <c r="H2039">
        <v>1334.8077393000001</v>
      </c>
      <c r="I2039">
        <v>1328.8427733999999</v>
      </c>
      <c r="J2039">
        <v>1327.9592285000001</v>
      </c>
      <c r="K2039">
        <v>2400</v>
      </c>
      <c r="L2039">
        <v>0</v>
      </c>
      <c r="M2039">
        <v>0</v>
      </c>
      <c r="N2039">
        <v>2400</v>
      </c>
    </row>
    <row r="2040" spans="1:14" x14ac:dyDescent="0.25">
      <c r="A2040">
        <v>1112.70201</v>
      </c>
      <c r="B2040" s="1">
        <f>DATE(2013,5,17) + TIME(16,50,53)</f>
        <v>41411.702002314814</v>
      </c>
      <c r="C2040">
        <v>80</v>
      </c>
      <c r="D2040">
        <v>79.980873107999997</v>
      </c>
      <c r="E2040">
        <v>50</v>
      </c>
      <c r="F2040">
        <v>49.246307373</v>
      </c>
      <c r="G2040">
        <v>1336.4146728999999</v>
      </c>
      <c r="H2040">
        <v>1334.8084716999999</v>
      </c>
      <c r="I2040">
        <v>1328.8360596</v>
      </c>
      <c r="J2040">
        <v>1327.9495850000001</v>
      </c>
      <c r="K2040">
        <v>2400</v>
      </c>
      <c r="L2040">
        <v>0</v>
      </c>
      <c r="M2040">
        <v>0</v>
      </c>
      <c r="N2040">
        <v>2400</v>
      </c>
    </row>
    <row r="2041" spans="1:14" x14ac:dyDescent="0.25">
      <c r="A2041">
        <v>1113.168578</v>
      </c>
      <c r="B2041" s="1">
        <f>DATE(2013,5,18) + TIME(4,2,45)</f>
        <v>41412.168576388889</v>
      </c>
      <c r="C2041">
        <v>80</v>
      </c>
      <c r="D2041">
        <v>79.980827332000004</v>
      </c>
      <c r="E2041">
        <v>50</v>
      </c>
      <c r="F2041">
        <v>49.230213165000002</v>
      </c>
      <c r="G2041">
        <v>1336.4112548999999</v>
      </c>
      <c r="H2041">
        <v>1334.8092041</v>
      </c>
      <c r="I2041">
        <v>1328.8291016000001</v>
      </c>
      <c r="J2041">
        <v>1327.9396973</v>
      </c>
      <c r="K2041">
        <v>2400</v>
      </c>
      <c r="L2041">
        <v>0</v>
      </c>
      <c r="M2041">
        <v>0</v>
      </c>
      <c r="N2041">
        <v>2400</v>
      </c>
    </row>
    <row r="2042" spans="1:14" x14ac:dyDescent="0.25">
      <c r="A2042">
        <v>1113.663671</v>
      </c>
      <c r="B2042" s="1">
        <f>DATE(2013,5,18) + TIME(15,55,41)</f>
        <v>41412.663668981484</v>
      </c>
      <c r="C2042">
        <v>80</v>
      </c>
      <c r="D2042">
        <v>79.980789185000006</v>
      </c>
      <c r="E2042">
        <v>50</v>
      </c>
      <c r="F2042">
        <v>49.213424683</v>
      </c>
      <c r="G2042">
        <v>1336.4079589999999</v>
      </c>
      <c r="H2042">
        <v>1334.8099365</v>
      </c>
      <c r="I2042">
        <v>1328.8218993999999</v>
      </c>
      <c r="J2042">
        <v>1327.9294434000001</v>
      </c>
      <c r="K2042">
        <v>2400</v>
      </c>
      <c r="L2042">
        <v>0</v>
      </c>
      <c r="M2042">
        <v>0</v>
      </c>
      <c r="N2042">
        <v>2400</v>
      </c>
    </row>
    <row r="2043" spans="1:14" x14ac:dyDescent="0.25">
      <c r="A2043">
        <v>1114.1706999999999</v>
      </c>
      <c r="B2043" s="1">
        <f>DATE(2013,5,19) + TIME(4,5,48)</f>
        <v>41413.170694444445</v>
      </c>
      <c r="C2043">
        <v>80</v>
      </c>
      <c r="D2043">
        <v>79.980743407999995</v>
      </c>
      <c r="E2043">
        <v>50</v>
      </c>
      <c r="F2043">
        <v>49.196266174000002</v>
      </c>
      <c r="G2043">
        <v>1336.4044189000001</v>
      </c>
      <c r="H2043">
        <v>1334.8106689000001</v>
      </c>
      <c r="I2043">
        <v>1328.8144531</v>
      </c>
      <c r="J2043">
        <v>1327.9187012</v>
      </c>
      <c r="K2043">
        <v>2400</v>
      </c>
      <c r="L2043">
        <v>0</v>
      </c>
      <c r="M2043">
        <v>0</v>
      </c>
      <c r="N2043">
        <v>2400</v>
      </c>
    </row>
    <row r="2044" spans="1:14" x14ac:dyDescent="0.25">
      <c r="A2044">
        <v>1114.6828929999999</v>
      </c>
      <c r="B2044" s="1">
        <f>DATE(2013,5,19) + TIME(16,23,21)</f>
        <v>41413.682881944442</v>
      </c>
      <c r="C2044">
        <v>80</v>
      </c>
      <c r="D2044">
        <v>79.980697632000002</v>
      </c>
      <c r="E2044">
        <v>50</v>
      </c>
      <c r="F2044">
        <v>49.178920746000003</v>
      </c>
      <c r="G2044">
        <v>1336.401001</v>
      </c>
      <c r="H2044">
        <v>1334.8115233999999</v>
      </c>
      <c r="I2044">
        <v>1328.8068848</v>
      </c>
      <c r="J2044">
        <v>1327.9078368999999</v>
      </c>
      <c r="K2044">
        <v>2400</v>
      </c>
      <c r="L2044">
        <v>0</v>
      </c>
      <c r="M2044">
        <v>0</v>
      </c>
      <c r="N2044">
        <v>2400</v>
      </c>
    </row>
    <row r="2045" spans="1:14" x14ac:dyDescent="0.25">
      <c r="A2045">
        <v>1115.2019339999999</v>
      </c>
      <c r="B2045" s="1">
        <f>DATE(2013,5,20) + TIME(4,50,47)</f>
        <v>41414.201932870368</v>
      </c>
      <c r="C2045">
        <v>80</v>
      </c>
      <c r="D2045">
        <v>79.980651855000005</v>
      </c>
      <c r="E2045">
        <v>50</v>
      </c>
      <c r="F2045">
        <v>49.161415099999999</v>
      </c>
      <c r="G2045">
        <v>1336.3977050999999</v>
      </c>
      <c r="H2045">
        <v>1334.8122559000001</v>
      </c>
      <c r="I2045">
        <v>1328.7990723</v>
      </c>
      <c r="J2045">
        <v>1327.8968506000001</v>
      </c>
      <c r="K2045">
        <v>2400</v>
      </c>
      <c r="L2045">
        <v>0</v>
      </c>
      <c r="M2045">
        <v>0</v>
      </c>
      <c r="N2045">
        <v>2400</v>
      </c>
    </row>
    <row r="2046" spans="1:14" x14ac:dyDescent="0.25">
      <c r="A2046">
        <v>1115.7297100000001</v>
      </c>
      <c r="B2046" s="1">
        <f>DATE(2013,5,20) + TIME(17,30,46)</f>
        <v>41414.729699074072</v>
      </c>
      <c r="C2046">
        <v>80</v>
      </c>
      <c r="D2046">
        <v>79.980606078999998</v>
      </c>
      <c r="E2046">
        <v>50</v>
      </c>
      <c r="F2046">
        <v>49.143745422000002</v>
      </c>
      <c r="G2046">
        <v>1336.3944091999999</v>
      </c>
      <c r="H2046">
        <v>1334.8129882999999</v>
      </c>
      <c r="I2046">
        <v>1328.7913818</v>
      </c>
      <c r="J2046">
        <v>1327.8856201000001</v>
      </c>
      <c r="K2046">
        <v>2400</v>
      </c>
      <c r="L2046">
        <v>0</v>
      </c>
      <c r="M2046">
        <v>0</v>
      </c>
      <c r="N2046">
        <v>2400</v>
      </c>
    </row>
    <row r="2047" spans="1:14" x14ac:dyDescent="0.25">
      <c r="A2047">
        <v>1116.271702</v>
      </c>
      <c r="B2047" s="1">
        <f>DATE(2013,5,21) + TIME(6,31,15)</f>
        <v>41415.271701388891</v>
      </c>
      <c r="C2047">
        <v>80</v>
      </c>
      <c r="D2047">
        <v>79.980567932</v>
      </c>
      <c r="E2047">
        <v>50</v>
      </c>
      <c r="F2047">
        <v>49.125804901000002</v>
      </c>
      <c r="G2047">
        <v>1336.3912353999999</v>
      </c>
      <c r="H2047">
        <v>1334.8137207</v>
      </c>
      <c r="I2047">
        <v>1328.7834473</v>
      </c>
      <c r="J2047">
        <v>1327.8743896000001</v>
      </c>
      <c r="K2047">
        <v>2400</v>
      </c>
      <c r="L2047">
        <v>0</v>
      </c>
      <c r="M2047">
        <v>0</v>
      </c>
      <c r="N2047">
        <v>2400</v>
      </c>
    </row>
    <row r="2048" spans="1:14" x14ac:dyDescent="0.25">
      <c r="A2048">
        <v>1116.8171649999999</v>
      </c>
      <c r="B2048" s="1">
        <f>DATE(2013,5,21) + TIME(19,36,43)</f>
        <v>41415.817164351851</v>
      </c>
      <c r="C2048">
        <v>80</v>
      </c>
      <c r="D2048">
        <v>79.980522156000006</v>
      </c>
      <c r="E2048">
        <v>50</v>
      </c>
      <c r="F2048">
        <v>49.107810974000003</v>
      </c>
      <c r="G2048">
        <v>1336.3880615</v>
      </c>
      <c r="H2048">
        <v>1334.8144531</v>
      </c>
      <c r="I2048">
        <v>1328.7755127</v>
      </c>
      <c r="J2048">
        <v>1327.8629149999999</v>
      </c>
      <c r="K2048">
        <v>2400</v>
      </c>
      <c r="L2048">
        <v>0</v>
      </c>
      <c r="M2048">
        <v>0</v>
      </c>
      <c r="N2048">
        <v>2400</v>
      </c>
    </row>
    <row r="2049" spans="1:14" x14ac:dyDescent="0.25">
      <c r="A2049">
        <v>1117.369398</v>
      </c>
      <c r="B2049" s="1">
        <f>DATE(2013,5,22) + TIME(8,51,56)</f>
        <v>41416.369398148148</v>
      </c>
      <c r="C2049">
        <v>80</v>
      </c>
      <c r="D2049">
        <v>79.980484008999994</v>
      </c>
      <c r="E2049">
        <v>50</v>
      </c>
      <c r="F2049">
        <v>49.089733123999999</v>
      </c>
      <c r="G2049">
        <v>1336.3848877</v>
      </c>
      <c r="H2049">
        <v>1334.8151855000001</v>
      </c>
      <c r="I2049">
        <v>1328.7674560999999</v>
      </c>
      <c r="J2049">
        <v>1327.8514404</v>
      </c>
      <c r="K2049">
        <v>2400</v>
      </c>
      <c r="L2049">
        <v>0</v>
      </c>
      <c r="M2049">
        <v>0</v>
      </c>
      <c r="N2049">
        <v>2400</v>
      </c>
    </row>
    <row r="2050" spans="1:14" x14ac:dyDescent="0.25">
      <c r="A2050">
        <v>1117.9313950000001</v>
      </c>
      <c r="B2050" s="1">
        <f>DATE(2013,5,22) + TIME(22,21,12)</f>
        <v>41416.931388888886</v>
      </c>
      <c r="C2050">
        <v>80</v>
      </c>
      <c r="D2050">
        <v>79.980445861999996</v>
      </c>
      <c r="E2050">
        <v>50</v>
      </c>
      <c r="F2050">
        <v>49.071529388000002</v>
      </c>
      <c r="G2050">
        <v>1336.3819579999999</v>
      </c>
      <c r="H2050">
        <v>1334.815918</v>
      </c>
      <c r="I2050">
        <v>1328.7593993999999</v>
      </c>
      <c r="J2050">
        <v>1327.8398437999999</v>
      </c>
      <c r="K2050">
        <v>2400</v>
      </c>
      <c r="L2050">
        <v>0</v>
      </c>
      <c r="M2050">
        <v>0</v>
      </c>
      <c r="N2050">
        <v>2400</v>
      </c>
    </row>
    <row r="2051" spans="1:14" x14ac:dyDescent="0.25">
      <c r="A2051">
        <v>1118.506247</v>
      </c>
      <c r="B2051" s="1">
        <f>DATE(2013,5,23) + TIME(12,8,59)</f>
        <v>41417.506238425929</v>
      </c>
      <c r="C2051">
        <v>80</v>
      </c>
      <c r="D2051">
        <v>79.980407714999998</v>
      </c>
      <c r="E2051">
        <v>50</v>
      </c>
      <c r="F2051">
        <v>49.053127289000003</v>
      </c>
      <c r="G2051">
        <v>1336.3789062000001</v>
      </c>
      <c r="H2051">
        <v>1334.8165283000001</v>
      </c>
      <c r="I2051">
        <v>1328.7512207</v>
      </c>
      <c r="J2051">
        <v>1327.8282471</v>
      </c>
      <c r="K2051">
        <v>2400</v>
      </c>
      <c r="L2051">
        <v>0</v>
      </c>
      <c r="M2051">
        <v>0</v>
      </c>
      <c r="N2051">
        <v>2400</v>
      </c>
    </row>
    <row r="2052" spans="1:14" x14ac:dyDescent="0.25">
      <c r="A2052">
        <v>1119.0972790000001</v>
      </c>
      <c r="B2052" s="1">
        <f>DATE(2013,5,24) + TIME(2,20,4)</f>
        <v>41418.097268518519</v>
      </c>
      <c r="C2052">
        <v>80</v>
      </c>
      <c r="D2052">
        <v>79.980369568</v>
      </c>
      <c r="E2052">
        <v>50</v>
      </c>
      <c r="F2052">
        <v>49.03445816</v>
      </c>
      <c r="G2052">
        <v>1336.3759766000001</v>
      </c>
      <c r="H2052">
        <v>1334.8172606999999</v>
      </c>
      <c r="I2052">
        <v>1328.7429199000001</v>
      </c>
      <c r="J2052">
        <v>1327.8164062000001</v>
      </c>
      <c r="K2052">
        <v>2400</v>
      </c>
      <c r="L2052">
        <v>0</v>
      </c>
      <c r="M2052">
        <v>0</v>
      </c>
      <c r="N2052">
        <v>2400</v>
      </c>
    </row>
    <row r="2053" spans="1:14" x14ac:dyDescent="0.25">
      <c r="A2053">
        <v>1119.708187</v>
      </c>
      <c r="B2053" s="1">
        <f>DATE(2013,5,24) + TIME(16,59,47)</f>
        <v>41418.708182870374</v>
      </c>
      <c r="C2053">
        <v>80</v>
      </c>
      <c r="D2053">
        <v>79.980331421000002</v>
      </c>
      <c r="E2053">
        <v>50</v>
      </c>
      <c r="F2053">
        <v>49.015426636000001</v>
      </c>
      <c r="G2053">
        <v>1336.3730469</v>
      </c>
      <c r="H2053">
        <v>1334.8178711</v>
      </c>
      <c r="I2053">
        <v>1328.7344971</v>
      </c>
      <c r="J2053">
        <v>1327.8043213000001</v>
      </c>
      <c r="K2053">
        <v>2400</v>
      </c>
      <c r="L2053">
        <v>0</v>
      </c>
      <c r="M2053">
        <v>0</v>
      </c>
      <c r="N2053">
        <v>2400</v>
      </c>
    </row>
    <row r="2054" spans="1:14" x14ac:dyDescent="0.25">
      <c r="A2054">
        <v>1120.3468049999999</v>
      </c>
      <c r="B2054" s="1">
        <f>DATE(2013,5,25) + TIME(8,19,23)</f>
        <v>41419.34679398148</v>
      </c>
      <c r="C2054">
        <v>80</v>
      </c>
      <c r="D2054">
        <v>79.980293274000005</v>
      </c>
      <c r="E2054">
        <v>50</v>
      </c>
      <c r="F2054">
        <v>48.995872497999997</v>
      </c>
      <c r="G2054">
        <v>1336.3701172000001</v>
      </c>
      <c r="H2054">
        <v>1334.8186035000001</v>
      </c>
      <c r="I2054">
        <v>1328.7258300999999</v>
      </c>
      <c r="J2054">
        <v>1327.7918701000001</v>
      </c>
      <c r="K2054">
        <v>2400</v>
      </c>
      <c r="L2054">
        <v>0</v>
      </c>
      <c r="M2054">
        <v>0</v>
      </c>
      <c r="N2054">
        <v>2400</v>
      </c>
    </row>
    <row r="2055" spans="1:14" x14ac:dyDescent="0.25">
      <c r="A2055">
        <v>1121.0288419999999</v>
      </c>
      <c r="B2055" s="1">
        <f>DATE(2013,5,26) + TIME(0,41,31)</f>
        <v>41420.028831018521</v>
      </c>
      <c r="C2055">
        <v>80</v>
      </c>
      <c r="D2055">
        <v>79.980255127000007</v>
      </c>
      <c r="E2055">
        <v>50</v>
      </c>
      <c r="F2055">
        <v>48.975482941000003</v>
      </c>
      <c r="G2055">
        <v>1336.3670654</v>
      </c>
      <c r="H2055">
        <v>1334.8193358999999</v>
      </c>
      <c r="I2055">
        <v>1328.7167969</v>
      </c>
      <c r="J2055">
        <v>1327.7790527</v>
      </c>
      <c r="K2055">
        <v>2400</v>
      </c>
      <c r="L2055">
        <v>0</v>
      </c>
      <c r="M2055">
        <v>0</v>
      </c>
      <c r="N2055">
        <v>2400</v>
      </c>
    </row>
    <row r="2056" spans="1:14" x14ac:dyDescent="0.25">
      <c r="A2056">
        <v>1121.7306470000001</v>
      </c>
      <c r="B2056" s="1">
        <f>DATE(2013,5,26) + TIME(17,32,7)</f>
        <v>41420.730636574073</v>
      </c>
      <c r="C2056">
        <v>80</v>
      </c>
      <c r="D2056">
        <v>79.980209350999999</v>
      </c>
      <c r="E2056">
        <v>50</v>
      </c>
      <c r="F2056">
        <v>48.954540252999998</v>
      </c>
      <c r="G2056">
        <v>1336.3640137</v>
      </c>
      <c r="H2056">
        <v>1334.8199463000001</v>
      </c>
      <c r="I2056">
        <v>1328.7073975000001</v>
      </c>
      <c r="J2056">
        <v>1327.7657471</v>
      </c>
      <c r="K2056">
        <v>2400</v>
      </c>
      <c r="L2056">
        <v>0</v>
      </c>
      <c r="M2056">
        <v>0</v>
      </c>
      <c r="N2056">
        <v>2400</v>
      </c>
    </row>
    <row r="2057" spans="1:14" x14ac:dyDescent="0.25">
      <c r="A2057">
        <v>1122.457269</v>
      </c>
      <c r="B2057" s="1">
        <f>DATE(2013,5,27) + TIME(10,58,28)</f>
        <v>41421.457268518519</v>
      </c>
      <c r="C2057">
        <v>80</v>
      </c>
      <c r="D2057">
        <v>79.980171204000001</v>
      </c>
      <c r="E2057">
        <v>50</v>
      </c>
      <c r="F2057">
        <v>48.933044434000003</v>
      </c>
      <c r="G2057">
        <v>1336.3609618999999</v>
      </c>
      <c r="H2057">
        <v>1334.8206786999999</v>
      </c>
      <c r="I2057">
        <v>1328.6977539</v>
      </c>
      <c r="J2057">
        <v>1327.7519531</v>
      </c>
      <c r="K2057">
        <v>2400</v>
      </c>
      <c r="L2057">
        <v>0</v>
      </c>
      <c r="M2057">
        <v>0</v>
      </c>
      <c r="N2057">
        <v>2400</v>
      </c>
    </row>
    <row r="2058" spans="1:14" x14ac:dyDescent="0.25">
      <c r="A2058">
        <v>1123.225942</v>
      </c>
      <c r="B2058" s="1">
        <f>DATE(2013,5,28) + TIME(5,25,21)</f>
        <v>41422.225937499999</v>
      </c>
      <c r="C2058">
        <v>80</v>
      </c>
      <c r="D2058">
        <v>79.980133057000003</v>
      </c>
      <c r="E2058">
        <v>50</v>
      </c>
      <c r="F2058">
        <v>48.910743713000002</v>
      </c>
      <c r="G2058">
        <v>1336.3579102000001</v>
      </c>
      <c r="H2058">
        <v>1334.8214111</v>
      </c>
      <c r="I2058">
        <v>1328.6878661999999</v>
      </c>
      <c r="J2058">
        <v>1327.737793</v>
      </c>
      <c r="K2058">
        <v>2400</v>
      </c>
      <c r="L2058">
        <v>0</v>
      </c>
      <c r="M2058">
        <v>0</v>
      </c>
      <c r="N2058">
        <v>2400</v>
      </c>
    </row>
    <row r="2059" spans="1:14" x14ac:dyDescent="0.25">
      <c r="A2059">
        <v>1123.6141769999999</v>
      </c>
      <c r="B2059" s="1">
        <f>DATE(2013,5,28) + TIME(14,44,24)</f>
        <v>41422.614166666666</v>
      </c>
      <c r="C2059">
        <v>80</v>
      </c>
      <c r="D2059">
        <v>79.980102539000001</v>
      </c>
      <c r="E2059">
        <v>50</v>
      </c>
      <c r="F2059">
        <v>48.895881653000004</v>
      </c>
      <c r="G2059">
        <v>1336.3548584</v>
      </c>
      <c r="H2059">
        <v>1334.8221435999999</v>
      </c>
      <c r="I2059">
        <v>1328.6782227000001</v>
      </c>
      <c r="J2059">
        <v>1327.7242432</v>
      </c>
      <c r="K2059">
        <v>2400</v>
      </c>
      <c r="L2059">
        <v>0</v>
      </c>
      <c r="M2059">
        <v>0</v>
      </c>
      <c r="N2059">
        <v>2400</v>
      </c>
    </row>
    <row r="2060" spans="1:14" x14ac:dyDescent="0.25">
      <c r="A2060">
        <v>1124.002412</v>
      </c>
      <c r="B2060" s="1">
        <f>DATE(2013,5,29) + TIME(0,3,28)</f>
        <v>41423.00240740741</v>
      </c>
      <c r="C2060">
        <v>80</v>
      </c>
      <c r="D2060">
        <v>79.980079650999997</v>
      </c>
      <c r="E2060">
        <v>50</v>
      </c>
      <c r="F2060">
        <v>48.882091522000003</v>
      </c>
      <c r="G2060">
        <v>1336.3533935999999</v>
      </c>
      <c r="H2060">
        <v>1334.8225098</v>
      </c>
      <c r="I2060">
        <v>1328.6721190999999</v>
      </c>
      <c r="J2060">
        <v>1327.715332</v>
      </c>
      <c r="K2060">
        <v>2400</v>
      </c>
      <c r="L2060">
        <v>0</v>
      </c>
      <c r="M2060">
        <v>0</v>
      </c>
      <c r="N2060">
        <v>2400</v>
      </c>
    </row>
    <row r="2061" spans="1:14" x14ac:dyDescent="0.25">
      <c r="A2061">
        <v>1124.7788820000001</v>
      </c>
      <c r="B2061" s="1">
        <f>DATE(2013,5,29) + TIME(18,41,35)</f>
        <v>41423.778877314813</v>
      </c>
      <c r="C2061">
        <v>80</v>
      </c>
      <c r="D2061">
        <v>79.980056762999993</v>
      </c>
      <c r="E2061">
        <v>50</v>
      </c>
      <c r="F2061">
        <v>48.862236023000001</v>
      </c>
      <c r="G2061">
        <v>1336.3519286999999</v>
      </c>
      <c r="H2061">
        <v>1334.8227539</v>
      </c>
      <c r="I2061">
        <v>1328.6657714999999</v>
      </c>
      <c r="J2061">
        <v>1327.7059326000001</v>
      </c>
      <c r="K2061">
        <v>2400</v>
      </c>
      <c r="L2061">
        <v>0</v>
      </c>
      <c r="M2061">
        <v>0</v>
      </c>
      <c r="N2061">
        <v>2400</v>
      </c>
    </row>
    <row r="2062" spans="1:14" x14ac:dyDescent="0.25">
      <c r="A2062">
        <v>1125.5555770000001</v>
      </c>
      <c r="B2062" s="1">
        <f>DATE(2013,5,30) + TIME(13,20,1)</f>
        <v>41424.555567129632</v>
      </c>
      <c r="C2062">
        <v>80</v>
      </c>
      <c r="D2062">
        <v>79.980026245000005</v>
      </c>
      <c r="E2062">
        <v>50</v>
      </c>
      <c r="F2062">
        <v>48.841091155999997</v>
      </c>
      <c r="G2062">
        <v>1336.3488769999999</v>
      </c>
      <c r="H2062">
        <v>1334.8233643000001</v>
      </c>
      <c r="I2062">
        <v>1328.6561279</v>
      </c>
      <c r="J2062">
        <v>1327.6923827999999</v>
      </c>
      <c r="K2062">
        <v>2400</v>
      </c>
      <c r="L2062">
        <v>0</v>
      </c>
      <c r="M2062">
        <v>0</v>
      </c>
      <c r="N2062">
        <v>2400</v>
      </c>
    </row>
    <row r="2063" spans="1:14" x14ac:dyDescent="0.25">
      <c r="A2063">
        <v>1126.3409099999999</v>
      </c>
      <c r="B2063" s="1">
        <f>DATE(2013,5,31) + TIME(8,10,54)</f>
        <v>41425.340902777774</v>
      </c>
      <c r="C2063">
        <v>80</v>
      </c>
      <c r="D2063">
        <v>79.979988098000007</v>
      </c>
      <c r="E2063">
        <v>50</v>
      </c>
      <c r="F2063">
        <v>48.819259643999999</v>
      </c>
      <c r="G2063">
        <v>1336.3454589999999</v>
      </c>
      <c r="H2063">
        <v>1334.8237305</v>
      </c>
      <c r="I2063">
        <v>1328.6462402</v>
      </c>
      <c r="J2063">
        <v>1327.6782227000001</v>
      </c>
      <c r="K2063">
        <v>2400</v>
      </c>
      <c r="L2063">
        <v>0</v>
      </c>
      <c r="M2063">
        <v>0</v>
      </c>
      <c r="N2063">
        <v>2400</v>
      </c>
    </row>
    <row r="2064" spans="1:14" x14ac:dyDescent="0.25">
      <c r="A2064">
        <v>1127</v>
      </c>
      <c r="B2064" s="1">
        <f>DATE(2013,6,1) + TIME(0,0,0)</f>
        <v>41426</v>
      </c>
      <c r="C2064">
        <v>80</v>
      </c>
      <c r="D2064">
        <v>79.979949950999995</v>
      </c>
      <c r="E2064">
        <v>50</v>
      </c>
      <c r="F2064">
        <v>48.799179076999998</v>
      </c>
      <c r="G2064">
        <v>1336.3422852000001</v>
      </c>
      <c r="H2064">
        <v>1334.8240966999999</v>
      </c>
      <c r="I2064">
        <v>1328.6362305</v>
      </c>
      <c r="J2064">
        <v>1327.6640625</v>
      </c>
      <c r="K2064">
        <v>2400</v>
      </c>
      <c r="L2064">
        <v>0</v>
      </c>
      <c r="M2064">
        <v>0</v>
      </c>
      <c r="N2064">
        <v>2400</v>
      </c>
    </row>
    <row r="2065" spans="1:14" x14ac:dyDescent="0.25">
      <c r="A2065">
        <v>1127.79934</v>
      </c>
      <c r="B2065" s="1">
        <f>DATE(2013,6,1) + TIME(19,11,2)</f>
        <v>41426.799328703702</v>
      </c>
      <c r="C2065">
        <v>80</v>
      </c>
      <c r="D2065">
        <v>79.979919433999996</v>
      </c>
      <c r="E2065">
        <v>50</v>
      </c>
      <c r="F2065">
        <v>48.777641295999999</v>
      </c>
      <c r="G2065">
        <v>1336.3397216999999</v>
      </c>
      <c r="H2065">
        <v>1334.8243408000001</v>
      </c>
      <c r="I2065">
        <v>1328.6271973</v>
      </c>
      <c r="J2065">
        <v>1327.651001</v>
      </c>
      <c r="K2065">
        <v>2400</v>
      </c>
      <c r="L2065">
        <v>0</v>
      </c>
      <c r="M2065">
        <v>0</v>
      </c>
      <c r="N2065">
        <v>2400</v>
      </c>
    </row>
    <row r="2066" spans="1:14" x14ac:dyDescent="0.25">
      <c r="A2066">
        <v>1128.638193</v>
      </c>
      <c r="B2066" s="1">
        <f>DATE(2013,6,2) + TIME(15,18,59)</f>
        <v>41427.638182870367</v>
      </c>
      <c r="C2066">
        <v>80</v>
      </c>
      <c r="D2066">
        <v>79.979888915999993</v>
      </c>
      <c r="E2066">
        <v>50</v>
      </c>
      <c r="F2066">
        <v>48.755184174</v>
      </c>
      <c r="G2066">
        <v>1336.3367920000001</v>
      </c>
      <c r="H2066">
        <v>1334.824707</v>
      </c>
      <c r="I2066">
        <v>1328.6170654</v>
      </c>
      <c r="J2066">
        <v>1327.6365966999999</v>
      </c>
      <c r="K2066">
        <v>2400</v>
      </c>
      <c r="L2066">
        <v>0</v>
      </c>
      <c r="M2066">
        <v>0</v>
      </c>
      <c r="N2066">
        <v>2400</v>
      </c>
    </row>
    <row r="2067" spans="1:14" x14ac:dyDescent="0.25">
      <c r="A2067">
        <v>1129.5124599999999</v>
      </c>
      <c r="B2067" s="1">
        <f>DATE(2013,6,3) + TIME(12,17,56)</f>
        <v>41428.512453703705</v>
      </c>
      <c r="C2067">
        <v>80</v>
      </c>
      <c r="D2067">
        <v>79.979858398000005</v>
      </c>
      <c r="E2067">
        <v>50</v>
      </c>
      <c r="F2067">
        <v>48.731887817</v>
      </c>
      <c r="G2067">
        <v>1336.3338623</v>
      </c>
      <c r="H2067">
        <v>1334.8250731999999</v>
      </c>
      <c r="I2067">
        <v>1328.6065673999999</v>
      </c>
      <c r="J2067">
        <v>1327.6217041</v>
      </c>
      <c r="K2067">
        <v>2400</v>
      </c>
      <c r="L2067">
        <v>0</v>
      </c>
      <c r="M2067">
        <v>0</v>
      </c>
      <c r="N2067">
        <v>2400</v>
      </c>
    </row>
    <row r="2068" spans="1:14" x14ac:dyDescent="0.25">
      <c r="A2068">
        <v>1130.4188509999999</v>
      </c>
      <c r="B2068" s="1">
        <f>DATE(2013,6,4) + TIME(10,3,8)</f>
        <v>41429.418842592589</v>
      </c>
      <c r="C2068">
        <v>80</v>
      </c>
      <c r="D2068">
        <v>79.979827881000006</v>
      </c>
      <c r="E2068">
        <v>50</v>
      </c>
      <c r="F2068">
        <v>48.707859038999999</v>
      </c>
      <c r="G2068">
        <v>1336.3308105000001</v>
      </c>
      <c r="H2068">
        <v>1334.8255615</v>
      </c>
      <c r="I2068">
        <v>1328.5958252</v>
      </c>
      <c r="J2068">
        <v>1327.6062012</v>
      </c>
      <c r="K2068">
        <v>2400</v>
      </c>
      <c r="L2068">
        <v>0</v>
      </c>
      <c r="M2068">
        <v>0</v>
      </c>
      <c r="N2068">
        <v>2400</v>
      </c>
    </row>
    <row r="2069" spans="1:14" x14ac:dyDescent="0.25">
      <c r="A2069">
        <v>1131.3803419999999</v>
      </c>
      <c r="B2069" s="1">
        <f>DATE(2013,6,5) + TIME(9,7,41)</f>
        <v>41430.380335648151</v>
      </c>
      <c r="C2069">
        <v>80</v>
      </c>
      <c r="D2069">
        <v>79.979797363000003</v>
      </c>
      <c r="E2069">
        <v>50</v>
      </c>
      <c r="F2069">
        <v>48.682876587000003</v>
      </c>
      <c r="G2069">
        <v>1336.3278809000001</v>
      </c>
      <c r="H2069">
        <v>1334.8259277</v>
      </c>
      <c r="I2069">
        <v>1328.5845947</v>
      </c>
      <c r="J2069">
        <v>1327.590332</v>
      </c>
      <c r="K2069">
        <v>2400</v>
      </c>
      <c r="L2069">
        <v>0</v>
      </c>
      <c r="M2069">
        <v>0</v>
      </c>
      <c r="N2069">
        <v>2400</v>
      </c>
    </row>
    <row r="2070" spans="1:14" x14ac:dyDescent="0.25">
      <c r="A2070">
        <v>1132.3674880000001</v>
      </c>
      <c r="B2070" s="1">
        <f>DATE(2013,6,6) + TIME(8,49,10)</f>
        <v>41431.367476851854</v>
      </c>
      <c r="C2070">
        <v>80</v>
      </c>
      <c r="D2070">
        <v>79.979766846000004</v>
      </c>
      <c r="E2070">
        <v>50</v>
      </c>
      <c r="F2070">
        <v>48.657165526999997</v>
      </c>
      <c r="G2070">
        <v>1336.3249512</v>
      </c>
      <c r="H2070">
        <v>1334.8264160000001</v>
      </c>
      <c r="I2070">
        <v>1328.5729980000001</v>
      </c>
      <c r="J2070">
        <v>1327.5737305</v>
      </c>
      <c r="K2070">
        <v>2400</v>
      </c>
      <c r="L2070">
        <v>0</v>
      </c>
      <c r="M2070">
        <v>0</v>
      </c>
      <c r="N2070">
        <v>2400</v>
      </c>
    </row>
    <row r="2071" spans="1:14" x14ac:dyDescent="0.25">
      <c r="A2071">
        <v>1133.37059</v>
      </c>
      <c r="B2071" s="1">
        <f>DATE(2013,6,7) + TIME(8,53,38)</f>
        <v>41432.370578703703</v>
      </c>
      <c r="C2071">
        <v>80</v>
      </c>
      <c r="D2071">
        <v>79.979736328000001</v>
      </c>
      <c r="E2071">
        <v>50</v>
      </c>
      <c r="F2071">
        <v>48.631011962999999</v>
      </c>
      <c r="G2071">
        <v>1336.3221435999999</v>
      </c>
      <c r="H2071">
        <v>1334.8269043</v>
      </c>
      <c r="I2071">
        <v>1328.5611572</v>
      </c>
      <c r="J2071">
        <v>1327.5567627</v>
      </c>
      <c r="K2071">
        <v>2400</v>
      </c>
      <c r="L2071">
        <v>0</v>
      </c>
      <c r="M2071">
        <v>0</v>
      </c>
      <c r="N2071">
        <v>2400</v>
      </c>
    </row>
    <row r="2072" spans="1:14" x14ac:dyDescent="0.25">
      <c r="A2072">
        <v>1134.377164</v>
      </c>
      <c r="B2072" s="1">
        <f>DATE(2013,6,8) + TIME(9,3,6)</f>
        <v>41433.377152777779</v>
      </c>
      <c r="C2072">
        <v>80</v>
      </c>
      <c r="D2072">
        <v>79.979705811000002</v>
      </c>
      <c r="E2072">
        <v>50</v>
      </c>
      <c r="F2072">
        <v>48.604721069</v>
      </c>
      <c r="G2072">
        <v>1336.3193358999999</v>
      </c>
      <c r="H2072">
        <v>1334.8273925999999</v>
      </c>
      <c r="I2072">
        <v>1328.5491943</v>
      </c>
      <c r="J2072">
        <v>1327.5397949000001</v>
      </c>
      <c r="K2072">
        <v>2400</v>
      </c>
      <c r="L2072">
        <v>0</v>
      </c>
      <c r="M2072">
        <v>0</v>
      </c>
      <c r="N2072">
        <v>2400</v>
      </c>
    </row>
    <row r="2073" spans="1:14" x14ac:dyDescent="0.25">
      <c r="A2073">
        <v>1135.397884</v>
      </c>
      <c r="B2073" s="1">
        <f>DATE(2013,6,9) + TIME(9,32,57)</f>
        <v>41434.397881944446</v>
      </c>
      <c r="C2073">
        <v>80</v>
      </c>
      <c r="D2073">
        <v>79.979675293</v>
      </c>
      <c r="E2073">
        <v>50</v>
      </c>
      <c r="F2073">
        <v>48.578342438</v>
      </c>
      <c r="G2073">
        <v>1336.3166504000001</v>
      </c>
      <c r="H2073">
        <v>1334.8278809000001</v>
      </c>
      <c r="I2073">
        <v>1328.5372314000001</v>
      </c>
      <c r="J2073">
        <v>1327.5227050999999</v>
      </c>
      <c r="K2073">
        <v>2400</v>
      </c>
      <c r="L2073">
        <v>0</v>
      </c>
      <c r="M2073">
        <v>0</v>
      </c>
      <c r="N2073">
        <v>2400</v>
      </c>
    </row>
    <row r="2074" spans="1:14" x14ac:dyDescent="0.25">
      <c r="A2074">
        <v>1136.430848</v>
      </c>
      <c r="B2074" s="1">
        <f>DATE(2013,6,10) + TIME(10,20,25)</f>
        <v>41435.430844907409</v>
      </c>
      <c r="C2074">
        <v>80</v>
      </c>
      <c r="D2074">
        <v>79.979652404999996</v>
      </c>
      <c r="E2074">
        <v>50</v>
      </c>
      <c r="F2074">
        <v>48.551891327</v>
      </c>
      <c r="G2074">
        <v>1336.3140868999999</v>
      </c>
      <c r="H2074">
        <v>1334.8283690999999</v>
      </c>
      <c r="I2074">
        <v>1328.5252685999999</v>
      </c>
      <c r="J2074">
        <v>1327.5056152</v>
      </c>
      <c r="K2074">
        <v>2400</v>
      </c>
      <c r="L2074">
        <v>0</v>
      </c>
      <c r="M2074">
        <v>0</v>
      </c>
      <c r="N2074">
        <v>2400</v>
      </c>
    </row>
    <row r="2075" spans="1:14" x14ac:dyDescent="0.25">
      <c r="A2075">
        <v>1137.4787530000001</v>
      </c>
      <c r="B2075" s="1">
        <f>DATE(2013,6,11) + TIME(11,29,24)</f>
        <v>41436.478750000002</v>
      </c>
      <c r="C2075">
        <v>80</v>
      </c>
      <c r="D2075">
        <v>79.979621886999993</v>
      </c>
      <c r="E2075">
        <v>50</v>
      </c>
      <c r="F2075">
        <v>48.525337219000001</v>
      </c>
      <c r="G2075">
        <v>1336.3115233999999</v>
      </c>
      <c r="H2075">
        <v>1334.8287353999999</v>
      </c>
      <c r="I2075">
        <v>1328.5133057</v>
      </c>
      <c r="J2075">
        <v>1327.4885254000001</v>
      </c>
      <c r="K2075">
        <v>2400</v>
      </c>
      <c r="L2075">
        <v>0</v>
      </c>
      <c r="M2075">
        <v>0</v>
      </c>
      <c r="N2075">
        <v>2400</v>
      </c>
    </row>
    <row r="2076" spans="1:14" x14ac:dyDescent="0.25">
      <c r="A2076">
        <v>1138.544206</v>
      </c>
      <c r="B2076" s="1">
        <f>DATE(2013,6,12) + TIME(13,3,39)</f>
        <v>41437.54420138889</v>
      </c>
      <c r="C2076">
        <v>80</v>
      </c>
      <c r="D2076">
        <v>79.979598999000004</v>
      </c>
      <c r="E2076">
        <v>50</v>
      </c>
      <c r="F2076">
        <v>48.498638153000002</v>
      </c>
      <c r="G2076">
        <v>1336.309082</v>
      </c>
      <c r="H2076">
        <v>1334.8292236</v>
      </c>
      <c r="I2076">
        <v>1328.5014647999999</v>
      </c>
      <c r="J2076">
        <v>1327.4714355000001</v>
      </c>
      <c r="K2076">
        <v>2400</v>
      </c>
      <c r="L2076">
        <v>0</v>
      </c>
      <c r="M2076">
        <v>0</v>
      </c>
      <c r="N2076">
        <v>2400</v>
      </c>
    </row>
    <row r="2077" spans="1:14" x14ac:dyDescent="0.25">
      <c r="A2077">
        <v>1139.612212</v>
      </c>
      <c r="B2077" s="1">
        <f>DATE(2013,6,13) + TIME(14,41,35)</f>
        <v>41438.612210648149</v>
      </c>
      <c r="C2077">
        <v>80</v>
      </c>
      <c r="D2077">
        <v>79.979576111</v>
      </c>
      <c r="E2077">
        <v>50</v>
      </c>
      <c r="F2077">
        <v>48.471920013000002</v>
      </c>
      <c r="G2077">
        <v>1336.3066406</v>
      </c>
      <c r="H2077">
        <v>1334.8297118999999</v>
      </c>
      <c r="I2077">
        <v>1328.4895019999999</v>
      </c>
      <c r="J2077">
        <v>1327.4543457</v>
      </c>
      <c r="K2077">
        <v>2400</v>
      </c>
      <c r="L2077">
        <v>0</v>
      </c>
      <c r="M2077">
        <v>0</v>
      </c>
      <c r="N2077">
        <v>2400</v>
      </c>
    </row>
    <row r="2078" spans="1:14" x14ac:dyDescent="0.25">
      <c r="A2078">
        <v>1140.6926800000001</v>
      </c>
      <c r="B2078" s="1">
        <f>DATE(2013,6,14) + TIME(16,37,27)</f>
        <v>41439.692673611113</v>
      </c>
      <c r="C2078">
        <v>80</v>
      </c>
      <c r="D2078">
        <v>79.979553222999996</v>
      </c>
      <c r="E2078">
        <v>50</v>
      </c>
      <c r="F2078">
        <v>48.445175171000002</v>
      </c>
      <c r="G2078">
        <v>1336.3043213000001</v>
      </c>
      <c r="H2078">
        <v>1334.8300781</v>
      </c>
      <c r="I2078">
        <v>1328.4775391000001</v>
      </c>
      <c r="J2078">
        <v>1327.4373779</v>
      </c>
      <c r="K2078">
        <v>2400</v>
      </c>
      <c r="L2078">
        <v>0</v>
      </c>
      <c r="M2078">
        <v>0</v>
      </c>
      <c r="N2078">
        <v>2400</v>
      </c>
    </row>
    <row r="2079" spans="1:14" x14ac:dyDescent="0.25">
      <c r="A2079">
        <v>1141.786519</v>
      </c>
      <c r="B2079" s="1">
        <f>DATE(2013,6,15) + TIME(18,52,35)</f>
        <v>41440.786516203705</v>
      </c>
      <c r="C2079">
        <v>80</v>
      </c>
      <c r="D2079">
        <v>79.979537964000002</v>
      </c>
      <c r="E2079">
        <v>50</v>
      </c>
      <c r="F2079">
        <v>48.418361664000003</v>
      </c>
      <c r="G2079">
        <v>1336.302124</v>
      </c>
      <c r="H2079">
        <v>1334.8305664</v>
      </c>
      <c r="I2079">
        <v>1328.4658202999999</v>
      </c>
      <c r="J2079">
        <v>1327.4204102000001</v>
      </c>
      <c r="K2079">
        <v>2400</v>
      </c>
      <c r="L2079">
        <v>0</v>
      </c>
      <c r="M2079">
        <v>0</v>
      </c>
      <c r="N2079">
        <v>2400</v>
      </c>
    </row>
    <row r="2080" spans="1:14" x14ac:dyDescent="0.25">
      <c r="A2080">
        <v>1142.8956519999999</v>
      </c>
      <c r="B2080" s="1">
        <f>DATE(2013,6,16) + TIME(21,29,44)</f>
        <v>41441.895648148151</v>
      </c>
      <c r="C2080">
        <v>80</v>
      </c>
      <c r="D2080">
        <v>79.979515075999998</v>
      </c>
      <c r="E2080">
        <v>50</v>
      </c>
      <c r="F2080">
        <v>48.391422272</v>
      </c>
      <c r="G2080">
        <v>1336.2999268000001</v>
      </c>
      <c r="H2080">
        <v>1334.8309326000001</v>
      </c>
      <c r="I2080">
        <v>1328.4539795000001</v>
      </c>
      <c r="J2080">
        <v>1327.4034423999999</v>
      </c>
      <c r="K2080">
        <v>2400</v>
      </c>
      <c r="L2080">
        <v>0</v>
      </c>
      <c r="M2080">
        <v>0</v>
      </c>
      <c r="N2080">
        <v>2400</v>
      </c>
    </row>
    <row r="2081" spans="1:14" x14ac:dyDescent="0.25">
      <c r="A2081">
        <v>1144.024136</v>
      </c>
      <c r="B2081" s="1">
        <f>DATE(2013,6,18) + TIME(0,34,45)</f>
        <v>41443.024131944447</v>
      </c>
      <c r="C2081">
        <v>80</v>
      </c>
      <c r="D2081">
        <v>79.979499817000004</v>
      </c>
      <c r="E2081">
        <v>50</v>
      </c>
      <c r="F2081">
        <v>48.364292145</v>
      </c>
      <c r="G2081">
        <v>1336.2977295000001</v>
      </c>
      <c r="H2081">
        <v>1334.8312988</v>
      </c>
      <c r="I2081">
        <v>1328.4421387</v>
      </c>
      <c r="J2081">
        <v>1327.3865966999999</v>
      </c>
      <c r="K2081">
        <v>2400</v>
      </c>
      <c r="L2081">
        <v>0</v>
      </c>
      <c r="M2081">
        <v>0</v>
      </c>
      <c r="N2081">
        <v>2400</v>
      </c>
    </row>
    <row r="2082" spans="1:14" x14ac:dyDescent="0.25">
      <c r="A2082">
        <v>1145.1553160000001</v>
      </c>
      <c r="B2082" s="1">
        <f>DATE(2013,6,19) + TIME(3,43,39)</f>
        <v>41444.155312499999</v>
      </c>
      <c r="C2082">
        <v>80</v>
      </c>
      <c r="D2082">
        <v>79.979476929</v>
      </c>
      <c r="E2082">
        <v>50</v>
      </c>
      <c r="F2082">
        <v>48.337078093999999</v>
      </c>
      <c r="G2082">
        <v>1336.2955322</v>
      </c>
      <c r="H2082">
        <v>1334.8317870999999</v>
      </c>
      <c r="I2082">
        <v>1328.4304199000001</v>
      </c>
      <c r="J2082">
        <v>1327.3696289</v>
      </c>
      <c r="K2082">
        <v>2400</v>
      </c>
      <c r="L2082">
        <v>0</v>
      </c>
      <c r="M2082">
        <v>0</v>
      </c>
      <c r="N2082">
        <v>2400</v>
      </c>
    </row>
    <row r="2083" spans="1:14" x14ac:dyDescent="0.25">
      <c r="A2083">
        <v>1146.2981400000001</v>
      </c>
      <c r="B2083" s="1">
        <f>DATE(2013,6,20) + TIME(7,9,19)</f>
        <v>41445.298136574071</v>
      </c>
      <c r="C2083">
        <v>80</v>
      </c>
      <c r="D2083">
        <v>79.979461670000006</v>
      </c>
      <c r="E2083">
        <v>50</v>
      </c>
      <c r="F2083">
        <v>48.309806823999999</v>
      </c>
      <c r="G2083">
        <v>1336.293457</v>
      </c>
      <c r="H2083">
        <v>1334.8320312000001</v>
      </c>
      <c r="I2083">
        <v>1328.4187012</v>
      </c>
      <c r="J2083">
        <v>1327.3529053</v>
      </c>
      <c r="K2083">
        <v>2400</v>
      </c>
      <c r="L2083">
        <v>0</v>
      </c>
      <c r="M2083">
        <v>0</v>
      </c>
      <c r="N2083">
        <v>2400</v>
      </c>
    </row>
    <row r="2084" spans="1:14" x14ac:dyDescent="0.25">
      <c r="A2084">
        <v>1147.4548600000001</v>
      </c>
      <c r="B2084" s="1">
        <f>DATE(2013,6,21) + TIME(10,54,59)</f>
        <v>41446.45484953704</v>
      </c>
      <c r="C2084">
        <v>80</v>
      </c>
      <c r="D2084">
        <v>79.979446410999998</v>
      </c>
      <c r="E2084">
        <v>50</v>
      </c>
      <c r="F2084">
        <v>48.282424927000001</v>
      </c>
      <c r="G2084">
        <v>1336.2913818</v>
      </c>
      <c r="H2084">
        <v>1334.8323975000001</v>
      </c>
      <c r="I2084">
        <v>1328.4071045000001</v>
      </c>
      <c r="J2084">
        <v>1327.3361815999999</v>
      </c>
      <c r="K2084">
        <v>2400</v>
      </c>
      <c r="L2084">
        <v>0</v>
      </c>
      <c r="M2084">
        <v>0</v>
      </c>
      <c r="N2084">
        <v>2400</v>
      </c>
    </row>
    <row r="2085" spans="1:14" x14ac:dyDescent="0.25">
      <c r="A2085">
        <v>1148.6269609999999</v>
      </c>
      <c r="B2085" s="1">
        <f>DATE(2013,6,22) + TIME(15,2,49)</f>
        <v>41447.626956018517</v>
      </c>
      <c r="C2085">
        <v>80</v>
      </c>
      <c r="D2085">
        <v>79.979431152000004</v>
      </c>
      <c r="E2085">
        <v>50</v>
      </c>
      <c r="F2085">
        <v>48.254878998000002</v>
      </c>
      <c r="G2085">
        <v>1336.2894286999999</v>
      </c>
      <c r="H2085">
        <v>1334.8327637</v>
      </c>
      <c r="I2085">
        <v>1328.3955077999999</v>
      </c>
      <c r="J2085">
        <v>1327.3194579999999</v>
      </c>
      <c r="K2085">
        <v>2400</v>
      </c>
      <c r="L2085">
        <v>0</v>
      </c>
      <c r="M2085">
        <v>0</v>
      </c>
      <c r="N2085">
        <v>2400</v>
      </c>
    </row>
    <row r="2086" spans="1:14" x14ac:dyDescent="0.25">
      <c r="A2086">
        <v>1149.820592</v>
      </c>
      <c r="B2086" s="1">
        <f>DATE(2013,6,23) + TIME(19,41,39)</f>
        <v>41448.820590277777</v>
      </c>
      <c r="C2086">
        <v>80</v>
      </c>
      <c r="D2086">
        <v>79.979415893999999</v>
      </c>
      <c r="E2086">
        <v>50</v>
      </c>
      <c r="F2086">
        <v>48.227081298999998</v>
      </c>
      <c r="G2086">
        <v>1336.2874756000001</v>
      </c>
      <c r="H2086">
        <v>1334.8331298999999</v>
      </c>
      <c r="I2086">
        <v>1328.3840332</v>
      </c>
      <c r="J2086">
        <v>1327.3028564000001</v>
      </c>
      <c r="K2086">
        <v>2400</v>
      </c>
      <c r="L2086">
        <v>0</v>
      </c>
      <c r="M2086">
        <v>0</v>
      </c>
      <c r="N2086">
        <v>2400</v>
      </c>
    </row>
    <row r="2087" spans="1:14" x14ac:dyDescent="0.25">
      <c r="A2087">
        <v>1151.017026</v>
      </c>
      <c r="B2087" s="1">
        <f>DATE(2013,6,25) + TIME(0,24,31)</f>
        <v>41450.017025462963</v>
      </c>
      <c r="C2087">
        <v>80</v>
      </c>
      <c r="D2087">
        <v>79.979400635000005</v>
      </c>
      <c r="E2087">
        <v>50</v>
      </c>
      <c r="F2087">
        <v>48.199134827000002</v>
      </c>
      <c r="G2087">
        <v>1336.2854004000001</v>
      </c>
      <c r="H2087">
        <v>1334.833374</v>
      </c>
      <c r="I2087">
        <v>1328.3724365</v>
      </c>
      <c r="J2087">
        <v>1327.2862548999999</v>
      </c>
      <c r="K2087">
        <v>2400</v>
      </c>
      <c r="L2087">
        <v>0</v>
      </c>
      <c r="M2087">
        <v>0</v>
      </c>
      <c r="N2087">
        <v>2400</v>
      </c>
    </row>
    <row r="2088" spans="1:14" x14ac:dyDescent="0.25">
      <c r="A2088">
        <v>1152.225369</v>
      </c>
      <c r="B2088" s="1">
        <f>DATE(2013,6,26) + TIME(5,24,31)</f>
        <v>41451.225358796299</v>
      </c>
      <c r="C2088">
        <v>80</v>
      </c>
      <c r="D2088">
        <v>79.979393005000006</v>
      </c>
      <c r="E2088">
        <v>50</v>
      </c>
      <c r="F2088">
        <v>48.171085357999999</v>
      </c>
      <c r="G2088">
        <v>1336.2835693</v>
      </c>
      <c r="H2088">
        <v>1334.8336182</v>
      </c>
      <c r="I2088">
        <v>1328.3610839999999</v>
      </c>
      <c r="J2088">
        <v>1327.2697754000001</v>
      </c>
      <c r="K2088">
        <v>2400</v>
      </c>
      <c r="L2088">
        <v>0</v>
      </c>
      <c r="M2088">
        <v>0</v>
      </c>
      <c r="N2088">
        <v>2400</v>
      </c>
    </row>
    <row r="2089" spans="1:14" x14ac:dyDescent="0.25">
      <c r="A2089">
        <v>1153.4482290000001</v>
      </c>
      <c r="B2089" s="1">
        <f>DATE(2013,6,27) + TIME(10,45,26)</f>
        <v>41452.448217592595</v>
      </c>
      <c r="C2089">
        <v>80</v>
      </c>
      <c r="D2089">
        <v>79.979377747000001</v>
      </c>
      <c r="E2089">
        <v>50</v>
      </c>
      <c r="F2089">
        <v>48.142883300999998</v>
      </c>
      <c r="G2089">
        <v>1336.2816161999999</v>
      </c>
      <c r="H2089">
        <v>1334.8338623</v>
      </c>
      <c r="I2089">
        <v>1328.3497314000001</v>
      </c>
      <c r="J2089">
        <v>1327.253418</v>
      </c>
      <c r="K2089">
        <v>2400</v>
      </c>
      <c r="L2089">
        <v>0</v>
      </c>
      <c r="M2089">
        <v>0</v>
      </c>
      <c r="N2089">
        <v>2400</v>
      </c>
    </row>
    <row r="2090" spans="1:14" x14ac:dyDescent="0.25">
      <c r="A2090">
        <v>1154.6862659999999</v>
      </c>
      <c r="B2090" s="1">
        <f>DATE(2013,6,28) + TIME(16,28,13)</f>
        <v>41453.686261574076</v>
      </c>
      <c r="C2090">
        <v>80</v>
      </c>
      <c r="D2090">
        <v>79.979370117000002</v>
      </c>
      <c r="E2090">
        <v>50</v>
      </c>
      <c r="F2090">
        <v>48.114486694</v>
      </c>
      <c r="G2090">
        <v>1336.2797852000001</v>
      </c>
      <c r="H2090">
        <v>1334.8341064000001</v>
      </c>
      <c r="I2090">
        <v>1328.338501</v>
      </c>
      <c r="J2090">
        <v>1327.2370605000001</v>
      </c>
      <c r="K2090">
        <v>2400</v>
      </c>
      <c r="L2090">
        <v>0</v>
      </c>
      <c r="M2090">
        <v>0</v>
      </c>
      <c r="N2090">
        <v>2400</v>
      </c>
    </row>
    <row r="2091" spans="1:14" x14ac:dyDescent="0.25">
      <c r="A2091">
        <v>1155.949134</v>
      </c>
      <c r="B2091" s="1">
        <f>DATE(2013,6,29) + TIME(22,46,45)</f>
        <v>41454.949131944442</v>
      </c>
      <c r="C2091">
        <v>80</v>
      </c>
      <c r="D2091">
        <v>79.979354857999994</v>
      </c>
      <c r="E2091">
        <v>50</v>
      </c>
      <c r="F2091">
        <v>48.085800171000002</v>
      </c>
      <c r="G2091">
        <v>1336.2779541</v>
      </c>
      <c r="H2091">
        <v>1334.8343506000001</v>
      </c>
      <c r="I2091">
        <v>1328.3273925999999</v>
      </c>
      <c r="J2091">
        <v>1327.2209473</v>
      </c>
      <c r="K2091">
        <v>2400</v>
      </c>
      <c r="L2091">
        <v>0</v>
      </c>
      <c r="M2091">
        <v>0</v>
      </c>
      <c r="N2091">
        <v>2400</v>
      </c>
    </row>
    <row r="2092" spans="1:14" x14ac:dyDescent="0.25">
      <c r="A2092">
        <v>1157</v>
      </c>
      <c r="B2092" s="1">
        <f>DATE(2013,7,1) + TIME(0,0,0)</f>
        <v>41456</v>
      </c>
      <c r="C2092">
        <v>80</v>
      </c>
      <c r="D2092">
        <v>79.979347228999998</v>
      </c>
      <c r="E2092">
        <v>50</v>
      </c>
      <c r="F2092">
        <v>48.058967590000002</v>
      </c>
      <c r="G2092">
        <v>1336.2761230000001</v>
      </c>
      <c r="H2092">
        <v>1334.8345947</v>
      </c>
      <c r="I2092">
        <v>1328.3164062000001</v>
      </c>
      <c r="J2092">
        <v>1327.2049560999999</v>
      </c>
      <c r="K2092">
        <v>2400</v>
      </c>
      <c r="L2092">
        <v>0</v>
      </c>
      <c r="M2092">
        <v>0</v>
      </c>
      <c r="N2092">
        <v>2400</v>
      </c>
    </row>
    <row r="2093" spans="1:14" x14ac:dyDescent="0.25">
      <c r="A2093">
        <v>1158.2636070000001</v>
      </c>
      <c r="B2093" s="1">
        <f>DATE(2013,7,2) + TIME(6,19,35)</f>
        <v>41457.263599537036</v>
      </c>
      <c r="C2093">
        <v>80</v>
      </c>
      <c r="D2093">
        <v>79.979339600000003</v>
      </c>
      <c r="E2093">
        <v>50</v>
      </c>
      <c r="F2093">
        <v>48.031906128000003</v>
      </c>
      <c r="G2093">
        <v>1336.2746582</v>
      </c>
      <c r="H2093">
        <v>1334.8348389</v>
      </c>
      <c r="I2093">
        <v>1328.3065185999999</v>
      </c>
      <c r="J2093">
        <v>1327.1904297000001</v>
      </c>
      <c r="K2093">
        <v>2400</v>
      </c>
      <c r="L2093">
        <v>0</v>
      </c>
      <c r="M2093">
        <v>0</v>
      </c>
      <c r="N2093">
        <v>2400</v>
      </c>
    </row>
    <row r="2094" spans="1:14" x14ac:dyDescent="0.25">
      <c r="A2094">
        <v>1159.5539080000001</v>
      </c>
      <c r="B2094" s="1">
        <f>DATE(2013,7,3) + TIME(13,17,37)</f>
        <v>41458.553900462961</v>
      </c>
      <c r="C2094">
        <v>80</v>
      </c>
      <c r="D2094">
        <v>79.979331970000004</v>
      </c>
      <c r="E2094">
        <v>50</v>
      </c>
      <c r="F2094">
        <v>48.003620148000003</v>
      </c>
      <c r="G2094">
        <v>1336.2728271000001</v>
      </c>
      <c r="H2094">
        <v>1334.8349608999999</v>
      </c>
      <c r="I2094">
        <v>1328.2960204999999</v>
      </c>
      <c r="J2094">
        <v>1327.1751709</v>
      </c>
      <c r="K2094">
        <v>2400</v>
      </c>
      <c r="L2094">
        <v>0</v>
      </c>
      <c r="M2094">
        <v>0</v>
      </c>
      <c r="N2094">
        <v>2400</v>
      </c>
    </row>
    <row r="2095" spans="1:14" x14ac:dyDescent="0.25">
      <c r="A2095">
        <v>1160.8597239999999</v>
      </c>
      <c r="B2095" s="1">
        <f>DATE(2013,7,4) + TIME(20,38,0)</f>
        <v>41459.859722222223</v>
      </c>
      <c r="C2095">
        <v>80</v>
      </c>
      <c r="D2095">
        <v>79.979324340999995</v>
      </c>
      <c r="E2095">
        <v>50</v>
      </c>
      <c r="F2095">
        <v>47.974716186999999</v>
      </c>
      <c r="G2095">
        <v>1336.2711182</v>
      </c>
      <c r="H2095">
        <v>1334.8350829999999</v>
      </c>
      <c r="I2095">
        <v>1328.2854004000001</v>
      </c>
      <c r="J2095">
        <v>1327.1595459</v>
      </c>
      <c r="K2095">
        <v>2400</v>
      </c>
      <c r="L2095">
        <v>0</v>
      </c>
      <c r="M2095">
        <v>0</v>
      </c>
      <c r="N2095">
        <v>2400</v>
      </c>
    </row>
    <row r="2096" spans="1:14" x14ac:dyDescent="0.25">
      <c r="A2096">
        <v>1162.190274</v>
      </c>
      <c r="B2096" s="1">
        <f>DATE(2013,7,6) + TIME(4,33,59)</f>
        <v>41461.190266203703</v>
      </c>
      <c r="C2096">
        <v>80</v>
      </c>
      <c r="D2096">
        <v>79.979316710999996</v>
      </c>
      <c r="E2096">
        <v>50</v>
      </c>
      <c r="F2096">
        <v>47.945465087999999</v>
      </c>
      <c r="G2096">
        <v>1336.2694091999999</v>
      </c>
      <c r="H2096">
        <v>1334.8353271000001</v>
      </c>
      <c r="I2096">
        <v>1328.2747803</v>
      </c>
      <c r="J2096">
        <v>1327.1439209</v>
      </c>
      <c r="K2096">
        <v>2400</v>
      </c>
      <c r="L2096">
        <v>0</v>
      </c>
      <c r="M2096">
        <v>0</v>
      </c>
      <c r="N2096">
        <v>2400</v>
      </c>
    </row>
    <row r="2097" spans="1:14" x14ac:dyDescent="0.25">
      <c r="A2097">
        <v>1163.5222209999999</v>
      </c>
      <c r="B2097" s="1">
        <f>DATE(2013,7,7) + TIME(12,31,59)</f>
        <v>41462.522210648145</v>
      </c>
      <c r="C2097">
        <v>80</v>
      </c>
      <c r="D2097">
        <v>79.979309082</v>
      </c>
      <c r="E2097">
        <v>50</v>
      </c>
      <c r="F2097">
        <v>47.916149138999998</v>
      </c>
      <c r="G2097">
        <v>1336.2675781</v>
      </c>
      <c r="H2097">
        <v>1334.8354492000001</v>
      </c>
      <c r="I2097">
        <v>1328.2641602000001</v>
      </c>
      <c r="J2097">
        <v>1327.1282959</v>
      </c>
      <c r="K2097">
        <v>2400</v>
      </c>
      <c r="L2097">
        <v>0</v>
      </c>
      <c r="M2097">
        <v>0</v>
      </c>
      <c r="N2097">
        <v>2400</v>
      </c>
    </row>
    <row r="2098" spans="1:14" x14ac:dyDescent="0.25">
      <c r="A2098">
        <v>1164.8673610000001</v>
      </c>
      <c r="B2098" s="1">
        <f>DATE(2013,7,8) + TIME(20,48,59)</f>
        <v>41463.867349537039</v>
      </c>
      <c r="C2098">
        <v>80</v>
      </c>
      <c r="D2098">
        <v>79.979301453000005</v>
      </c>
      <c r="E2098">
        <v>50</v>
      </c>
      <c r="F2098">
        <v>47.886997223000002</v>
      </c>
      <c r="G2098">
        <v>1336.2658690999999</v>
      </c>
      <c r="H2098">
        <v>1334.8355713000001</v>
      </c>
      <c r="I2098">
        <v>1328.2536620999999</v>
      </c>
      <c r="J2098">
        <v>1327.112793</v>
      </c>
      <c r="K2098">
        <v>2400</v>
      </c>
      <c r="L2098">
        <v>0</v>
      </c>
      <c r="M2098">
        <v>0</v>
      </c>
      <c r="N2098">
        <v>2400</v>
      </c>
    </row>
    <row r="2099" spans="1:14" x14ac:dyDescent="0.25">
      <c r="A2099">
        <v>1166.232184</v>
      </c>
      <c r="B2099" s="1">
        <f>DATE(2013,7,10) + TIME(5,34,20)</f>
        <v>41465.232175925928</v>
      </c>
      <c r="C2099">
        <v>80</v>
      </c>
      <c r="D2099">
        <v>79.979301453000005</v>
      </c>
      <c r="E2099">
        <v>50</v>
      </c>
      <c r="F2099">
        <v>47.858078003000003</v>
      </c>
      <c r="G2099">
        <v>1336.2641602000001</v>
      </c>
      <c r="H2099">
        <v>1334.8355713000001</v>
      </c>
      <c r="I2099">
        <v>1328.2434082</v>
      </c>
      <c r="J2099">
        <v>1327.0974120999999</v>
      </c>
      <c r="K2099">
        <v>2400</v>
      </c>
      <c r="L2099">
        <v>0</v>
      </c>
      <c r="M2099">
        <v>0</v>
      </c>
      <c r="N2099">
        <v>2400</v>
      </c>
    </row>
    <row r="2100" spans="1:14" x14ac:dyDescent="0.25">
      <c r="A2100">
        <v>1167.6131909999999</v>
      </c>
      <c r="B2100" s="1">
        <f>DATE(2013,7,11) + TIME(14,42,59)</f>
        <v>41466.613182870373</v>
      </c>
      <c r="C2100">
        <v>80</v>
      </c>
      <c r="D2100">
        <v>79.979293823000006</v>
      </c>
      <c r="E2100">
        <v>50</v>
      </c>
      <c r="F2100">
        <v>47.829544067</v>
      </c>
      <c r="G2100">
        <v>1336.2625731999999</v>
      </c>
      <c r="H2100">
        <v>1334.8356934000001</v>
      </c>
      <c r="I2100">
        <v>1328.2331543</v>
      </c>
      <c r="J2100">
        <v>1327.0822754000001</v>
      </c>
      <c r="K2100">
        <v>2400</v>
      </c>
      <c r="L2100">
        <v>0</v>
      </c>
      <c r="M2100">
        <v>0</v>
      </c>
      <c r="N2100">
        <v>2400</v>
      </c>
    </row>
    <row r="2101" spans="1:14" x14ac:dyDescent="0.25">
      <c r="A2101">
        <v>1169.0085630000001</v>
      </c>
      <c r="B2101" s="1">
        <f>DATE(2013,7,13) + TIME(0,12,19)</f>
        <v>41468.008553240739</v>
      </c>
      <c r="C2101">
        <v>80</v>
      </c>
      <c r="D2101">
        <v>79.979286193999997</v>
      </c>
      <c r="E2101">
        <v>50</v>
      </c>
      <c r="F2101">
        <v>47.801692963000001</v>
      </c>
      <c r="G2101">
        <v>1336.2608643000001</v>
      </c>
      <c r="H2101">
        <v>1334.8358154</v>
      </c>
      <c r="I2101">
        <v>1328.2231445</v>
      </c>
      <c r="J2101">
        <v>1327.0671387</v>
      </c>
      <c r="K2101">
        <v>2400</v>
      </c>
      <c r="L2101">
        <v>0</v>
      </c>
      <c r="M2101">
        <v>0</v>
      </c>
      <c r="N2101">
        <v>2400</v>
      </c>
    </row>
    <row r="2102" spans="1:14" x14ac:dyDescent="0.25">
      <c r="A2102">
        <v>1170.4107590000001</v>
      </c>
      <c r="B2102" s="1">
        <f>DATE(2013,7,14) + TIME(9,51,29)</f>
        <v>41469.410752314812</v>
      </c>
      <c r="C2102">
        <v>80</v>
      </c>
      <c r="D2102">
        <v>79.979286193999997</v>
      </c>
      <c r="E2102">
        <v>50</v>
      </c>
      <c r="F2102">
        <v>47.774955749999997</v>
      </c>
      <c r="G2102">
        <v>1336.2591553</v>
      </c>
      <c r="H2102">
        <v>1334.8358154</v>
      </c>
      <c r="I2102">
        <v>1328.2132568</v>
      </c>
      <c r="J2102">
        <v>1327.0522461</v>
      </c>
      <c r="K2102">
        <v>2400</v>
      </c>
      <c r="L2102">
        <v>0</v>
      </c>
      <c r="M2102">
        <v>0</v>
      </c>
      <c r="N2102">
        <v>2400</v>
      </c>
    </row>
    <row r="2103" spans="1:14" x14ac:dyDescent="0.25">
      <c r="A2103">
        <v>1171.8296539999999</v>
      </c>
      <c r="B2103" s="1">
        <f>DATE(2013,7,15) + TIME(19,54,42)</f>
        <v>41470.829652777778</v>
      </c>
      <c r="C2103">
        <v>80</v>
      </c>
      <c r="D2103">
        <v>79.979286193999997</v>
      </c>
      <c r="E2103">
        <v>50</v>
      </c>
      <c r="F2103">
        <v>47.749816895000002</v>
      </c>
      <c r="G2103">
        <v>1336.2575684000001</v>
      </c>
      <c r="H2103">
        <v>1334.8358154</v>
      </c>
      <c r="I2103">
        <v>1328.2036132999999</v>
      </c>
      <c r="J2103">
        <v>1327.0374756000001</v>
      </c>
      <c r="K2103">
        <v>2400</v>
      </c>
      <c r="L2103">
        <v>0</v>
      </c>
      <c r="M2103">
        <v>0</v>
      </c>
      <c r="N2103">
        <v>2400</v>
      </c>
    </row>
    <row r="2104" spans="1:14" x14ac:dyDescent="0.25">
      <c r="A2104">
        <v>1173.268143</v>
      </c>
      <c r="B2104" s="1">
        <f>DATE(2013,7,17) + TIME(6,26,7)</f>
        <v>41472.268136574072</v>
      </c>
      <c r="C2104">
        <v>80</v>
      </c>
      <c r="D2104">
        <v>79.979278563999998</v>
      </c>
      <c r="E2104">
        <v>50</v>
      </c>
      <c r="F2104">
        <v>47.726821899000001</v>
      </c>
      <c r="G2104">
        <v>1336.2558594</v>
      </c>
      <c r="H2104">
        <v>1334.8358154</v>
      </c>
      <c r="I2104">
        <v>1328.1942139</v>
      </c>
      <c r="J2104">
        <v>1327.0230713000001</v>
      </c>
      <c r="K2104">
        <v>2400</v>
      </c>
      <c r="L2104">
        <v>0</v>
      </c>
      <c r="M2104">
        <v>0</v>
      </c>
      <c r="N2104">
        <v>2400</v>
      </c>
    </row>
    <row r="2105" spans="1:14" x14ac:dyDescent="0.25">
      <c r="A2105">
        <v>1174.7252209999999</v>
      </c>
      <c r="B2105" s="1">
        <f>DATE(2013,7,18) + TIME(17,24,19)</f>
        <v>41473.725219907406</v>
      </c>
      <c r="C2105">
        <v>80</v>
      </c>
      <c r="D2105">
        <v>79.979278563999998</v>
      </c>
      <c r="E2105">
        <v>50</v>
      </c>
      <c r="F2105">
        <v>47.706783295000001</v>
      </c>
      <c r="G2105">
        <v>1336.2542725000001</v>
      </c>
      <c r="H2105">
        <v>1334.8358154</v>
      </c>
      <c r="I2105">
        <v>1328.1850586</v>
      </c>
      <c r="J2105">
        <v>1327.0086670000001</v>
      </c>
      <c r="K2105">
        <v>2400</v>
      </c>
      <c r="L2105">
        <v>0</v>
      </c>
      <c r="M2105">
        <v>0</v>
      </c>
      <c r="N2105">
        <v>2400</v>
      </c>
    </row>
    <row r="2106" spans="1:14" x14ac:dyDescent="0.25">
      <c r="A2106">
        <v>1176.1840139999999</v>
      </c>
      <c r="B2106" s="1">
        <f>DATE(2013,7,20) + TIME(4,24,58)</f>
        <v>41475.184004629627</v>
      </c>
      <c r="C2106">
        <v>80</v>
      </c>
      <c r="D2106">
        <v>79.979278563999998</v>
      </c>
      <c r="E2106">
        <v>50</v>
      </c>
      <c r="F2106">
        <v>47.690864562999998</v>
      </c>
      <c r="G2106">
        <v>1336.2525635</v>
      </c>
      <c r="H2106">
        <v>1334.8358154</v>
      </c>
      <c r="I2106">
        <v>1328.1760254000001</v>
      </c>
      <c r="J2106">
        <v>1326.9946289</v>
      </c>
      <c r="K2106">
        <v>2400</v>
      </c>
      <c r="L2106">
        <v>0</v>
      </c>
      <c r="M2106">
        <v>0</v>
      </c>
      <c r="N2106">
        <v>2400</v>
      </c>
    </row>
    <row r="2107" spans="1:14" x14ac:dyDescent="0.25">
      <c r="A2107">
        <v>1177.6605709999999</v>
      </c>
      <c r="B2107" s="1">
        <f>DATE(2013,7,21) + TIME(15,51,13)</f>
        <v>41476.660567129627</v>
      </c>
      <c r="C2107">
        <v>80</v>
      </c>
      <c r="D2107">
        <v>79.979278563999998</v>
      </c>
      <c r="E2107">
        <v>50</v>
      </c>
      <c r="F2107">
        <v>47.68038559</v>
      </c>
      <c r="G2107">
        <v>1336.2509766000001</v>
      </c>
      <c r="H2107">
        <v>1334.8356934000001</v>
      </c>
      <c r="I2107">
        <v>1328.1673584</v>
      </c>
      <c r="J2107">
        <v>1326.9808350000001</v>
      </c>
      <c r="K2107">
        <v>2400</v>
      </c>
      <c r="L2107">
        <v>0</v>
      </c>
      <c r="M2107">
        <v>0</v>
      </c>
      <c r="N2107">
        <v>2400</v>
      </c>
    </row>
    <row r="2108" spans="1:14" x14ac:dyDescent="0.25">
      <c r="A2108">
        <v>1179.1614999999999</v>
      </c>
      <c r="B2108" s="1">
        <f>DATE(2013,7,23) + TIME(3,52,33)</f>
        <v>41478.161493055559</v>
      </c>
      <c r="C2108">
        <v>80</v>
      </c>
      <c r="D2108">
        <v>79.979278563999998</v>
      </c>
      <c r="E2108">
        <v>50</v>
      </c>
      <c r="F2108">
        <v>47.676933288999997</v>
      </c>
      <c r="G2108">
        <v>1336.2493896000001</v>
      </c>
      <c r="H2108">
        <v>1334.8356934000001</v>
      </c>
      <c r="I2108">
        <v>1328.1589355000001</v>
      </c>
      <c r="J2108">
        <v>1326.9672852000001</v>
      </c>
      <c r="K2108">
        <v>2400</v>
      </c>
      <c r="L2108">
        <v>0</v>
      </c>
      <c r="M2108">
        <v>0</v>
      </c>
      <c r="N2108">
        <v>2400</v>
      </c>
    </row>
    <row r="2109" spans="1:14" x14ac:dyDescent="0.25">
      <c r="A2109">
        <v>1180.672597</v>
      </c>
      <c r="B2109" s="1">
        <f>DATE(2013,7,24) + TIME(16,8,32)</f>
        <v>41479.672592592593</v>
      </c>
      <c r="C2109">
        <v>80</v>
      </c>
      <c r="D2109">
        <v>79.979278563999998</v>
      </c>
      <c r="E2109">
        <v>50</v>
      </c>
      <c r="F2109">
        <v>47.682643890000001</v>
      </c>
      <c r="G2109">
        <v>1336.2478027</v>
      </c>
      <c r="H2109">
        <v>1334.8355713000001</v>
      </c>
      <c r="I2109">
        <v>1328.1507568</v>
      </c>
      <c r="J2109">
        <v>1326.9541016000001</v>
      </c>
      <c r="K2109">
        <v>2400</v>
      </c>
      <c r="L2109">
        <v>0</v>
      </c>
      <c r="M2109">
        <v>0</v>
      </c>
      <c r="N2109">
        <v>2400</v>
      </c>
    </row>
    <row r="2110" spans="1:14" x14ac:dyDescent="0.25">
      <c r="A2110">
        <v>1182.1863350000001</v>
      </c>
      <c r="B2110" s="1">
        <f>DATE(2013,7,26) + TIME(4,28,19)</f>
        <v>41481.186331018522</v>
      </c>
      <c r="C2110">
        <v>80</v>
      </c>
      <c r="D2110">
        <v>79.979278563999998</v>
      </c>
      <c r="E2110">
        <v>50</v>
      </c>
      <c r="F2110">
        <v>47.699993134000003</v>
      </c>
      <c r="G2110">
        <v>1336.2462158000001</v>
      </c>
      <c r="H2110">
        <v>1334.8354492000001</v>
      </c>
      <c r="I2110">
        <v>1328.1430664</v>
      </c>
      <c r="J2110">
        <v>1326.9412841999999</v>
      </c>
      <c r="K2110">
        <v>2400</v>
      </c>
      <c r="L2110">
        <v>0</v>
      </c>
      <c r="M2110">
        <v>0</v>
      </c>
      <c r="N2110">
        <v>2400</v>
      </c>
    </row>
    <row r="2111" spans="1:14" x14ac:dyDescent="0.25">
      <c r="A2111">
        <v>1183.723686</v>
      </c>
      <c r="B2111" s="1">
        <f>DATE(2013,7,27) + TIME(17,22,6)</f>
        <v>41482.723680555559</v>
      </c>
      <c r="C2111">
        <v>80</v>
      </c>
      <c r="D2111">
        <v>79.979278563999998</v>
      </c>
      <c r="E2111">
        <v>50</v>
      </c>
      <c r="F2111">
        <v>47.731815337999997</v>
      </c>
      <c r="G2111">
        <v>1336.2446289</v>
      </c>
      <c r="H2111">
        <v>1334.8353271000001</v>
      </c>
      <c r="I2111">
        <v>1328.1357422000001</v>
      </c>
      <c r="J2111">
        <v>1326.9289550999999</v>
      </c>
      <c r="K2111">
        <v>2400</v>
      </c>
      <c r="L2111">
        <v>0</v>
      </c>
      <c r="M2111">
        <v>0</v>
      </c>
      <c r="N2111">
        <v>2400</v>
      </c>
    </row>
    <row r="2112" spans="1:14" x14ac:dyDescent="0.25">
      <c r="A2112">
        <v>1184.5074090000001</v>
      </c>
      <c r="B2112" s="1">
        <f>DATE(2013,7,28) + TIME(12,10,40)</f>
        <v>41483.507407407407</v>
      </c>
      <c r="C2112">
        <v>80</v>
      </c>
      <c r="D2112">
        <v>79.979270935000002</v>
      </c>
      <c r="E2112">
        <v>50</v>
      </c>
      <c r="F2112">
        <v>47.770099639999998</v>
      </c>
      <c r="G2112">
        <v>1336.2430420000001</v>
      </c>
      <c r="H2112">
        <v>1334.8350829999999</v>
      </c>
      <c r="I2112">
        <v>1328.1293945</v>
      </c>
      <c r="J2112">
        <v>1326.9177245999999</v>
      </c>
      <c r="K2112">
        <v>2400</v>
      </c>
      <c r="L2112">
        <v>0</v>
      </c>
      <c r="M2112">
        <v>0</v>
      </c>
      <c r="N2112">
        <v>2400</v>
      </c>
    </row>
    <row r="2113" spans="1:14" x14ac:dyDescent="0.25">
      <c r="A2113">
        <v>1186.0316170000001</v>
      </c>
      <c r="B2113" s="1">
        <f>DATE(2013,7,30) + TIME(0,45,31)</f>
        <v>41485.031608796293</v>
      </c>
      <c r="C2113">
        <v>80</v>
      </c>
      <c r="D2113">
        <v>79.979278563999998</v>
      </c>
      <c r="E2113">
        <v>50</v>
      </c>
      <c r="F2113">
        <v>47.821407317999999</v>
      </c>
      <c r="G2113">
        <v>1336.2421875</v>
      </c>
      <c r="H2113">
        <v>1334.8350829999999</v>
      </c>
      <c r="I2113">
        <v>1328.1245117000001</v>
      </c>
      <c r="J2113">
        <v>1326.909668</v>
      </c>
      <c r="K2113">
        <v>2400</v>
      </c>
      <c r="L2113">
        <v>0</v>
      </c>
      <c r="M2113">
        <v>0</v>
      </c>
      <c r="N2113">
        <v>2400</v>
      </c>
    </row>
    <row r="2114" spans="1:14" x14ac:dyDescent="0.25">
      <c r="A2114">
        <v>1187.560853</v>
      </c>
      <c r="B2114" s="1">
        <f>DATE(2013,7,31) + TIME(13,27,37)</f>
        <v>41486.560844907406</v>
      </c>
      <c r="C2114">
        <v>80</v>
      </c>
      <c r="D2114">
        <v>79.979286193999997</v>
      </c>
      <c r="E2114">
        <v>50</v>
      </c>
      <c r="F2114">
        <v>47.901222228999998</v>
      </c>
      <c r="G2114">
        <v>1336.2406006000001</v>
      </c>
      <c r="H2114">
        <v>1334.8348389</v>
      </c>
      <c r="I2114">
        <v>1328.1190185999999</v>
      </c>
      <c r="J2114">
        <v>1326.8999022999999</v>
      </c>
      <c r="K2114">
        <v>2400</v>
      </c>
      <c r="L2114">
        <v>0</v>
      </c>
      <c r="M2114">
        <v>0</v>
      </c>
      <c r="N2114">
        <v>2400</v>
      </c>
    </row>
    <row r="2115" spans="1:14" x14ac:dyDescent="0.25">
      <c r="A2115">
        <v>1188</v>
      </c>
      <c r="B2115" s="1">
        <f>DATE(2013,8,1) + TIME(0,0,0)</f>
        <v>41487</v>
      </c>
      <c r="C2115">
        <v>80</v>
      </c>
      <c r="D2115">
        <v>79.979278563999998</v>
      </c>
      <c r="E2115">
        <v>50</v>
      </c>
      <c r="F2115">
        <v>47.962291718000003</v>
      </c>
      <c r="G2115">
        <v>1336.2391356999999</v>
      </c>
      <c r="H2115">
        <v>1334.8345947</v>
      </c>
      <c r="I2115">
        <v>1328.1147461</v>
      </c>
      <c r="J2115">
        <v>1326.8912353999999</v>
      </c>
      <c r="K2115">
        <v>2400</v>
      </c>
      <c r="L2115">
        <v>0</v>
      </c>
      <c r="M2115">
        <v>0</v>
      </c>
      <c r="N2115">
        <v>2400</v>
      </c>
    </row>
    <row r="2116" spans="1:14" x14ac:dyDescent="0.25">
      <c r="A2116">
        <v>1189.562891</v>
      </c>
      <c r="B2116" s="1">
        <f>DATE(2013,8,2) + TIME(13,30,33)</f>
        <v>41488.562881944446</v>
      </c>
      <c r="C2116">
        <v>80</v>
      </c>
      <c r="D2116">
        <v>79.979286193999997</v>
      </c>
      <c r="E2116">
        <v>50</v>
      </c>
      <c r="F2116">
        <v>48.058414458999998</v>
      </c>
      <c r="G2116">
        <v>1336.2386475000001</v>
      </c>
      <c r="H2116">
        <v>1334.8345947</v>
      </c>
      <c r="I2116">
        <v>1328.1113281</v>
      </c>
      <c r="J2116">
        <v>1326.8862305</v>
      </c>
      <c r="K2116">
        <v>2400</v>
      </c>
      <c r="L2116">
        <v>0</v>
      </c>
      <c r="M2116">
        <v>0</v>
      </c>
      <c r="N2116">
        <v>2400</v>
      </c>
    </row>
    <row r="2117" spans="1:14" x14ac:dyDescent="0.25">
      <c r="A2117">
        <v>1190.3733110000001</v>
      </c>
      <c r="B2117" s="1">
        <f>DATE(2013,8,3) + TIME(8,57,34)</f>
        <v>41489.373310185183</v>
      </c>
      <c r="C2117">
        <v>80</v>
      </c>
      <c r="D2117">
        <v>79.979286193999997</v>
      </c>
      <c r="E2117">
        <v>50</v>
      </c>
      <c r="F2117">
        <v>48.170959473000003</v>
      </c>
      <c r="G2117">
        <v>1336.2370605000001</v>
      </c>
      <c r="H2117">
        <v>1334.8343506000001</v>
      </c>
      <c r="I2117">
        <v>1328.1076660000001</v>
      </c>
      <c r="J2117">
        <v>1326.8785399999999</v>
      </c>
      <c r="K2117">
        <v>2400</v>
      </c>
      <c r="L2117">
        <v>0</v>
      </c>
      <c r="M2117">
        <v>0</v>
      </c>
      <c r="N2117">
        <v>2400</v>
      </c>
    </row>
    <row r="2118" spans="1:14" x14ac:dyDescent="0.25">
      <c r="A2118">
        <v>1191.8677889999999</v>
      </c>
      <c r="B2118" s="1">
        <f>DATE(2013,8,4) + TIME(20,49,37)</f>
        <v>41490.867789351854</v>
      </c>
      <c r="C2118">
        <v>80</v>
      </c>
      <c r="D2118">
        <v>79.979293823000006</v>
      </c>
      <c r="E2118">
        <v>50</v>
      </c>
      <c r="F2118">
        <v>48.306449890000003</v>
      </c>
      <c r="G2118">
        <v>1336.2363281</v>
      </c>
      <c r="H2118">
        <v>1334.8342285000001</v>
      </c>
      <c r="I2118">
        <v>1328.104126</v>
      </c>
      <c r="J2118">
        <v>1326.8728027</v>
      </c>
      <c r="K2118">
        <v>2400</v>
      </c>
      <c r="L2118">
        <v>0</v>
      </c>
      <c r="M2118">
        <v>0</v>
      </c>
      <c r="N2118">
        <v>2400</v>
      </c>
    </row>
    <row r="2119" spans="1:14" x14ac:dyDescent="0.25">
      <c r="A2119">
        <v>1193.4402769999999</v>
      </c>
      <c r="B2119" s="1">
        <f>DATE(2013,8,6) + TIME(10,33,59)</f>
        <v>41492.440266203703</v>
      </c>
      <c r="C2119">
        <v>80</v>
      </c>
      <c r="D2119">
        <v>79.979301453000005</v>
      </c>
      <c r="E2119">
        <v>50</v>
      </c>
      <c r="F2119">
        <v>48.494804381999998</v>
      </c>
      <c r="G2119">
        <v>1336.2348632999999</v>
      </c>
      <c r="H2119">
        <v>1334.8339844</v>
      </c>
      <c r="I2119">
        <v>1328.1007079999999</v>
      </c>
      <c r="J2119">
        <v>1326.8659668</v>
      </c>
      <c r="K2119">
        <v>2400</v>
      </c>
      <c r="L2119">
        <v>0</v>
      </c>
      <c r="M2119">
        <v>0</v>
      </c>
      <c r="N2119">
        <v>2400</v>
      </c>
    </row>
    <row r="2120" spans="1:14" x14ac:dyDescent="0.25">
      <c r="A2120">
        <v>1195.061762</v>
      </c>
      <c r="B2120" s="1">
        <f>DATE(2013,8,8) + TIME(1,28,56)</f>
        <v>41494.061759259261</v>
      </c>
      <c r="C2120">
        <v>80</v>
      </c>
      <c r="D2120">
        <v>79.979301453000005</v>
      </c>
      <c r="E2120">
        <v>50</v>
      </c>
      <c r="F2120">
        <v>48.735527038999997</v>
      </c>
      <c r="G2120">
        <v>1336.2332764</v>
      </c>
      <c r="H2120">
        <v>1334.8336182</v>
      </c>
      <c r="I2120">
        <v>1328.0972899999999</v>
      </c>
      <c r="J2120">
        <v>1326.8592529</v>
      </c>
      <c r="K2120">
        <v>2400</v>
      </c>
      <c r="L2120">
        <v>0</v>
      </c>
      <c r="M2120">
        <v>0</v>
      </c>
      <c r="N2120">
        <v>2400</v>
      </c>
    </row>
    <row r="2121" spans="1:14" x14ac:dyDescent="0.25">
      <c r="A2121">
        <v>1195.8966170000001</v>
      </c>
      <c r="B2121" s="1">
        <f>DATE(2013,8,8) + TIME(21,31,7)</f>
        <v>41494.896608796298</v>
      </c>
      <c r="C2121">
        <v>80</v>
      </c>
      <c r="D2121">
        <v>79.979301453000005</v>
      </c>
      <c r="E2121">
        <v>50</v>
      </c>
      <c r="F2121">
        <v>48.957122802999997</v>
      </c>
      <c r="G2121">
        <v>1336.2318115</v>
      </c>
      <c r="H2121">
        <v>1334.833374</v>
      </c>
      <c r="I2121">
        <v>1328.0950928</v>
      </c>
      <c r="J2121">
        <v>1326.8536377</v>
      </c>
      <c r="K2121">
        <v>2400</v>
      </c>
      <c r="L2121">
        <v>0</v>
      </c>
      <c r="M2121">
        <v>0</v>
      </c>
      <c r="N2121">
        <v>2400</v>
      </c>
    </row>
    <row r="2122" spans="1:14" x14ac:dyDescent="0.25">
      <c r="A2122">
        <v>1197.380557</v>
      </c>
      <c r="B2122" s="1">
        <f>DATE(2013,8,10) + TIME(9,8,0)</f>
        <v>41496.380555555559</v>
      </c>
      <c r="C2122">
        <v>80</v>
      </c>
      <c r="D2122">
        <v>79.979309082</v>
      </c>
      <c r="E2122">
        <v>50</v>
      </c>
      <c r="F2122">
        <v>49.196979523000003</v>
      </c>
      <c r="G2122">
        <v>1336.230957</v>
      </c>
      <c r="H2122">
        <v>1334.8332519999999</v>
      </c>
      <c r="I2122">
        <v>1328.0921631000001</v>
      </c>
      <c r="J2122">
        <v>1326.8498535000001</v>
      </c>
      <c r="K2122">
        <v>2400</v>
      </c>
      <c r="L2122">
        <v>0</v>
      </c>
      <c r="M2122">
        <v>0</v>
      </c>
      <c r="N2122">
        <v>2400</v>
      </c>
    </row>
    <row r="2123" spans="1:14" x14ac:dyDescent="0.25">
      <c r="A2123">
        <v>1198.9973130000001</v>
      </c>
      <c r="B2123" s="1">
        <f>DATE(2013,8,11) + TIME(23,56,7)</f>
        <v>41497.997303240743</v>
      </c>
      <c r="C2123">
        <v>80</v>
      </c>
      <c r="D2123">
        <v>79.979316710999996</v>
      </c>
      <c r="E2123">
        <v>50</v>
      </c>
      <c r="F2123">
        <v>49.515865325999997</v>
      </c>
      <c r="G2123">
        <v>1336.2296143000001</v>
      </c>
      <c r="H2123">
        <v>1334.8328856999999</v>
      </c>
      <c r="I2123">
        <v>1328.0900879000001</v>
      </c>
      <c r="J2123">
        <v>1326.8455810999999</v>
      </c>
      <c r="K2123">
        <v>2400</v>
      </c>
      <c r="L2123">
        <v>0</v>
      </c>
      <c r="M2123">
        <v>0</v>
      </c>
      <c r="N2123">
        <v>2400</v>
      </c>
    </row>
    <row r="2124" spans="1:14" x14ac:dyDescent="0.25">
      <c r="A2124">
        <v>1200.7258899999999</v>
      </c>
      <c r="B2124" s="1">
        <f>DATE(2013,8,13) + TIME(17,25,16)</f>
        <v>41499.72587962963</v>
      </c>
      <c r="C2124">
        <v>80</v>
      </c>
      <c r="D2124">
        <v>79.979324340999995</v>
      </c>
      <c r="E2124">
        <v>50</v>
      </c>
      <c r="F2124">
        <v>49.870662689</v>
      </c>
      <c r="G2124">
        <v>1336.2280272999999</v>
      </c>
      <c r="H2124">
        <v>1334.8326416</v>
      </c>
      <c r="I2124">
        <v>1328.0881348</v>
      </c>
      <c r="J2124">
        <v>1326.8417969</v>
      </c>
      <c r="K2124">
        <v>2400</v>
      </c>
      <c r="L2124">
        <v>0</v>
      </c>
      <c r="M2124">
        <v>0</v>
      </c>
      <c r="N2124">
        <v>2400</v>
      </c>
    </row>
    <row r="2125" spans="1:14" x14ac:dyDescent="0.25">
      <c r="A2125">
        <v>1202.518855</v>
      </c>
      <c r="B2125" s="1">
        <f>DATE(2013,8,15) + TIME(12,27,9)</f>
        <v>41501.518854166665</v>
      </c>
      <c r="C2125">
        <v>80</v>
      </c>
      <c r="D2125">
        <v>79.979331970000004</v>
      </c>
      <c r="E2125">
        <v>50</v>
      </c>
      <c r="F2125">
        <v>50.282711028999998</v>
      </c>
      <c r="G2125">
        <v>1336.2264404</v>
      </c>
      <c r="H2125">
        <v>1334.8321533000001</v>
      </c>
      <c r="I2125">
        <v>1328.0864257999999</v>
      </c>
      <c r="J2125">
        <v>1326.8382568</v>
      </c>
      <c r="K2125">
        <v>2400</v>
      </c>
      <c r="L2125">
        <v>0</v>
      </c>
      <c r="M2125">
        <v>0</v>
      </c>
      <c r="N2125">
        <v>2400</v>
      </c>
    </row>
    <row r="2126" spans="1:14" x14ac:dyDescent="0.25">
      <c r="A2126">
        <v>1204.3815540000001</v>
      </c>
      <c r="B2126" s="1">
        <f>DATE(2013,8,17) + TIME(9,9,26)</f>
        <v>41503.381550925929</v>
      </c>
      <c r="C2126">
        <v>80</v>
      </c>
      <c r="D2126">
        <v>79.979339600000003</v>
      </c>
      <c r="E2126">
        <v>50</v>
      </c>
      <c r="F2126">
        <v>50.746284484999997</v>
      </c>
      <c r="G2126">
        <v>1336.2248535000001</v>
      </c>
      <c r="H2126">
        <v>1334.8317870999999</v>
      </c>
      <c r="I2126">
        <v>1328.0850829999999</v>
      </c>
      <c r="J2126">
        <v>1326.8353271000001</v>
      </c>
      <c r="K2126">
        <v>2400</v>
      </c>
      <c r="L2126">
        <v>0</v>
      </c>
      <c r="M2126">
        <v>0</v>
      </c>
      <c r="N2126">
        <v>2400</v>
      </c>
    </row>
    <row r="2127" spans="1:14" x14ac:dyDescent="0.25">
      <c r="A2127">
        <v>1206.3101240000001</v>
      </c>
      <c r="B2127" s="1">
        <f>DATE(2013,8,19) + TIME(7,26,34)</f>
        <v>41505.310115740744</v>
      </c>
      <c r="C2127">
        <v>80</v>
      </c>
      <c r="D2127">
        <v>79.979354857999994</v>
      </c>
      <c r="E2127">
        <v>50</v>
      </c>
      <c r="F2127">
        <v>51.248226166000002</v>
      </c>
      <c r="G2127">
        <v>1336.2231445</v>
      </c>
      <c r="H2127">
        <v>1334.8314209</v>
      </c>
      <c r="I2127">
        <v>1328.0838623</v>
      </c>
      <c r="J2127">
        <v>1326.8332519999999</v>
      </c>
      <c r="K2127">
        <v>2400</v>
      </c>
      <c r="L2127">
        <v>0</v>
      </c>
      <c r="M2127">
        <v>0</v>
      </c>
      <c r="N2127">
        <v>2400</v>
      </c>
    </row>
    <row r="2128" spans="1:14" x14ac:dyDescent="0.25">
      <c r="A2128">
        <v>1208.2853640000001</v>
      </c>
      <c r="B2128" s="1">
        <f>DATE(2013,8,21) + TIME(6,50,55)</f>
        <v>41507.285358796296</v>
      </c>
      <c r="C2128">
        <v>80</v>
      </c>
      <c r="D2128">
        <v>79.979362488000007</v>
      </c>
      <c r="E2128">
        <v>50</v>
      </c>
      <c r="F2128">
        <v>51.774932861000003</v>
      </c>
      <c r="G2128">
        <v>1336.2214355000001</v>
      </c>
      <c r="H2128">
        <v>1334.8309326000001</v>
      </c>
      <c r="I2128">
        <v>1328.0830077999999</v>
      </c>
      <c r="J2128">
        <v>1326.8316649999999</v>
      </c>
      <c r="K2128">
        <v>2400</v>
      </c>
      <c r="L2128">
        <v>0</v>
      </c>
      <c r="M2128">
        <v>0</v>
      </c>
      <c r="N2128">
        <v>2400</v>
      </c>
    </row>
    <row r="2129" spans="1:14" x14ac:dyDescent="0.25">
      <c r="A2129">
        <v>1210.317499</v>
      </c>
      <c r="B2129" s="1">
        <f>DATE(2013,8,23) + TIME(7,37,11)</f>
        <v>41509.317488425928</v>
      </c>
      <c r="C2129">
        <v>80</v>
      </c>
      <c r="D2129">
        <v>79.979370117000002</v>
      </c>
      <c r="E2129">
        <v>50</v>
      </c>
      <c r="F2129">
        <v>52.314662933000001</v>
      </c>
      <c r="G2129">
        <v>1336.2197266000001</v>
      </c>
      <c r="H2129">
        <v>1334.8305664</v>
      </c>
      <c r="I2129">
        <v>1328.0822754000001</v>
      </c>
      <c r="J2129">
        <v>1326.8305664</v>
      </c>
      <c r="K2129">
        <v>2400</v>
      </c>
      <c r="L2129">
        <v>0</v>
      </c>
      <c r="M2129">
        <v>0</v>
      </c>
      <c r="N2129">
        <v>2400</v>
      </c>
    </row>
    <row r="2130" spans="1:14" x14ac:dyDescent="0.25">
      <c r="A2130">
        <v>1212.3784639999999</v>
      </c>
      <c r="B2130" s="1">
        <f>DATE(2013,8,25) + TIME(9,4,59)</f>
        <v>41511.378460648149</v>
      </c>
      <c r="C2130">
        <v>80</v>
      </c>
      <c r="D2130">
        <v>79.979377747000001</v>
      </c>
      <c r="E2130">
        <v>50</v>
      </c>
      <c r="F2130">
        <v>52.857555388999998</v>
      </c>
      <c r="G2130">
        <v>1336.2180175999999</v>
      </c>
      <c r="H2130">
        <v>1334.8300781</v>
      </c>
      <c r="I2130">
        <v>1328.0817870999999</v>
      </c>
      <c r="J2130">
        <v>1326.8298339999999</v>
      </c>
      <c r="K2130">
        <v>2400</v>
      </c>
      <c r="L2130">
        <v>0</v>
      </c>
      <c r="M2130">
        <v>0</v>
      </c>
      <c r="N2130">
        <v>2400</v>
      </c>
    </row>
    <row r="2131" spans="1:14" x14ac:dyDescent="0.25">
      <c r="A2131">
        <v>1214.4797100000001</v>
      </c>
      <c r="B2131" s="1">
        <f>DATE(2013,8,27) + TIME(11,30,46)</f>
        <v>41513.479699074072</v>
      </c>
      <c r="C2131">
        <v>80</v>
      </c>
      <c r="D2131">
        <v>79.979393005000006</v>
      </c>
      <c r="E2131">
        <v>50</v>
      </c>
      <c r="F2131">
        <v>53.390041351000001</v>
      </c>
      <c r="G2131">
        <v>1336.2163086</v>
      </c>
      <c r="H2131">
        <v>1334.8295897999999</v>
      </c>
      <c r="I2131">
        <v>1328.081543</v>
      </c>
      <c r="J2131">
        <v>1326.8293457</v>
      </c>
      <c r="K2131">
        <v>2400</v>
      </c>
      <c r="L2131">
        <v>0</v>
      </c>
      <c r="M2131">
        <v>0</v>
      </c>
      <c r="N2131">
        <v>2400</v>
      </c>
    </row>
    <row r="2132" spans="1:14" x14ac:dyDescent="0.25">
      <c r="A2132">
        <v>1216.6449319999999</v>
      </c>
      <c r="B2132" s="1">
        <f>DATE(2013,8,29) + TIME(15,28,42)</f>
        <v>41515.644930555558</v>
      </c>
      <c r="C2132">
        <v>80</v>
      </c>
      <c r="D2132">
        <v>79.979408264</v>
      </c>
      <c r="E2132">
        <v>50</v>
      </c>
      <c r="F2132">
        <v>53.908794403000002</v>
      </c>
      <c r="G2132">
        <v>1336.2145995999999</v>
      </c>
      <c r="H2132">
        <v>1334.8291016000001</v>
      </c>
      <c r="I2132">
        <v>1328.0812988</v>
      </c>
      <c r="J2132">
        <v>1326.8289795000001</v>
      </c>
      <c r="K2132">
        <v>2400</v>
      </c>
      <c r="L2132">
        <v>0</v>
      </c>
      <c r="M2132">
        <v>0</v>
      </c>
      <c r="N2132">
        <v>2400</v>
      </c>
    </row>
    <row r="2133" spans="1:14" x14ac:dyDescent="0.25">
      <c r="A2133">
        <v>1218.8301610000001</v>
      </c>
      <c r="B2133" s="1">
        <f>DATE(2013,8,31) + TIME(19,55,25)</f>
        <v>41517.830150462964</v>
      </c>
      <c r="C2133">
        <v>80</v>
      </c>
      <c r="D2133">
        <v>79.979415893999999</v>
      </c>
      <c r="E2133">
        <v>50</v>
      </c>
      <c r="F2133">
        <v>54.415191649999997</v>
      </c>
      <c r="G2133">
        <v>1336.2128906</v>
      </c>
      <c r="H2133">
        <v>1334.8284911999999</v>
      </c>
      <c r="I2133">
        <v>1328.0814209</v>
      </c>
      <c r="J2133">
        <v>1326.8289795000001</v>
      </c>
      <c r="K2133">
        <v>2400</v>
      </c>
      <c r="L2133">
        <v>0</v>
      </c>
      <c r="M2133">
        <v>0</v>
      </c>
      <c r="N2133">
        <v>2400</v>
      </c>
    </row>
    <row r="2134" spans="1:14" x14ac:dyDescent="0.25">
      <c r="A2134">
        <v>1219</v>
      </c>
      <c r="B2134" s="1">
        <f>DATE(2013,9,1) + TIME(0,0,0)</f>
        <v>41518</v>
      </c>
      <c r="C2134">
        <v>80</v>
      </c>
      <c r="D2134">
        <v>79.979415893999999</v>
      </c>
      <c r="E2134">
        <v>50</v>
      </c>
      <c r="F2134">
        <v>54.554458617999998</v>
      </c>
      <c r="G2134">
        <v>1336.2111815999999</v>
      </c>
      <c r="H2134">
        <v>1334.8280029</v>
      </c>
      <c r="I2134">
        <v>1328.0850829999999</v>
      </c>
      <c r="J2134">
        <v>1326.8295897999999</v>
      </c>
      <c r="K2134">
        <v>2400</v>
      </c>
      <c r="L2134">
        <v>0</v>
      </c>
      <c r="M2134">
        <v>0</v>
      </c>
      <c r="N2134">
        <v>2400</v>
      </c>
    </row>
    <row r="2135" spans="1:14" x14ac:dyDescent="0.25">
      <c r="A2135">
        <v>1221.2428769999999</v>
      </c>
      <c r="B2135" s="1">
        <f>DATE(2013,9,3) + TIME(5,49,44)</f>
        <v>41520.24287037037</v>
      </c>
      <c r="C2135">
        <v>80</v>
      </c>
      <c r="D2135">
        <v>79.979431152000004</v>
      </c>
      <c r="E2135">
        <v>50</v>
      </c>
      <c r="F2135">
        <v>54.961639404000003</v>
      </c>
      <c r="G2135">
        <v>1336.2110596</v>
      </c>
      <c r="H2135">
        <v>1334.8280029</v>
      </c>
      <c r="I2135">
        <v>1328.0816649999999</v>
      </c>
      <c r="J2135">
        <v>1326.8297118999999</v>
      </c>
      <c r="K2135">
        <v>2400</v>
      </c>
      <c r="L2135">
        <v>0</v>
      </c>
      <c r="M2135">
        <v>0</v>
      </c>
      <c r="N2135">
        <v>2400</v>
      </c>
    </row>
    <row r="2136" spans="1:14" x14ac:dyDescent="0.25">
      <c r="A2136">
        <v>1223.5415849999999</v>
      </c>
      <c r="B2136" s="1">
        <f>DATE(2013,9,5) + TIME(12,59,52)</f>
        <v>41522.541574074072</v>
      </c>
      <c r="C2136">
        <v>80</v>
      </c>
      <c r="D2136">
        <v>79.979446410999998</v>
      </c>
      <c r="E2136">
        <v>50</v>
      </c>
      <c r="F2136">
        <v>55.417186737000002</v>
      </c>
      <c r="G2136">
        <v>1336.2092285000001</v>
      </c>
      <c r="H2136">
        <v>1334.8273925999999</v>
      </c>
      <c r="I2136">
        <v>1328.0820312000001</v>
      </c>
      <c r="J2136">
        <v>1326.8294678</v>
      </c>
      <c r="K2136">
        <v>2400</v>
      </c>
      <c r="L2136">
        <v>0</v>
      </c>
      <c r="M2136">
        <v>0</v>
      </c>
      <c r="N2136">
        <v>2400</v>
      </c>
    </row>
    <row r="2137" spans="1:14" x14ac:dyDescent="0.25">
      <c r="A2137">
        <v>1225.8760400000001</v>
      </c>
      <c r="B2137" s="1">
        <f>DATE(2013,9,7) + TIME(21,1,29)</f>
        <v>41524.876030092593</v>
      </c>
      <c r="C2137">
        <v>80</v>
      </c>
      <c r="D2137">
        <v>79.979461670000006</v>
      </c>
      <c r="E2137">
        <v>50</v>
      </c>
      <c r="F2137">
        <v>55.870178223000003</v>
      </c>
      <c r="G2137">
        <v>1336.2075195</v>
      </c>
      <c r="H2137">
        <v>1334.8267822</v>
      </c>
      <c r="I2137">
        <v>1328.0825195</v>
      </c>
      <c r="J2137">
        <v>1326.8297118999999</v>
      </c>
      <c r="K2137">
        <v>2400</v>
      </c>
      <c r="L2137">
        <v>0</v>
      </c>
      <c r="M2137">
        <v>0</v>
      </c>
      <c r="N2137">
        <v>2400</v>
      </c>
    </row>
    <row r="2138" spans="1:14" x14ac:dyDescent="0.25">
      <c r="A2138">
        <v>1228.2675389999999</v>
      </c>
      <c r="B2138" s="1">
        <f>DATE(2013,9,10) + TIME(6,25,15)</f>
        <v>41527.267534722225</v>
      </c>
      <c r="C2138">
        <v>80</v>
      </c>
      <c r="D2138">
        <v>79.979476929</v>
      </c>
      <c r="E2138">
        <v>50</v>
      </c>
      <c r="F2138">
        <v>56.307556151999997</v>
      </c>
      <c r="G2138">
        <v>1336.2056885</v>
      </c>
      <c r="H2138">
        <v>1334.8261719</v>
      </c>
      <c r="I2138">
        <v>1328.0831298999999</v>
      </c>
      <c r="J2138">
        <v>1326.8303223</v>
      </c>
      <c r="K2138">
        <v>2400</v>
      </c>
      <c r="L2138">
        <v>0</v>
      </c>
      <c r="M2138">
        <v>0</v>
      </c>
      <c r="N2138">
        <v>2400</v>
      </c>
    </row>
    <row r="2139" spans="1:14" x14ac:dyDescent="0.25">
      <c r="A2139">
        <v>1230.7274110000001</v>
      </c>
      <c r="B2139" s="1">
        <f>DATE(2013,9,12) + TIME(17,27,28)</f>
        <v>41529.727407407408</v>
      </c>
      <c r="C2139">
        <v>80</v>
      </c>
      <c r="D2139">
        <v>79.979492187999995</v>
      </c>
      <c r="E2139">
        <v>50</v>
      </c>
      <c r="F2139">
        <v>56.731304168999998</v>
      </c>
      <c r="G2139">
        <v>1336.2039795000001</v>
      </c>
      <c r="H2139">
        <v>1334.8255615</v>
      </c>
      <c r="I2139">
        <v>1328.0839844</v>
      </c>
      <c r="J2139">
        <v>1326.8309326000001</v>
      </c>
      <c r="K2139">
        <v>2400</v>
      </c>
      <c r="L2139">
        <v>0</v>
      </c>
      <c r="M2139">
        <v>0</v>
      </c>
      <c r="N2139">
        <v>2400</v>
      </c>
    </row>
    <row r="2140" spans="1:14" x14ac:dyDescent="0.25">
      <c r="A2140">
        <v>1233.229861</v>
      </c>
      <c r="B2140" s="1">
        <f>DATE(2013,9,15) + TIME(5,30,59)</f>
        <v>41532.229849537034</v>
      </c>
      <c r="C2140">
        <v>80</v>
      </c>
      <c r="D2140">
        <v>79.979507446</v>
      </c>
      <c r="E2140">
        <v>50</v>
      </c>
      <c r="F2140">
        <v>57.139976501</v>
      </c>
      <c r="G2140">
        <v>1336.2021483999999</v>
      </c>
      <c r="H2140">
        <v>1334.8249512</v>
      </c>
      <c r="I2140">
        <v>1328.0849608999999</v>
      </c>
      <c r="J2140">
        <v>1326.8317870999999</v>
      </c>
      <c r="K2140">
        <v>2400</v>
      </c>
      <c r="L2140">
        <v>0</v>
      </c>
      <c r="M2140">
        <v>0</v>
      </c>
      <c r="N2140">
        <v>2400</v>
      </c>
    </row>
    <row r="2141" spans="1:14" x14ac:dyDescent="0.25">
      <c r="A2141">
        <v>1235.7735809999999</v>
      </c>
      <c r="B2141" s="1">
        <f>DATE(2013,9,17) + TIME(18,33,57)</f>
        <v>41534.773576388892</v>
      </c>
      <c r="C2141">
        <v>80</v>
      </c>
      <c r="D2141">
        <v>79.979522704999994</v>
      </c>
      <c r="E2141">
        <v>50</v>
      </c>
      <c r="F2141">
        <v>57.534358978</v>
      </c>
      <c r="G2141">
        <v>1336.2003173999999</v>
      </c>
      <c r="H2141">
        <v>1334.8243408000001</v>
      </c>
      <c r="I2141">
        <v>1328.0859375</v>
      </c>
      <c r="J2141">
        <v>1326.8327637</v>
      </c>
      <c r="K2141">
        <v>2400</v>
      </c>
      <c r="L2141">
        <v>0</v>
      </c>
      <c r="M2141">
        <v>0</v>
      </c>
      <c r="N2141">
        <v>2400</v>
      </c>
    </row>
    <row r="2142" spans="1:14" x14ac:dyDescent="0.25">
      <c r="A2142">
        <v>1238.4109309999999</v>
      </c>
      <c r="B2142" s="1">
        <f>DATE(2013,9,20) + TIME(9,51,44)</f>
        <v>41537.410925925928</v>
      </c>
      <c r="C2142">
        <v>80</v>
      </c>
      <c r="D2142">
        <v>79.979545592999997</v>
      </c>
      <c r="E2142">
        <v>50</v>
      </c>
      <c r="F2142">
        <v>57.916152953999998</v>
      </c>
      <c r="G2142">
        <v>1336.1984863</v>
      </c>
      <c r="H2142">
        <v>1334.8236084</v>
      </c>
      <c r="I2142">
        <v>1328.0871582</v>
      </c>
      <c r="J2142">
        <v>1326.8339844</v>
      </c>
      <c r="K2142">
        <v>2400</v>
      </c>
      <c r="L2142">
        <v>0</v>
      </c>
      <c r="M2142">
        <v>0</v>
      </c>
      <c r="N2142">
        <v>2400</v>
      </c>
    </row>
    <row r="2143" spans="1:14" x14ac:dyDescent="0.25">
      <c r="A2143">
        <v>1241.073425</v>
      </c>
      <c r="B2143" s="1">
        <f>DATE(2013,9,23) + TIME(1,45,43)</f>
        <v>41540.073414351849</v>
      </c>
      <c r="C2143">
        <v>80</v>
      </c>
      <c r="D2143">
        <v>79.979560852000006</v>
      </c>
      <c r="E2143">
        <v>50</v>
      </c>
      <c r="F2143">
        <v>58.289134979000004</v>
      </c>
      <c r="G2143">
        <v>1336.1966553</v>
      </c>
      <c r="H2143">
        <v>1334.822876</v>
      </c>
      <c r="I2143">
        <v>1328.0883789</v>
      </c>
      <c r="J2143">
        <v>1326.8350829999999</v>
      </c>
      <c r="K2143">
        <v>2400</v>
      </c>
      <c r="L2143">
        <v>0</v>
      </c>
      <c r="M2143">
        <v>0</v>
      </c>
      <c r="N2143">
        <v>2400</v>
      </c>
    </row>
    <row r="2144" spans="1:14" x14ac:dyDescent="0.25">
      <c r="A2144">
        <v>1243.798849</v>
      </c>
      <c r="B2144" s="1">
        <f>DATE(2013,9,25) + TIME(19,10,20)</f>
        <v>41542.798842592594</v>
      </c>
      <c r="C2144">
        <v>80</v>
      </c>
      <c r="D2144">
        <v>79.979583739999995</v>
      </c>
      <c r="E2144">
        <v>50</v>
      </c>
      <c r="F2144">
        <v>58.648231506000002</v>
      </c>
      <c r="G2144">
        <v>1336.1948242000001</v>
      </c>
      <c r="H2144">
        <v>1334.8221435999999</v>
      </c>
      <c r="I2144">
        <v>1328.0897216999999</v>
      </c>
      <c r="J2144">
        <v>1326.8364257999999</v>
      </c>
      <c r="K2144">
        <v>2400</v>
      </c>
      <c r="L2144">
        <v>0</v>
      </c>
      <c r="M2144">
        <v>0</v>
      </c>
      <c r="N2144">
        <v>2400</v>
      </c>
    </row>
    <row r="2145" spans="1:14" x14ac:dyDescent="0.25">
      <c r="A2145">
        <v>1246.618316</v>
      </c>
      <c r="B2145" s="1">
        <f>DATE(2013,9,28) + TIME(14,50,22)</f>
        <v>41545.618310185186</v>
      </c>
      <c r="C2145">
        <v>80</v>
      </c>
      <c r="D2145">
        <v>79.979606627999999</v>
      </c>
      <c r="E2145">
        <v>50</v>
      </c>
      <c r="F2145">
        <v>58.997123717999997</v>
      </c>
      <c r="G2145">
        <v>1336.1929932</v>
      </c>
      <c r="H2145">
        <v>1334.8214111</v>
      </c>
      <c r="I2145">
        <v>1328.0909423999999</v>
      </c>
      <c r="J2145">
        <v>1326.8376464999999</v>
      </c>
      <c r="K2145">
        <v>2400</v>
      </c>
      <c r="L2145">
        <v>0</v>
      </c>
      <c r="M2145">
        <v>0</v>
      </c>
      <c r="N2145">
        <v>2400</v>
      </c>
    </row>
    <row r="2146" spans="1:14" x14ac:dyDescent="0.25">
      <c r="A2146">
        <v>1249</v>
      </c>
      <c r="B2146" s="1">
        <f>DATE(2013,10,1) + TIME(0,0,0)</f>
        <v>41548</v>
      </c>
      <c r="C2146">
        <v>80</v>
      </c>
      <c r="D2146">
        <v>79.979621886999993</v>
      </c>
      <c r="E2146">
        <v>50</v>
      </c>
      <c r="F2146">
        <v>59.325187683000003</v>
      </c>
      <c r="G2146">
        <v>1336.1911620999999</v>
      </c>
      <c r="H2146">
        <v>1334.8206786999999</v>
      </c>
      <c r="I2146">
        <v>1328.0925293</v>
      </c>
      <c r="J2146">
        <v>1326.8389893000001</v>
      </c>
      <c r="K2146">
        <v>2400</v>
      </c>
      <c r="L2146">
        <v>0</v>
      </c>
      <c r="M2146">
        <v>0</v>
      </c>
      <c r="N2146">
        <v>2400</v>
      </c>
    </row>
    <row r="2147" spans="1:14" x14ac:dyDescent="0.25">
      <c r="A2147">
        <v>1251.860473</v>
      </c>
      <c r="B2147" s="1">
        <f>DATE(2013,10,3) + TIME(20,39,4)</f>
        <v>41550.860462962963</v>
      </c>
      <c r="C2147">
        <v>80</v>
      </c>
      <c r="D2147">
        <v>79.979644774999997</v>
      </c>
      <c r="E2147">
        <v>50</v>
      </c>
      <c r="F2147">
        <v>59.614974975999999</v>
      </c>
      <c r="G2147">
        <v>1336.1896973</v>
      </c>
      <c r="H2147">
        <v>1334.8199463000001</v>
      </c>
      <c r="I2147">
        <v>1328.0936279</v>
      </c>
      <c r="J2147">
        <v>1326.840332</v>
      </c>
      <c r="K2147">
        <v>2400</v>
      </c>
      <c r="L2147">
        <v>0</v>
      </c>
      <c r="M2147">
        <v>0</v>
      </c>
      <c r="N2147">
        <v>2400</v>
      </c>
    </row>
    <row r="2148" spans="1:14" x14ac:dyDescent="0.25">
      <c r="A2148">
        <v>1254.855039</v>
      </c>
      <c r="B2148" s="1">
        <f>DATE(2013,10,6) + TIME(20,31,15)</f>
        <v>41553.855034722219</v>
      </c>
      <c r="C2148">
        <v>80</v>
      </c>
      <c r="D2148">
        <v>79.979667664000004</v>
      </c>
      <c r="E2148">
        <v>50</v>
      </c>
      <c r="F2148">
        <v>59.923206329000003</v>
      </c>
      <c r="G2148">
        <v>1336.1877440999999</v>
      </c>
      <c r="H2148">
        <v>1334.8192139</v>
      </c>
      <c r="I2148">
        <v>1328.0948486</v>
      </c>
      <c r="J2148">
        <v>1326.8413086</v>
      </c>
      <c r="K2148">
        <v>2400</v>
      </c>
      <c r="L2148">
        <v>0</v>
      </c>
      <c r="M2148">
        <v>0</v>
      </c>
      <c r="N2148">
        <v>2400</v>
      </c>
    </row>
    <row r="2149" spans="1:14" x14ac:dyDescent="0.25">
      <c r="A2149">
        <v>1257.944113</v>
      </c>
      <c r="B2149" s="1">
        <f>DATE(2013,10,9) + TIME(22,39,31)</f>
        <v>41556.944108796299</v>
      </c>
      <c r="C2149">
        <v>80</v>
      </c>
      <c r="D2149">
        <v>79.979690551999994</v>
      </c>
      <c r="E2149">
        <v>50</v>
      </c>
      <c r="F2149">
        <v>60.231082915999998</v>
      </c>
      <c r="G2149">
        <v>1336.1859131000001</v>
      </c>
      <c r="H2149">
        <v>1334.8183594</v>
      </c>
      <c r="I2149">
        <v>1328.0961914</v>
      </c>
      <c r="J2149">
        <v>1326.8422852000001</v>
      </c>
      <c r="K2149">
        <v>2400</v>
      </c>
      <c r="L2149">
        <v>0</v>
      </c>
      <c r="M2149">
        <v>0</v>
      </c>
      <c r="N2149">
        <v>2400</v>
      </c>
    </row>
    <row r="2150" spans="1:14" x14ac:dyDescent="0.25">
      <c r="A2150">
        <v>1261.0679479999999</v>
      </c>
      <c r="B2150" s="1">
        <f>DATE(2013,10,13) + TIME(1,37,50)</f>
        <v>41560.067939814813</v>
      </c>
      <c r="C2150">
        <v>80</v>
      </c>
      <c r="D2150">
        <v>79.979705811000002</v>
      </c>
      <c r="E2150">
        <v>50</v>
      </c>
      <c r="F2150">
        <v>60.532905579000001</v>
      </c>
      <c r="G2150">
        <v>1336.1839600000001</v>
      </c>
      <c r="H2150">
        <v>1334.8175048999999</v>
      </c>
      <c r="I2150">
        <v>1328.0975341999999</v>
      </c>
      <c r="J2150">
        <v>1326.8433838000001</v>
      </c>
      <c r="K2150">
        <v>2400</v>
      </c>
      <c r="L2150">
        <v>0</v>
      </c>
      <c r="M2150">
        <v>0</v>
      </c>
      <c r="N2150">
        <v>2400</v>
      </c>
    </row>
    <row r="2151" spans="1:14" x14ac:dyDescent="0.25">
      <c r="A2151">
        <v>1264.2991730000001</v>
      </c>
      <c r="B2151" s="1">
        <f>DATE(2013,10,16) + TIME(7,10,48)</f>
        <v>41563.299166666664</v>
      </c>
      <c r="C2151">
        <v>80</v>
      </c>
      <c r="D2151">
        <v>79.979759216000005</v>
      </c>
      <c r="E2151">
        <v>50</v>
      </c>
      <c r="F2151">
        <v>60.823345183999997</v>
      </c>
      <c r="G2151">
        <v>1336.1821289</v>
      </c>
      <c r="H2151">
        <v>1334.8165283000001</v>
      </c>
      <c r="I2151">
        <v>1328.0987548999999</v>
      </c>
      <c r="J2151">
        <v>1326.8444824000001</v>
      </c>
      <c r="K2151">
        <v>2400</v>
      </c>
      <c r="L2151">
        <v>0</v>
      </c>
      <c r="M2151">
        <v>0</v>
      </c>
      <c r="N2151">
        <v>2400</v>
      </c>
    </row>
    <row r="2152" spans="1:14" x14ac:dyDescent="0.25">
      <c r="A2152">
        <v>1267.608459</v>
      </c>
      <c r="B2152" s="1">
        <f>DATE(2013,10,19) + TIME(14,36,10)</f>
        <v>41566.608449074076</v>
      </c>
      <c r="C2152">
        <v>80</v>
      </c>
      <c r="D2152">
        <v>79.979736328000001</v>
      </c>
      <c r="E2152">
        <v>50</v>
      </c>
      <c r="F2152">
        <v>61.103630066000001</v>
      </c>
      <c r="G2152">
        <v>1336.1801757999999</v>
      </c>
      <c r="H2152">
        <v>1334.8156738</v>
      </c>
      <c r="I2152">
        <v>1328.0999756000001</v>
      </c>
      <c r="J2152">
        <v>1326.8454589999999</v>
      </c>
      <c r="K2152">
        <v>2400</v>
      </c>
      <c r="L2152">
        <v>0</v>
      </c>
      <c r="M2152">
        <v>0</v>
      </c>
      <c r="N2152">
        <v>2400</v>
      </c>
    </row>
    <row r="2153" spans="1:14" x14ac:dyDescent="0.25">
      <c r="A2153">
        <v>1270.996351</v>
      </c>
      <c r="B2153" s="1">
        <f>DATE(2013,10,22) + TIME(23,54,44)</f>
        <v>41569.996342592596</v>
      </c>
      <c r="C2153">
        <v>80</v>
      </c>
      <c r="D2153">
        <v>79.979866028000004</v>
      </c>
      <c r="E2153">
        <v>50</v>
      </c>
      <c r="F2153">
        <v>61.378353119000003</v>
      </c>
      <c r="G2153">
        <v>1336.1782227000001</v>
      </c>
      <c r="H2153">
        <v>1334.8146973</v>
      </c>
      <c r="I2153">
        <v>1328.1011963000001</v>
      </c>
      <c r="J2153">
        <v>1326.8463135</v>
      </c>
      <c r="K2153">
        <v>2400</v>
      </c>
      <c r="L2153">
        <v>0</v>
      </c>
      <c r="M2153">
        <v>0</v>
      </c>
      <c r="N2153">
        <v>2400</v>
      </c>
    </row>
    <row r="2154" spans="1:14" x14ac:dyDescent="0.25">
      <c r="A2154">
        <v>1274.473553</v>
      </c>
      <c r="B2154" s="1">
        <f>DATE(2013,10,26) + TIME(11,21,54)</f>
        <v>41573.473541666666</v>
      </c>
      <c r="C2154">
        <v>80</v>
      </c>
      <c r="D2154">
        <v>79.979660034000005</v>
      </c>
      <c r="E2154">
        <v>50</v>
      </c>
      <c r="F2154">
        <v>61.639911652000002</v>
      </c>
      <c r="G2154">
        <v>1336.1762695</v>
      </c>
      <c r="H2154">
        <v>1334.8137207</v>
      </c>
      <c r="I2154">
        <v>1328.1024170000001</v>
      </c>
      <c r="J2154">
        <v>1326.847168</v>
      </c>
      <c r="K2154">
        <v>2400</v>
      </c>
      <c r="L2154">
        <v>0</v>
      </c>
      <c r="M2154">
        <v>0</v>
      </c>
      <c r="N2154">
        <v>2400</v>
      </c>
    </row>
    <row r="2155" spans="1:14" x14ac:dyDescent="0.25">
      <c r="A2155">
        <v>1276.2269739999999</v>
      </c>
      <c r="B2155" s="1">
        <f>DATE(2013,10,28) + TIME(5,26,50)</f>
        <v>41575.226967592593</v>
      </c>
      <c r="C2155">
        <v>80</v>
      </c>
      <c r="D2155">
        <v>79.979751586999996</v>
      </c>
      <c r="E2155">
        <v>50</v>
      </c>
      <c r="F2155">
        <v>61.870475769000002</v>
      </c>
      <c r="G2155">
        <v>1336.1743164</v>
      </c>
      <c r="H2155">
        <v>1334.8127440999999</v>
      </c>
      <c r="I2155">
        <v>1328.1038818</v>
      </c>
      <c r="J2155">
        <v>1326.8480225000001</v>
      </c>
      <c r="K2155">
        <v>2400</v>
      </c>
      <c r="L2155">
        <v>0</v>
      </c>
      <c r="M2155">
        <v>0</v>
      </c>
      <c r="N2155">
        <v>2400</v>
      </c>
    </row>
    <row r="2156" spans="1:14" x14ac:dyDescent="0.25">
      <c r="A2156">
        <v>1278.5328420000001</v>
      </c>
      <c r="B2156" s="1">
        <f>DATE(2013,10,30) + TIME(12,47,17)</f>
        <v>41577.532835648148</v>
      </c>
      <c r="C2156">
        <v>80</v>
      </c>
      <c r="D2156">
        <v>79.979919433999996</v>
      </c>
      <c r="E2156">
        <v>50</v>
      </c>
      <c r="F2156">
        <v>62.022651672000002</v>
      </c>
      <c r="G2156">
        <v>1336.1733397999999</v>
      </c>
      <c r="H2156">
        <v>1334.8123779</v>
      </c>
      <c r="I2156">
        <v>1328.1044922000001</v>
      </c>
      <c r="J2156">
        <v>1326.8493652</v>
      </c>
      <c r="K2156">
        <v>2400</v>
      </c>
      <c r="L2156">
        <v>0</v>
      </c>
      <c r="M2156">
        <v>0</v>
      </c>
      <c r="N2156">
        <v>2400</v>
      </c>
    </row>
    <row r="2157" spans="1:14" x14ac:dyDescent="0.25">
      <c r="A2157">
        <v>1280</v>
      </c>
      <c r="B2157" s="1">
        <f>DATE(2013,11,1) + TIME(0,0,0)</f>
        <v>41579</v>
      </c>
      <c r="C2157">
        <v>80</v>
      </c>
      <c r="D2157">
        <v>79.97984314</v>
      </c>
      <c r="E2157">
        <v>50</v>
      </c>
      <c r="F2157">
        <v>62.164398192999997</v>
      </c>
      <c r="G2157">
        <v>1336.1721190999999</v>
      </c>
      <c r="H2157">
        <v>1334.8115233999999</v>
      </c>
      <c r="I2157">
        <v>1328.1052245999999</v>
      </c>
      <c r="J2157">
        <v>1326.8496094</v>
      </c>
      <c r="K2157">
        <v>2400</v>
      </c>
      <c r="L2157">
        <v>0</v>
      </c>
      <c r="M2157">
        <v>0</v>
      </c>
      <c r="N2157">
        <v>2400</v>
      </c>
    </row>
    <row r="2158" spans="1:14" x14ac:dyDescent="0.25">
      <c r="A2158">
        <v>1280.0000010000001</v>
      </c>
      <c r="B2158" s="1">
        <f>DATE(2013,11,1) + TIME(0,0,0)</f>
        <v>41579</v>
      </c>
      <c r="C2158">
        <v>80</v>
      </c>
      <c r="D2158">
        <v>79.979766846000004</v>
      </c>
      <c r="E2158">
        <v>50</v>
      </c>
      <c r="F2158">
        <v>62.164478301999999</v>
      </c>
      <c r="G2158">
        <v>1334.2563477000001</v>
      </c>
      <c r="H2158">
        <v>1334.0489502</v>
      </c>
      <c r="I2158">
        <v>1330.0484618999999</v>
      </c>
      <c r="J2158">
        <v>1328.8607178</v>
      </c>
      <c r="K2158">
        <v>0</v>
      </c>
      <c r="L2158">
        <v>2400</v>
      </c>
      <c r="M2158">
        <v>2400</v>
      </c>
      <c r="N2158">
        <v>0</v>
      </c>
    </row>
    <row r="2159" spans="1:14" x14ac:dyDescent="0.25">
      <c r="A2159">
        <v>1280.000004</v>
      </c>
      <c r="B2159" s="1">
        <f>DATE(2013,11,1) + TIME(0,0,0)</f>
        <v>41579</v>
      </c>
      <c r="C2159">
        <v>80</v>
      </c>
      <c r="D2159">
        <v>79.979682921999995</v>
      </c>
      <c r="E2159">
        <v>50</v>
      </c>
      <c r="F2159">
        <v>62.164520263999997</v>
      </c>
      <c r="G2159">
        <v>1333.6833495999999</v>
      </c>
      <c r="H2159">
        <v>1333.4594727000001</v>
      </c>
      <c r="I2159">
        <v>1330.8378906</v>
      </c>
      <c r="J2159">
        <v>1329.6807861</v>
      </c>
      <c r="K2159">
        <v>0</v>
      </c>
      <c r="L2159">
        <v>2400</v>
      </c>
      <c r="M2159">
        <v>2400</v>
      </c>
      <c r="N2159">
        <v>0</v>
      </c>
    </row>
    <row r="2160" spans="1:14" x14ac:dyDescent="0.25">
      <c r="A2160">
        <v>1280.0000130000001</v>
      </c>
      <c r="B2160" s="1">
        <f>DATE(2013,11,1) + TIME(0,0,1)</f>
        <v>41579.000011574077</v>
      </c>
      <c r="C2160">
        <v>80</v>
      </c>
      <c r="D2160">
        <v>79.979606627999999</v>
      </c>
      <c r="E2160">
        <v>50</v>
      </c>
      <c r="F2160">
        <v>62.164428710999999</v>
      </c>
      <c r="G2160">
        <v>1333.1489257999999</v>
      </c>
      <c r="H2160">
        <v>1332.8925781</v>
      </c>
      <c r="I2160">
        <v>1331.645874</v>
      </c>
      <c r="J2160">
        <v>1330.4619141000001</v>
      </c>
      <c r="K2160">
        <v>0</v>
      </c>
      <c r="L2160">
        <v>2400</v>
      </c>
      <c r="M2160">
        <v>2400</v>
      </c>
      <c r="N2160">
        <v>0</v>
      </c>
    </row>
    <row r="2161" spans="1:14" x14ac:dyDescent="0.25">
      <c r="A2161">
        <v>1280.0000399999999</v>
      </c>
      <c r="B2161" s="1">
        <f>DATE(2013,11,1) + TIME(0,0,3)</f>
        <v>41579.000034722223</v>
      </c>
      <c r="C2161">
        <v>80</v>
      </c>
      <c r="D2161">
        <v>79.979530334000003</v>
      </c>
      <c r="E2161">
        <v>50</v>
      </c>
      <c r="F2161">
        <v>62.163921356000003</v>
      </c>
      <c r="G2161">
        <v>1332.6235352000001</v>
      </c>
      <c r="H2161">
        <v>1332.3343506000001</v>
      </c>
      <c r="I2161">
        <v>1332.4185791</v>
      </c>
      <c r="J2161">
        <v>1331.2061768000001</v>
      </c>
      <c r="K2161">
        <v>0</v>
      </c>
      <c r="L2161">
        <v>2400</v>
      </c>
      <c r="M2161">
        <v>2400</v>
      </c>
      <c r="N2161">
        <v>0</v>
      </c>
    </row>
    <row r="2162" spans="1:14" x14ac:dyDescent="0.25">
      <c r="A2162">
        <v>1280.000121</v>
      </c>
      <c r="B2162" s="1">
        <f>DATE(2013,11,1) + TIME(0,0,10)</f>
        <v>41579.000115740739</v>
      </c>
      <c r="C2162">
        <v>80</v>
      </c>
      <c r="D2162">
        <v>79.979438782000003</v>
      </c>
      <c r="E2162">
        <v>50</v>
      </c>
      <c r="F2162">
        <v>62.162151336999997</v>
      </c>
      <c r="G2162">
        <v>1332.0837402</v>
      </c>
      <c r="H2162">
        <v>1331.7635498</v>
      </c>
      <c r="I2162">
        <v>1333.1687012</v>
      </c>
      <c r="J2162">
        <v>1331.9263916</v>
      </c>
      <c r="K2162">
        <v>0</v>
      </c>
      <c r="L2162">
        <v>2400</v>
      </c>
      <c r="M2162">
        <v>2400</v>
      </c>
      <c r="N2162">
        <v>0</v>
      </c>
    </row>
    <row r="2163" spans="1:14" x14ac:dyDescent="0.25">
      <c r="A2163">
        <v>1280.000364</v>
      </c>
      <c r="B2163" s="1">
        <f>DATE(2013,11,1) + TIME(0,0,31)</f>
        <v>41579.000358796293</v>
      </c>
      <c r="C2163">
        <v>80</v>
      </c>
      <c r="D2163">
        <v>79.979339600000003</v>
      </c>
      <c r="E2163">
        <v>50</v>
      </c>
      <c r="F2163">
        <v>62.156494141000003</v>
      </c>
      <c r="G2163">
        <v>1331.5565185999999</v>
      </c>
      <c r="H2163">
        <v>1331.2066649999999</v>
      </c>
      <c r="I2163">
        <v>1333.8712158000001</v>
      </c>
      <c r="J2163">
        <v>1332.5943603999999</v>
      </c>
      <c r="K2163">
        <v>0</v>
      </c>
      <c r="L2163">
        <v>2400</v>
      </c>
      <c r="M2163">
        <v>2400</v>
      </c>
      <c r="N2163">
        <v>0</v>
      </c>
    </row>
    <row r="2164" spans="1:14" x14ac:dyDescent="0.25">
      <c r="A2164">
        <v>1280.0010930000001</v>
      </c>
      <c r="B2164" s="1">
        <f>DATE(2013,11,1) + TIME(0,1,34)</f>
        <v>41579.001087962963</v>
      </c>
      <c r="C2164">
        <v>80</v>
      </c>
      <c r="D2164">
        <v>79.979179381999998</v>
      </c>
      <c r="E2164">
        <v>50</v>
      </c>
      <c r="F2164">
        <v>62.138954163000001</v>
      </c>
      <c r="G2164">
        <v>1331.1376952999999</v>
      </c>
      <c r="H2164">
        <v>1330.7651367000001</v>
      </c>
      <c r="I2164">
        <v>1334.4204102000001</v>
      </c>
      <c r="J2164">
        <v>1333.1137695</v>
      </c>
      <c r="K2164">
        <v>0</v>
      </c>
      <c r="L2164">
        <v>2400</v>
      </c>
      <c r="M2164">
        <v>2400</v>
      </c>
      <c r="N2164">
        <v>0</v>
      </c>
    </row>
    <row r="2165" spans="1:14" x14ac:dyDescent="0.25">
      <c r="A2165">
        <v>1280.0032799999999</v>
      </c>
      <c r="B2165" s="1">
        <f>DATE(2013,11,1) + TIME(0,4,43)</f>
        <v>41579.003275462965</v>
      </c>
      <c r="C2165">
        <v>80</v>
      </c>
      <c r="D2165">
        <v>79.978858947999996</v>
      </c>
      <c r="E2165">
        <v>50</v>
      </c>
      <c r="F2165">
        <v>62.085853577000002</v>
      </c>
      <c r="G2165">
        <v>1330.9196777</v>
      </c>
      <c r="H2165">
        <v>1330.5367432</v>
      </c>
      <c r="I2165">
        <v>1334.7039795000001</v>
      </c>
      <c r="J2165">
        <v>1333.3830565999999</v>
      </c>
      <c r="K2165">
        <v>0</v>
      </c>
      <c r="L2165">
        <v>2400</v>
      </c>
      <c r="M2165">
        <v>2400</v>
      </c>
      <c r="N2165">
        <v>0</v>
      </c>
    </row>
    <row r="2166" spans="1:14" x14ac:dyDescent="0.25">
      <c r="A2166">
        <v>1280.0098410000001</v>
      </c>
      <c r="B2166" s="1">
        <f>DATE(2013,11,1) + TIME(0,14,10)</f>
        <v>41579.009837962964</v>
      </c>
      <c r="C2166">
        <v>80</v>
      </c>
      <c r="D2166">
        <v>79.977989196999999</v>
      </c>
      <c r="E2166">
        <v>50</v>
      </c>
      <c r="F2166">
        <v>61.928520202999998</v>
      </c>
      <c r="G2166">
        <v>1330.8634033000001</v>
      </c>
      <c r="H2166">
        <v>1330.4776611</v>
      </c>
      <c r="I2166">
        <v>1334.7735596</v>
      </c>
      <c r="J2166">
        <v>1333.4493408000001</v>
      </c>
      <c r="K2166">
        <v>0</v>
      </c>
      <c r="L2166">
        <v>2400</v>
      </c>
      <c r="M2166">
        <v>2400</v>
      </c>
      <c r="N2166">
        <v>0</v>
      </c>
    </row>
    <row r="2167" spans="1:14" x14ac:dyDescent="0.25">
      <c r="A2167">
        <v>1280.029524</v>
      </c>
      <c r="B2167" s="1">
        <f>DATE(2013,11,1) + TIME(0,42,30)</f>
        <v>41579.029513888891</v>
      </c>
      <c r="C2167">
        <v>80</v>
      </c>
      <c r="D2167">
        <v>79.975410460999996</v>
      </c>
      <c r="E2167">
        <v>50</v>
      </c>
      <c r="F2167">
        <v>61.477535248000002</v>
      </c>
      <c r="G2167">
        <v>1330.8555908000001</v>
      </c>
      <c r="H2167">
        <v>1330.4682617000001</v>
      </c>
      <c r="I2167">
        <v>1334.7730713000001</v>
      </c>
      <c r="J2167">
        <v>1333.4490966999999</v>
      </c>
      <c r="K2167">
        <v>0</v>
      </c>
      <c r="L2167">
        <v>2400</v>
      </c>
      <c r="M2167">
        <v>2400</v>
      </c>
      <c r="N2167">
        <v>0</v>
      </c>
    </row>
    <row r="2168" spans="1:14" x14ac:dyDescent="0.25">
      <c r="A2168">
        <v>1280.0520690000001</v>
      </c>
      <c r="B2168" s="1">
        <f>DATE(2013,11,1) + TIME(1,14,58)</f>
        <v>41579.052060185182</v>
      </c>
      <c r="C2168">
        <v>80</v>
      </c>
      <c r="D2168">
        <v>79.972488403</v>
      </c>
      <c r="E2168">
        <v>50</v>
      </c>
      <c r="F2168">
        <v>60.986820221000002</v>
      </c>
      <c r="G2168">
        <v>1330.8500977000001</v>
      </c>
      <c r="H2168">
        <v>1330.4599608999999</v>
      </c>
      <c r="I2168">
        <v>1334.7677002</v>
      </c>
      <c r="J2168">
        <v>1333.4436035000001</v>
      </c>
      <c r="K2168">
        <v>0</v>
      </c>
      <c r="L2168">
        <v>2400</v>
      </c>
      <c r="M2168">
        <v>2400</v>
      </c>
      <c r="N2168">
        <v>0</v>
      </c>
    </row>
    <row r="2169" spans="1:14" x14ac:dyDescent="0.25">
      <c r="A2169">
        <v>1280.0756080000001</v>
      </c>
      <c r="B2169" s="1">
        <f>DATE(2013,11,1) + TIME(1,48,52)</f>
        <v>41579.075601851851</v>
      </c>
      <c r="C2169">
        <v>80</v>
      </c>
      <c r="D2169">
        <v>79.969459533999995</v>
      </c>
      <c r="E2169">
        <v>50</v>
      </c>
      <c r="F2169">
        <v>60.500724792</v>
      </c>
      <c r="G2169">
        <v>1330.8443603999999</v>
      </c>
      <c r="H2169">
        <v>1330.4511719</v>
      </c>
      <c r="I2169">
        <v>1334.7628173999999</v>
      </c>
      <c r="J2169">
        <v>1333.4384766000001</v>
      </c>
      <c r="K2169">
        <v>0</v>
      </c>
      <c r="L2169">
        <v>2400</v>
      </c>
      <c r="M2169">
        <v>2400</v>
      </c>
      <c r="N2169">
        <v>0</v>
      </c>
    </row>
    <row r="2170" spans="1:14" x14ac:dyDescent="0.25">
      <c r="A2170">
        <v>1280.1002129999999</v>
      </c>
      <c r="B2170" s="1">
        <f>DATE(2013,11,1) + TIME(2,24,18)</f>
        <v>41579.100208333337</v>
      </c>
      <c r="C2170">
        <v>80</v>
      </c>
      <c r="D2170">
        <v>79.966316223000007</v>
      </c>
      <c r="E2170">
        <v>50</v>
      </c>
      <c r="F2170">
        <v>60.019386292</v>
      </c>
      <c r="G2170">
        <v>1330.8386230000001</v>
      </c>
      <c r="H2170">
        <v>1330.4421387</v>
      </c>
      <c r="I2170">
        <v>1334.7583007999999</v>
      </c>
      <c r="J2170">
        <v>1333.4335937999999</v>
      </c>
      <c r="K2170">
        <v>0</v>
      </c>
      <c r="L2170">
        <v>2400</v>
      </c>
      <c r="M2170">
        <v>2400</v>
      </c>
      <c r="N2170">
        <v>0</v>
      </c>
    </row>
    <row r="2171" spans="1:14" x14ac:dyDescent="0.25">
      <c r="A2171">
        <v>1280.125961</v>
      </c>
      <c r="B2171" s="1">
        <f>DATE(2013,11,1) + TIME(3,1,23)</f>
        <v>41579.125960648147</v>
      </c>
      <c r="C2171">
        <v>80</v>
      </c>
      <c r="D2171">
        <v>79.963058472</v>
      </c>
      <c r="E2171">
        <v>50</v>
      </c>
      <c r="F2171">
        <v>59.542667389000002</v>
      </c>
      <c r="G2171">
        <v>1330.8327637</v>
      </c>
      <c r="H2171">
        <v>1330.4331055</v>
      </c>
      <c r="I2171">
        <v>1334.7542725000001</v>
      </c>
      <c r="J2171">
        <v>1333.4290771000001</v>
      </c>
      <c r="K2171">
        <v>0</v>
      </c>
      <c r="L2171">
        <v>2400</v>
      </c>
      <c r="M2171">
        <v>2400</v>
      </c>
      <c r="N2171">
        <v>0</v>
      </c>
    </row>
    <row r="2172" spans="1:14" x14ac:dyDescent="0.25">
      <c r="A2172">
        <v>1280.1529390000001</v>
      </c>
      <c r="B2172" s="1">
        <f>DATE(2013,11,1) + TIME(3,40,13)</f>
        <v>41579.152928240743</v>
      </c>
      <c r="C2172">
        <v>80</v>
      </c>
      <c r="D2172">
        <v>79.959686278999996</v>
      </c>
      <c r="E2172">
        <v>50</v>
      </c>
      <c r="F2172">
        <v>59.071079253999997</v>
      </c>
      <c r="G2172">
        <v>1330.8269043</v>
      </c>
      <c r="H2172">
        <v>1330.4239502</v>
      </c>
      <c r="I2172">
        <v>1334.7507324000001</v>
      </c>
      <c r="J2172">
        <v>1333.4248047000001</v>
      </c>
      <c r="K2172">
        <v>0</v>
      </c>
      <c r="L2172">
        <v>2400</v>
      </c>
      <c r="M2172">
        <v>2400</v>
      </c>
      <c r="N2172">
        <v>0</v>
      </c>
    </row>
    <row r="2173" spans="1:14" x14ac:dyDescent="0.25">
      <c r="A2173">
        <v>1280.181241</v>
      </c>
      <c r="B2173" s="1">
        <f>DATE(2013,11,1) + TIME(4,20,59)</f>
        <v>41579.181238425925</v>
      </c>
      <c r="C2173">
        <v>80</v>
      </c>
      <c r="D2173">
        <v>79.956176757999998</v>
      </c>
      <c r="E2173">
        <v>50</v>
      </c>
      <c r="F2173">
        <v>58.604869843000003</v>
      </c>
      <c r="G2173">
        <v>1330.8208007999999</v>
      </c>
      <c r="H2173">
        <v>1330.4146728999999</v>
      </c>
      <c r="I2173">
        <v>1334.7476807</v>
      </c>
      <c r="J2173">
        <v>1333.4208983999999</v>
      </c>
      <c r="K2173">
        <v>0</v>
      </c>
      <c r="L2173">
        <v>2400</v>
      </c>
      <c r="M2173">
        <v>2400</v>
      </c>
      <c r="N2173">
        <v>0</v>
      </c>
    </row>
    <row r="2174" spans="1:14" x14ac:dyDescent="0.25">
      <c r="A2174">
        <v>1280.210975</v>
      </c>
      <c r="B2174" s="1">
        <f>DATE(2013,11,1) + TIME(5,3,48)</f>
        <v>41579.210972222223</v>
      </c>
      <c r="C2174">
        <v>80</v>
      </c>
      <c r="D2174">
        <v>79.952537536999998</v>
      </c>
      <c r="E2174">
        <v>50</v>
      </c>
      <c r="F2174">
        <v>58.144294739000003</v>
      </c>
      <c r="G2174">
        <v>1330.8146973</v>
      </c>
      <c r="H2174">
        <v>1330.4051514</v>
      </c>
      <c r="I2174">
        <v>1334.7451172000001</v>
      </c>
      <c r="J2174">
        <v>1333.4174805</v>
      </c>
      <c r="K2174">
        <v>0</v>
      </c>
      <c r="L2174">
        <v>2400</v>
      </c>
      <c r="M2174">
        <v>2400</v>
      </c>
      <c r="N2174">
        <v>0</v>
      </c>
    </row>
    <row r="2175" spans="1:14" x14ac:dyDescent="0.25">
      <c r="A2175">
        <v>1280.242246</v>
      </c>
      <c r="B2175" s="1">
        <f>DATE(2013,11,1) + TIME(5,48,50)</f>
        <v>41579.242245370369</v>
      </c>
      <c r="C2175">
        <v>80</v>
      </c>
      <c r="D2175">
        <v>79.948753357000001</v>
      </c>
      <c r="E2175">
        <v>50</v>
      </c>
      <c r="F2175">
        <v>57.689792633000003</v>
      </c>
      <c r="G2175">
        <v>1330.8084716999999</v>
      </c>
      <c r="H2175">
        <v>1330.3956298999999</v>
      </c>
      <c r="I2175">
        <v>1334.7431641000001</v>
      </c>
      <c r="J2175">
        <v>1333.4143065999999</v>
      </c>
      <c r="K2175">
        <v>0</v>
      </c>
      <c r="L2175">
        <v>2400</v>
      </c>
      <c r="M2175">
        <v>2400</v>
      </c>
      <c r="N2175">
        <v>0</v>
      </c>
    </row>
    <row r="2176" spans="1:14" x14ac:dyDescent="0.25">
      <c r="A2176">
        <v>1280.2751929999999</v>
      </c>
      <c r="B2176" s="1">
        <f>DATE(2013,11,1) + TIME(6,36,16)</f>
        <v>41579.275185185186</v>
      </c>
      <c r="C2176">
        <v>80</v>
      </c>
      <c r="D2176">
        <v>79.944816588999998</v>
      </c>
      <c r="E2176">
        <v>50</v>
      </c>
      <c r="F2176">
        <v>57.241580962999997</v>
      </c>
      <c r="G2176">
        <v>1330.802124</v>
      </c>
      <c r="H2176">
        <v>1330.3857422000001</v>
      </c>
      <c r="I2176">
        <v>1334.7418213000001</v>
      </c>
      <c r="J2176">
        <v>1333.4116211</v>
      </c>
      <c r="K2176">
        <v>0</v>
      </c>
      <c r="L2176">
        <v>2400</v>
      </c>
      <c r="M2176">
        <v>2400</v>
      </c>
      <c r="N2176">
        <v>0</v>
      </c>
    </row>
    <row r="2177" spans="1:14" x14ac:dyDescent="0.25">
      <c r="A2177">
        <v>1280.309966</v>
      </c>
      <c r="B2177" s="1">
        <f>DATE(2013,11,1) + TIME(7,26,21)</f>
        <v>41579.309965277775</v>
      </c>
      <c r="C2177">
        <v>80</v>
      </c>
      <c r="D2177">
        <v>79.940727233999993</v>
      </c>
      <c r="E2177">
        <v>50</v>
      </c>
      <c r="F2177">
        <v>56.799964905000003</v>
      </c>
      <c r="G2177">
        <v>1330.7956543</v>
      </c>
      <c r="H2177">
        <v>1330.3758545000001</v>
      </c>
      <c r="I2177">
        <v>1334.7410889</v>
      </c>
      <c r="J2177">
        <v>1333.4093018000001</v>
      </c>
      <c r="K2177">
        <v>0</v>
      </c>
      <c r="L2177">
        <v>2400</v>
      </c>
      <c r="M2177">
        <v>2400</v>
      </c>
      <c r="N2177">
        <v>0</v>
      </c>
    </row>
    <row r="2178" spans="1:14" x14ac:dyDescent="0.25">
      <c r="A2178">
        <v>1280.3467310000001</v>
      </c>
      <c r="B2178" s="1">
        <f>DATE(2013,11,1) + TIME(8,19,17)</f>
        <v>41579.346724537034</v>
      </c>
      <c r="C2178">
        <v>80</v>
      </c>
      <c r="D2178">
        <v>79.936462402000004</v>
      </c>
      <c r="E2178">
        <v>50</v>
      </c>
      <c r="F2178">
        <v>56.365333557</v>
      </c>
      <c r="G2178">
        <v>1330.7890625</v>
      </c>
      <c r="H2178">
        <v>1330.3657227000001</v>
      </c>
      <c r="I2178">
        <v>1334.7409668</v>
      </c>
      <c r="J2178">
        <v>1333.4074707</v>
      </c>
      <c r="K2178">
        <v>0</v>
      </c>
      <c r="L2178">
        <v>2400</v>
      </c>
      <c r="M2178">
        <v>2400</v>
      </c>
      <c r="N2178">
        <v>0</v>
      </c>
    </row>
    <row r="2179" spans="1:14" x14ac:dyDescent="0.25">
      <c r="A2179">
        <v>1280.385675</v>
      </c>
      <c r="B2179" s="1">
        <f>DATE(2013,11,1) + TIME(9,15,22)</f>
        <v>41579.385671296295</v>
      </c>
      <c r="C2179">
        <v>80</v>
      </c>
      <c r="D2179">
        <v>79.932014464999995</v>
      </c>
      <c r="E2179">
        <v>50</v>
      </c>
      <c r="F2179">
        <v>55.938129425</v>
      </c>
      <c r="G2179">
        <v>1330.7822266000001</v>
      </c>
      <c r="H2179">
        <v>1330.3553466999999</v>
      </c>
      <c r="I2179">
        <v>1334.7415771000001</v>
      </c>
      <c r="J2179">
        <v>1333.4060059000001</v>
      </c>
      <c r="K2179">
        <v>0</v>
      </c>
      <c r="L2179">
        <v>2400</v>
      </c>
      <c r="M2179">
        <v>2400</v>
      </c>
      <c r="N2179">
        <v>0</v>
      </c>
    </row>
    <row r="2180" spans="1:14" x14ac:dyDescent="0.25">
      <c r="A2180">
        <v>1280.4270120000001</v>
      </c>
      <c r="B2180" s="1">
        <f>DATE(2013,11,1) + TIME(10,14,53)</f>
        <v>41579.427002314813</v>
      </c>
      <c r="C2180">
        <v>80</v>
      </c>
      <c r="D2180">
        <v>79.927383422999995</v>
      </c>
      <c r="E2180">
        <v>50</v>
      </c>
      <c r="F2180">
        <v>55.51883316</v>
      </c>
      <c r="G2180">
        <v>1330.7753906</v>
      </c>
      <c r="H2180">
        <v>1330.3447266000001</v>
      </c>
      <c r="I2180">
        <v>1334.7429199000001</v>
      </c>
      <c r="J2180">
        <v>1333.4051514</v>
      </c>
      <c r="K2180">
        <v>0</v>
      </c>
      <c r="L2180">
        <v>2400</v>
      </c>
      <c r="M2180">
        <v>2400</v>
      </c>
      <c r="N2180">
        <v>0</v>
      </c>
    </row>
    <row r="2181" spans="1:14" x14ac:dyDescent="0.25">
      <c r="A2181">
        <v>1280.470982</v>
      </c>
      <c r="B2181" s="1">
        <f>DATE(2013,11,1) + TIME(11,18,12)</f>
        <v>41579.470972222225</v>
      </c>
      <c r="C2181">
        <v>80</v>
      </c>
      <c r="D2181">
        <v>79.922538756999998</v>
      </c>
      <c r="E2181">
        <v>50</v>
      </c>
      <c r="F2181">
        <v>55.107994079999997</v>
      </c>
      <c r="G2181">
        <v>1330.7683105000001</v>
      </c>
      <c r="H2181">
        <v>1330.3338623</v>
      </c>
      <c r="I2181">
        <v>1334.7449951000001</v>
      </c>
      <c r="J2181">
        <v>1333.4047852000001</v>
      </c>
      <c r="K2181">
        <v>0</v>
      </c>
      <c r="L2181">
        <v>2400</v>
      </c>
      <c r="M2181">
        <v>2400</v>
      </c>
      <c r="N2181">
        <v>0</v>
      </c>
    </row>
    <row r="2182" spans="1:14" x14ac:dyDescent="0.25">
      <c r="A2182">
        <v>1280.5178639999999</v>
      </c>
      <c r="B2182" s="1">
        <f>DATE(2013,11,1) + TIME(12,25,43)</f>
        <v>41579.517858796295</v>
      </c>
      <c r="C2182">
        <v>80</v>
      </c>
      <c r="D2182">
        <v>79.917480468999997</v>
      </c>
      <c r="E2182">
        <v>50</v>
      </c>
      <c r="F2182">
        <v>54.706211089999996</v>
      </c>
      <c r="G2182">
        <v>1330.7609863</v>
      </c>
      <c r="H2182">
        <v>1330.3227539</v>
      </c>
      <c r="I2182">
        <v>1334.7479248</v>
      </c>
      <c r="J2182">
        <v>1333.4049072</v>
      </c>
      <c r="K2182">
        <v>0</v>
      </c>
      <c r="L2182">
        <v>2400</v>
      </c>
      <c r="M2182">
        <v>2400</v>
      </c>
      <c r="N2182">
        <v>0</v>
      </c>
    </row>
    <row r="2183" spans="1:14" x14ac:dyDescent="0.25">
      <c r="A2183">
        <v>1280.5679749999999</v>
      </c>
      <c r="B2183" s="1">
        <f>DATE(2013,11,1) + TIME(13,37,53)</f>
        <v>41579.567974537036</v>
      </c>
      <c r="C2183">
        <v>80</v>
      </c>
      <c r="D2183">
        <v>79.912185668999996</v>
      </c>
      <c r="E2183">
        <v>50</v>
      </c>
      <c r="F2183">
        <v>54.314151764000002</v>
      </c>
      <c r="G2183">
        <v>1330.753418</v>
      </c>
      <c r="H2183">
        <v>1330.3112793</v>
      </c>
      <c r="I2183">
        <v>1334.7515868999999</v>
      </c>
      <c r="J2183">
        <v>1333.4055175999999</v>
      </c>
      <c r="K2183">
        <v>0</v>
      </c>
      <c r="L2183">
        <v>2400</v>
      </c>
      <c r="M2183">
        <v>2400</v>
      </c>
      <c r="N2183">
        <v>0</v>
      </c>
    </row>
    <row r="2184" spans="1:14" x14ac:dyDescent="0.25">
      <c r="A2184">
        <v>1280.621684</v>
      </c>
      <c r="B2184" s="1">
        <f>DATE(2013,11,1) + TIME(14,55,13)</f>
        <v>41579.621678240743</v>
      </c>
      <c r="C2184">
        <v>80</v>
      </c>
      <c r="D2184">
        <v>79.906631469999994</v>
      </c>
      <c r="E2184">
        <v>50</v>
      </c>
      <c r="F2184">
        <v>53.932556151999997</v>
      </c>
      <c r="G2184">
        <v>1330.7457274999999</v>
      </c>
      <c r="H2184">
        <v>1330.2994385</v>
      </c>
      <c r="I2184">
        <v>1334.7561035000001</v>
      </c>
      <c r="J2184">
        <v>1333.4068603999999</v>
      </c>
      <c r="K2184">
        <v>0</v>
      </c>
      <c r="L2184">
        <v>2400</v>
      </c>
      <c r="M2184">
        <v>2400</v>
      </c>
      <c r="N2184">
        <v>0</v>
      </c>
    </row>
    <row r="2185" spans="1:14" x14ac:dyDescent="0.25">
      <c r="A2185">
        <v>1280.679421</v>
      </c>
      <c r="B2185" s="1">
        <f>DATE(2013,11,1) + TIME(16,18,22)</f>
        <v>41579.6794212963</v>
      </c>
      <c r="C2185">
        <v>80</v>
      </c>
      <c r="D2185">
        <v>79.900810242000006</v>
      </c>
      <c r="E2185">
        <v>50</v>
      </c>
      <c r="F2185">
        <v>53.562229156000001</v>
      </c>
      <c r="G2185">
        <v>1330.737793</v>
      </c>
      <c r="H2185">
        <v>1330.2872314000001</v>
      </c>
      <c r="I2185">
        <v>1334.7614745999999</v>
      </c>
      <c r="J2185">
        <v>1333.4086914</v>
      </c>
      <c r="K2185">
        <v>0</v>
      </c>
      <c r="L2185">
        <v>2400</v>
      </c>
      <c r="M2185">
        <v>2400</v>
      </c>
      <c r="N2185">
        <v>0</v>
      </c>
    </row>
    <row r="2186" spans="1:14" x14ac:dyDescent="0.25">
      <c r="A2186">
        <v>1280.7417009999999</v>
      </c>
      <c r="B2186" s="1">
        <f>DATE(2013,11,1) + TIME(17,48,2)</f>
        <v>41579.741689814815</v>
      </c>
      <c r="C2186">
        <v>80</v>
      </c>
      <c r="D2186">
        <v>79.894691467000001</v>
      </c>
      <c r="E2186">
        <v>50</v>
      </c>
      <c r="F2186">
        <v>53.204013824</v>
      </c>
      <c r="G2186">
        <v>1330.7294922000001</v>
      </c>
      <c r="H2186">
        <v>1330.2746582</v>
      </c>
      <c r="I2186">
        <v>1334.7678223</v>
      </c>
      <c r="J2186">
        <v>1333.4111327999999</v>
      </c>
      <c r="K2186">
        <v>0</v>
      </c>
      <c r="L2186">
        <v>2400</v>
      </c>
      <c r="M2186">
        <v>2400</v>
      </c>
      <c r="N2186">
        <v>0</v>
      </c>
    </row>
    <row r="2187" spans="1:14" x14ac:dyDescent="0.25">
      <c r="A2187">
        <v>1280.809105</v>
      </c>
      <c r="B2187" s="1">
        <f>DATE(2013,11,1) + TIME(19,25,6)</f>
        <v>41579.80909722222</v>
      </c>
      <c r="C2187">
        <v>80</v>
      </c>
      <c r="D2187">
        <v>79.888244628999999</v>
      </c>
      <c r="E2187">
        <v>50</v>
      </c>
      <c r="F2187">
        <v>52.858970642000003</v>
      </c>
      <c r="G2187">
        <v>1330.7208252</v>
      </c>
      <c r="H2187">
        <v>1330.2615966999999</v>
      </c>
      <c r="I2187">
        <v>1334.7750243999999</v>
      </c>
      <c r="J2187">
        <v>1333.4141846</v>
      </c>
      <c r="K2187">
        <v>0</v>
      </c>
      <c r="L2187">
        <v>2400</v>
      </c>
      <c r="M2187">
        <v>2400</v>
      </c>
      <c r="N2187">
        <v>0</v>
      </c>
    </row>
    <row r="2188" spans="1:14" x14ac:dyDescent="0.25">
      <c r="A2188">
        <v>1280.882335</v>
      </c>
      <c r="B2188" s="1">
        <f>DATE(2013,11,1) + TIME(21,10,33)</f>
        <v>41579.882326388892</v>
      </c>
      <c r="C2188">
        <v>80</v>
      </c>
      <c r="D2188">
        <v>79.881454468000001</v>
      </c>
      <c r="E2188">
        <v>50</v>
      </c>
      <c r="F2188">
        <v>52.528171538999999</v>
      </c>
      <c r="G2188">
        <v>1330.7117920000001</v>
      </c>
      <c r="H2188">
        <v>1330.2479248</v>
      </c>
      <c r="I2188">
        <v>1334.7830810999999</v>
      </c>
      <c r="J2188">
        <v>1333.4178466999999</v>
      </c>
      <c r="K2188">
        <v>0</v>
      </c>
      <c r="L2188">
        <v>2400</v>
      </c>
      <c r="M2188">
        <v>2400</v>
      </c>
      <c r="N2188">
        <v>0</v>
      </c>
    </row>
    <row r="2189" spans="1:14" x14ac:dyDescent="0.25">
      <c r="A2189">
        <v>1280.962123</v>
      </c>
      <c r="B2189" s="1">
        <f>DATE(2013,11,1) + TIME(23,5,27)</f>
        <v>41579.962118055555</v>
      </c>
      <c r="C2189">
        <v>80</v>
      </c>
      <c r="D2189">
        <v>79.874275208</v>
      </c>
      <c r="E2189">
        <v>50</v>
      </c>
      <c r="F2189">
        <v>52.213165283000002</v>
      </c>
      <c r="G2189">
        <v>1330.7023925999999</v>
      </c>
      <c r="H2189">
        <v>1330.2337646000001</v>
      </c>
      <c r="I2189">
        <v>1334.7919922000001</v>
      </c>
      <c r="J2189">
        <v>1333.4222411999999</v>
      </c>
      <c r="K2189">
        <v>0</v>
      </c>
      <c r="L2189">
        <v>2400</v>
      </c>
      <c r="M2189">
        <v>2400</v>
      </c>
      <c r="N2189">
        <v>0</v>
      </c>
    </row>
    <row r="2190" spans="1:14" x14ac:dyDescent="0.25">
      <c r="A2190">
        <v>1281.047225</v>
      </c>
      <c r="B2190" s="1">
        <f>DATE(2013,11,2) + TIME(1,8,0)</f>
        <v>41580.047222222223</v>
      </c>
      <c r="C2190">
        <v>80</v>
      </c>
      <c r="D2190">
        <v>79.866859435999999</v>
      </c>
      <c r="E2190">
        <v>50</v>
      </c>
      <c r="F2190">
        <v>51.921703338999997</v>
      </c>
      <c r="G2190">
        <v>1330.6926269999999</v>
      </c>
      <c r="H2190">
        <v>1330.2188721</v>
      </c>
      <c r="I2190">
        <v>1334.802124</v>
      </c>
      <c r="J2190">
        <v>1333.4273682</v>
      </c>
      <c r="K2190">
        <v>0</v>
      </c>
      <c r="L2190">
        <v>2400</v>
      </c>
      <c r="M2190">
        <v>2400</v>
      </c>
      <c r="N2190">
        <v>0</v>
      </c>
    </row>
    <row r="2191" spans="1:14" x14ac:dyDescent="0.25">
      <c r="A2191">
        <v>1281.138357</v>
      </c>
      <c r="B2191" s="1">
        <f>DATE(2013,11,2) + TIME(3,19,14)</f>
        <v>41580.138356481482</v>
      </c>
      <c r="C2191">
        <v>80</v>
      </c>
      <c r="D2191">
        <v>79.859169006000002</v>
      </c>
      <c r="E2191">
        <v>50</v>
      </c>
      <c r="F2191">
        <v>51.653282165999997</v>
      </c>
      <c r="G2191">
        <v>1330.6824951000001</v>
      </c>
      <c r="H2191">
        <v>1330.2037353999999</v>
      </c>
      <c r="I2191">
        <v>1334.8127440999999</v>
      </c>
      <c r="J2191">
        <v>1333.4329834</v>
      </c>
      <c r="K2191">
        <v>0</v>
      </c>
      <c r="L2191">
        <v>2400</v>
      </c>
      <c r="M2191">
        <v>2400</v>
      </c>
      <c r="N2191">
        <v>0</v>
      </c>
    </row>
    <row r="2192" spans="1:14" x14ac:dyDescent="0.25">
      <c r="A2192">
        <v>1281.2363459999999</v>
      </c>
      <c r="B2192" s="1">
        <f>DATE(2013,11,2) + TIME(5,40,20)</f>
        <v>41580.236342592594</v>
      </c>
      <c r="C2192">
        <v>80</v>
      </c>
      <c r="D2192">
        <v>79.851165770999998</v>
      </c>
      <c r="E2192">
        <v>50</v>
      </c>
      <c r="F2192">
        <v>51.407524109000001</v>
      </c>
      <c r="G2192">
        <v>1330.6719971</v>
      </c>
      <c r="H2192">
        <v>1330.1879882999999</v>
      </c>
      <c r="I2192">
        <v>1334.8238524999999</v>
      </c>
      <c r="J2192">
        <v>1333.4389647999999</v>
      </c>
      <c r="K2192">
        <v>0</v>
      </c>
      <c r="L2192">
        <v>2400</v>
      </c>
      <c r="M2192">
        <v>2400</v>
      </c>
      <c r="N2192">
        <v>0</v>
      </c>
    </row>
    <row r="2193" spans="1:14" x14ac:dyDescent="0.25">
      <c r="A2193">
        <v>1281.342179</v>
      </c>
      <c r="B2193" s="1">
        <f>DATE(2013,11,2) + TIME(8,12,44)</f>
        <v>41580.342175925929</v>
      </c>
      <c r="C2193">
        <v>80</v>
      </c>
      <c r="D2193">
        <v>79.842811584000003</v>
      </c>
      <c r="E2193">
        <v>50</v>
      </c>
      <c r="F2193">
        <v>51.184051513999997</v>
      </c>
      <c r="G2193">
        <v>1330.6611327999999</v>
      </c>
      <c r="H2193">
        <v>1330.1717529</v>
      </c>
      <c r="I2193">
        <v>1334.8353271000001</v>
      </c>
      <c r="J2193">
        <v>1333.4451904</v>
      </c>
      <c r="K2193">
        <v>0</v>
      </c>
      <c r="L2193">
        <v>2400</v>
      </c>
      <c r="M2193">
        <v>2400</v>
      </c>
      <c r="N2193">
        <v>0</v>
      </c>
    </row>
    <row r="2194" spans="1:14" x14ac:dyDescent="0.25">
      <c r="A2194">
        <v>1281.4570550000001</v>
      </c>
      <c r="B2194" s="1">
        <f>DATE(2013,11,2) + TIME(10,58,9)</f>
        <v>41580.457048611112</v>
      </c>
      <c r="C2194">
        <v>80</v>
      </c>
      <c r="D2194">
        <v>79.834045410000002</v>
      </c>
      <c r="E2194">
        <v>50</v>
      </c>
      <c r="F2194">
        <v>50.982479095000002</v>
      </c>
      <c r="G2194">
        <v>1330.6499022999999</v>
      </c>
      <c r="H2194">
        <v>1330.1549072</v>
      </c>
      <c r="I2194">
        <v>1334.8469238</v>
      </c>
      <c r="J2194">
        <v>1333.4519043</v>
      </c>
      <c r="K2194">
        <v>0</v>
      </c>
      <c r="L2194">
        <v>2400</v>
      </c>
      <c r="M2194">
        <v>2400</v>
      </c>
      <c r="N2194">
        <v>0</v>
      </c>
    </row>
    <row r="2195" spans="1:14" x14ac:dyDescent="0.25">
      <c r="A2195">
        <v>1281.582445</v>
      </c>
      <c r="B2195" s="1">
        <f>DATE(2013,11,2) + TIME(13,58,43)</f>
        <v>41580.582442129627</v>
      </c>
      <c r="C2195">
        <v>80</v>
      </c>
      <c r="D2195">
        <v>79.824790954999997</v>
      </c>
      <c r="E2195">
        <v>50</v>
      </c>
      <c r="F2195">
        <v>50.802371979</v>
      </c>
      <c r="G2195">
        <v>1330.6379394999999</v>
      </c>
      <c r="H2195">
        <v>1330.137207</v>
      </c>
      <c r="I2195">
        <v>1334.8587646000001</v>
      </c>
      <c r="J2195">
        <v>1333.4586182</v>
      </c>
      <c r="K2195">
        <v>0</v>
      </c>
      <c r="L2195">
        <v>2400</v>
      </c>
      <c r="M2195">
        <v>2400</v>
      </c>
      <c r="N2195">
        <v>0</v>
      </c>
    </row>
    <row r="2196" spans="1:14" x14ac:dyDescent="0.25">
      <c r="A2196">
        <v>1281.7201829999999</v>
      </c>
      <c r="B2196" s="1">
        <f>DATE(2013,11,2) + TIME(17,17,3)</f>
        <v>41580.720173611109</v>
      </c>
      <c r="C2196">
        <v>80</v>
      </c>
      <c r="D2196">
        <v>79.814971924000005</v>
      </c>
      <c r="E2196">
        <v>50</v>
      </c>
      <c r="F2196">
        <v>50.643241881999998</v>
      </c>
      <c r="G2196">
        <v>1330.6254882999999</v>
      </c>
      <c r="H2196">
        <v>1330.1187743999999</v>
      </c>
      <c r="I2196">
        <v>1334.8707274999999</v>
      </c>
      <c r="J2196">
        <v>1333.4655762</v>
      </c>
      <c r="K2196">
        <v>0</v>
      </c>
      <c r="L2196">
        <v>2400</v>
      </c>
      <c r="M2196">
        <v>2400</v>
      </c>
      <c r="N2196">
        <v>0</v>
      </c>
    </row>
    <row r="2197" spans="1:14" x14ac:dyDescent="0.25">
      <c r="A2197">
        <v>1281.8679970000001</v>
      </c>
      <c r="B2197" s="1">
        <f>DATE(2013,11,2) + TIME(20,49,54)</f>
        <v>41580.867986111109</v>
      </c>
      <c r="C2197">
        <v>80</v>
      </c>
      <c r="D2197">
        <v>79.804740906000006</v>
      </c>
      <c r="E2197">
        <v>50</v>
      </c>
      <c r="F2197">
        <v>50.507793427000003</v>
      </c>
      <c r="G2197">
        <v>1330.6123047000001</v>
      </c>
      <c r="H2197">
        <v>1330.0992432</v>
      </c>
      <c r="I2197">
        <v>1334.8826904</v>
      </c>
      <c r="J2197">
        <v>1333.4727783000001</v>
      </c>
      <c r="K2197">
        <v>0</v>
      </c>
      <c r="L2197">
        <v>2400</v>
      </c>
      <c r="M2197">
        <v>2400</v>
      </c>
      <c r="N2197">
        <v>0</v>
      </c>
    </row>
    <row r="2198" spans="1:14" x14ac:dyDescent="0.25">
      <c r="A2198">
        <v>1282.0207230000001</v>
      </c>
      <c r="B2198" s="1">
        <f>DATE(2013,11,3) + TIME(0,29,50)</f>
        <v>41581.02071759259</v>
      </c>
      <c r="C2198">
        <v>80</v>
      </c>
      <c r="D2198">
        <v>79.794380188000005</v>
      </c>
      <c r="E2198">
        <v>50</v>
      </c>
      <c r="F2198">
        <v>50.397541046000001</v>
      </c>
      <c r="G2198">
        <v>1330.5986327999999</v>
      </c>
      <c r="H2198">
        <v>1330.0791016000001</v>
      </c>
      <c r="I2198">
        <v>1334.8942870999999</v>
      </c>
      <c r="J2198">
        <v>1333.4798584</v>
      </c>
      <c r="K2198">
        <v>0</v>
      </c>
      <c r="L2198">
        <v>2400</v>
      </c>
      <c r="M2198">
        <v>2400</v>
      </c>
      <c r="N2198">
        <v>0</v>
      </c>
    </row>
    <row r="2199" spans="1:14" x14ac:dyDescent="0.25">
      <c r="A2199">
        <v>1282.178944</v>
      </c>
      <c r="B2199" s="1">
        <f>DATE(2013,11,3) + TIME(4,17,40)</f>
        <v>41581.178935185184</v>
      </c>
      <c r="C2199">
        <v>80</v>
      </c>
      <c r="D2199">
        <v>79.783836364999999</v>
      </c>
      <c r="E2199">
        <v>50</v>
      </c>
      <c r="F2199">
        <v>50.308250426999997</v>
      </c>
      <c r="G2199">
        <v>1330.5849608999999</v>
      </c>
      <c r="H2199">
        <v>1330.0589600000001</v>
      </c>
      <c r="I2199">
        <v>1334.9049072</v>
      </c>
      <c r="J2199">
        <v>1333.4864502</v>
      </c>
      <c r="K2199">
        <v>0</v>
      </c>
      <c r="L2199">
        <v>2400</v>
      </c>
      <c r="M2199">
        <v>2400</v>
      </c>
      <c r="N2199">
        <v>0</v>
      </c>
    </row>
    <row r="2200" spans="1:14" x14ac:dyDescent="0.25">
      <c r="A2200">
        <v>1282.343093</v>
      </c>
      <c r="B2200" s="1">
        <f>DATE(2013,11,3) + TIME(8,14,3)</f>
        <v>41581.343090277776</v>
      </c>
      <c r="C2200">
        <v>80</v>
      </c>
      <c r="D2200">
        <v>79.773040770999998</v>
      </c>
      <c r="E2200">
        <v>50</v>
      </c>
      <c r="F2200">
        <v>50.236427307</v>
      </c>
      <c r="G2200">
        <v>1330.5710449000001</v>
      </c>
      <c r="H2200">
        <v>1330.0385742000001</v>
      </c>
      <c r="I2200">
        <v>1334.9143065999999</v>
      </c>
      <c r="J2200">
        <v>1333.4923096</v>
      </c>
      <c r="K2200">
        <v>0</v>
      </c>
      <c r="L2200">
        <v>2400</v>
      </c>
      <c r="M2200">
        <v>2400</v>
      </c>
      <c r="N2200">
        <v>0</v>
      </c>
    </row>
    <row r="2201" spans="1:14" x14ac:dyDescent="0.25">
      <c r="A2201">
        <v>1282.513641</v>
      </c>
      <c r="B2201" s="1">
        <f>DATE(2013,11,3) + TIME(12,19,38)</f>
        <v>41581.51363425926</v>
      </c>
      <c r="C2201">
        <v>80</v>
      </c>
      <c r="D2201">
        <v>79.761940002000003</v>
      </c>
      <c r="E2201">
        <v>50</v>
      </c>
      <c r="F2201">
        <v>50.179080962999997</v>
      </c>
      <c r="G2201">
        <v>1330.5570068</v>
      </c>
      <c r="H2201">
        <v>1330.0180664</v>
      </c>
      <c r="I2201">
        <v>1334.9227295000001</v>
      </c>
      <c r="J2201">
        <v>1333.4976807</v>
      </c>
      <c r="K2201">
        <v>0</v>
      </c>
      <c r="L2201">
        <v>2400</v>
      </c>
      <c r="M2201">
        <v>2400</v>
      </c>
      <c r="N2201">
        <v>0</v>
      </c>
    </row>
    <row r="2202" spans="1:14" x14ac:dyDescent="0.25">
      <c r="A2202">
        <v>1282.6910949999999</v>
      </c>
      <c r="B2202" s="1">
        <f>DATE(2013,11,3) + TIME(16,35,10)</f>
        <v>41581.691087962965</v>
      </c>
      <c r="C2202">
        <v>80</v>
      </c>
      <c r="D2202">
        <v>79.750450134000005</v>
      </c>
      <c r="E2202">
        <v>50</v>
      </c>
      <c r="F2202">
        <v>50.133647918999998</v>
      </c>
      <c r="G2202">
        <v>1330.5428466999999</v>
      </c>
      <c r="H2202">
        <v>1329.9973144999999</v>
      </c>
      <c r="I2202">
        <v>1334.9301757999999</v>
      </c>
      <c r="J2202">
        <v>1333.5024414</v>
      </c>
      <c r="K2202">
        <v>0</v>
      </c>
      <c r="L2202">
        <v>2400</v>
      </c>
      <c r="M2202">
        <v>2400</v>
      </c>
      <c r="N2202">
        <v>0</v>
      </c>
    </row>
    <row r="2203" spans="1:14" x14ac:dyDescent="0.25">
      <c r="A2203">
        <v>1282.876004</v>
      </c>
      <c r="B2203" s="1">
        <f>DATE(2013,11,3) + TIME(21,1,26)</f>
        <v>41581.87599537037</v>
      </c>
      <c r="C2203">
        <v>80</v>
      </c>
      <c r="D2203">
        <v>79.738517760999997</v>
      </c>
      <c r="E2203">
        <v>50</v>
      </c>
      <c r="F2203">
        <v>50.097953795999999</v>
      </c>
      <c r="G2203">
        <v>1330.5284423999999</v>
      </c>
      <c r="H2203">
        <v>1329.9763184000001</v>
      </c>
      <c r="I2203">
        <v>1334.9365233999999</v>
      </c>
      <c r="J2203">
        <v>1333.5067139</v>
      </c>
      <c r="K2203">
        <v>0</v>
      </c>
      <c r="L2203">
        <v>2400</v>
      </c>
      <c r="M2203">
        <v>2400</v>
      </c>
      <c r="N2203">
        <v>0</v>
      </c>
    </row>
    <row r="2204" spans="1:14" x14ac:dyDescent="0.25">
      <c r="A2204">
        <v>1283.0689649999999</v>
      </c>
      <c r="B2204" s="1">
        <f>DATE(2013,11,4) + TIME(1,39,18)</f>
        <v>41582.068958333337</v>
      </c>
      <c r="C2204">
        <v>80</v>
      </c>
      <c r="D2204">
        <v>79.726066588999998</v>
      </c>
      <c r="E2204">
        <v>50</v>
      </c>
      <c r="F2204">
        <v>50.070163727000001</v>
      </c>
      <c r="G2204">
        <v>1330.5136719</v>
      </c>
      <c r="H2204">
        <v>1329.9549560999999</v>
      </c>
      <c r="I2204">
        <v>1334.9420166</v>
      </c>
      <c r="J2204">
        <v>1333.510376</v>
      </c>
      <c r="K2204">
        <v>0</v>
      </c>
      <c r="L2204">
        <v>2400</v>
      </c>
      <c r="M2204">
        <v>2400</v>
      </c>
      <c r="N2204">
        <v>0</v>
      </c>
    </row>
    <row r="2205" spans="1:14" x14ac:dyDescent="0.25">
      <c r="A2205">
        <v>1283.270634</v>
      </c>
      <c r="B2205" s="1">
        <f>DATE(2013,11,4) + TIME(6,29,42)</f>
        <v>41582.270624999997</v>
      </c>
      <c r="C2205">
        <v>80</v>
      </c>
      <c r="D2205">
        <v>79.713012695000003</v>
      </c>
      <c r="E2205">
        <v>50</v>
      </c>
      <c r="F2205">
        <v>50.048725128000001</v>
      </c>
      <c r="G2205">
        <v>1330.4987793</v>
      </c>
      <c r="H2205">
        <v>1329.9333495999999</v>
      </c>
      <c r="I2205">
        <v>1334.9466553</v>
      </c>
      <c r="J2205">
        <v>1333.5136719</v>
      </c>
      <c r="K2205">
        <v>0</v>
      </c>
      <c r="L2205">
        <v>2400</v>
      </c>
      <c r="M2205">
        <v>2400</v>
      </c>
      <c r="N2205">
        <v>0</v>
      </c>
    </row>
    <row r="2206" spans="1:14" x14ac:dyDescent="0.25">
      <c r="A2206">
        <v>1283.480088</v>
      </c>
      <c r="B2206" s="1">
        <f>DATE(2013,11,4) + TIME(11,31,19)</f>
        <v>41582.480081018519</v>
      </c>
      <c r="C2206">
        <v>80</v>
      </c>
      <c r="D2206">
        <v>79.699371338000006</v>
      </c>
      <c r="E2206">
        <v>50</v>
      </c>
      <c r="F2206">
        <v>50.032443999999998</v>
      </c>
      <c r="G2206">
        <v>1330.4835204999999</v>
      </c>
      <c r="H2206">
        <v>1329.9113769999999</v>
      </c>
      <c r="I2206">
        <v>1334.9504394999999</v>
      </c>
      <c r="J2206">
        <v>1333.5163574000001</v>
      </c>
      <c r="K2206">
        <v>0</v>
      </c>
      <c r="L2206">
        <v>2400</v>
      </c>
      <c r="M2206">
        <v>2400</v>
      </c>
      <c r="N2206">
        <v>0</v>
      </c>
    </row>
    <row r="2207" spans="1:14" x14ac:dyDescent="0.25">
      <c r="A2207">
        <v>1283.6985569999999</v>
      </c>
      <c r="B2207" s="1">
        <f>DATE(2013,11,4) + TIME(16,45,55)</f>
        <v>41582.698553240742</v>
      </c>
      <c r="C2207">
        <v>80</v>
      </c>
      <c r="D2207">
        <v>79.685035705999994</v>
      </c>
      <c r="E2207">
        <v>50</v>
      </c>
      <c r="F2207">
        <v>50.020153045999997</v>
      </c>
      <c r="G2207">
        <v>1330.4681396000001</v>
      </c>
      <c r="H2207">
        <v>1329.8890381000001</v>
      </c>
      <c r="I2207">
        <v>1334.9533690999999</v>
      </c>
      <c r="J2207">
        <v>1333.5185547000001</v>
      </c>
      <c r="K2207">
        <v>0</v>
      </c>
      <c r="L2207">
        <v>2400</v>
      </c>
      <c r="M2207">
        <v>2400</v>
      </c>
      <c r="N2207">
        <v>0</v>
      </c>
    </row>
    <row r="2208" spans="1:14" x14ac:dyDescent="0.25">
      <c r="A2208">
        <v>1283.92768</v>
      </c>
      <c r="B2208" s="1">
        <f>DATE(2013,11,4) + TIME(22,15,51)</f>
        <v>41582.927673611113</v>
      </c>
      <c r="C2208">
        <v>80</v>
      </c>
      <c r="D2208">
        <v>79.669883728000002</v>
      </c>
      <c r="E2208">
        <v>50</v>
      </c>
      <c r="F2208">
        <v>50.010932922000002</v>
      </c>
      <c r="G2208">
        <v>1330.4522704999999</v>
      </c>
      <c r="H2208">
        <v>1329.8663329999999</v>
      </c>
      <c r="I2208">
        <v>1334.9556885</v>
      </c>
      <c r="J2208">
        <v>1333.5203856999999</v>
      </c>
      <c r="K2208">
        <v>0</v>
      </c>
      <c r="L2208">
        <v>2400</v>
      </c>
      <c r="M2208">
        <v>2400</v>
      </c>
      <c r="N2208">
        <v>0</v>
      </c>
    </row>
    <row r="2209" spans="1:14" x14ac:dyDescent="0.25">
      <c r="A2209">
        <v>1284.1693090000001</v>
      </c>
      <c r="B2209" s="1">
        <f>DATE(2013,11,5) + TIME(4,3,48)</f>
        <v>41583.169305555559</v>
      </c>
      <c r="C2209">
        <v>80</v>
      </c>
      <c r="D2209">
        <v>79.653785705999994</v>
      </c>
      <c r="E2209">
        <v>50</v>
      </c>
      <c r="F2209">
        <v>50.004070282000001</v>
      </c>
      <c r="G2209">
        <v>1330.4361572</v>
      </c>
      <c r="H2209">
        <v>1329.8432617000001</v>
      </c>
      <c r="I2209">
        <v>1334.9573975000001</v>
      </c>
      <c r="J2209">
        <v>1333.5218506000001</v>
      </c>
      <c r="K2209">
        <v>0</v>
      </c>
      <c r="L2209">
        <v>2400</v>
      </c>
      <c r="M2209">
        <v>2400</v>
      </c>
      <c r="N2209">
        <v>0</v>
      </c>
    </row>
    <row r="2210" spans="1:14" x14ac:dyDescent="0.25">
      <c r="A2210">
        <v>1284.424919</v>
      </c>
      <c r="B2210" s="1">
        <f>DATE(2013,11,5) + TIME(10,11,53)</f>
        <v>41583.42491898148</v>
      </c>
      <c r="C2210">
        <v>80</v>
      </c>
      <c r="D2210">
        <v>79.636619568</v>
      </c>
      <c r="E2210">
        <v>50</v>
      </c>
      <c r="F2210">
        <v>49.999015808000003</v>
      </c>
      <c r="G2210">
        <v>1330.4195557</v>
      </c>
      <c r="H2210">
        <v>1329.8194579999999</v>
      </c>
      <c r="I2210">
        <v>1334.958374</v>
      </c>
      <c r="J2210">
        <v>1333.5229492000001</v>
      </c>
      <c r="K2210">
        <v>0</v>
      </c>
      <c r="L2210">
        <v>2400</v>
      </c>
      <c r="M2210">
        <v>2400</v>
      </c>
      <c r="N2210">
        <v>0</v>
      </c>
    </row>
    <row r="2211" spans="1:14" x14ac:dyDescent="0.25">
      <c r="A2211">
        <v>1284.6940950000001</v>
      </c>
      <c r="B2211" s="1">
        <f>DATE(2013,11,5) + TIME(16,39,29)</f>
        <v>41583.694085648145</v>
      </c>
      <c r="C2211">
        <v>80</v>
      </c>
      <c r="D2211">
        <v>79.618354796999995</v>
      </c>
      <c r="E2211">
        <v>50</v>
      </c>
      <c r="F2211">
        <v>49.995353698999999</v>
      </c>
      <c r="G2211">
        <v>1330.4024658000001</v>
      </c>
      <c r="H2211">
        <v>1329.7950439000001</v>
      </c>
      <c r="I2211">
        <v>1334.9588623</v>
      </c>
      <c r="J2211">
        <v>1333.5236815999999</v>
      </c>
      <c r="K2211">
        <v>0</v>
      </c>
      <c r="L2211">
        <v>2400</v>
      </c>
      <c r="M2211">
        <v>2400</v>
      </c>
      <c r="N2211">
        <v>0</v>
      </c>
    </row>
    <row r="2212" spans="1:14" x14ac:dyDescent="0.25">
      <c r="A2212">
        <v>1284.9773499999999</v>
      </c>
      <c r="B2212" s="1">
        <f>DATE(2013,11,5) + TIME(23,27,23)</f>
        <v>41583.977349537039</v>
      </c>
      <c r="C2212">
        <v>80</v>
      </c>
      <c r="D2212">
        <v>79.598945618000002</v>
      </c>
      <c r="E2212">
        <v>50</v>
      </c>
      <c r="F2212">
        <v>49.992729187000002</v>
      </c>
      <c r="G2212">
        <v>1330.3848877</v>
      </c>
      <c r="H2212">
        <v>1329.7700195</v>
      </c>
      <c r="I2212">
        <v>1334.9588623</v>
      </c>
      <c r="J2212">
        <v>1333.5240478999999</v>
      </c>
      <c r="K2212">
        <v>0</v>
      </c>
      <c r="L2212">
        <v>2400</v>
      </c>
      <c r="M2212">
        <v>2400</v>
      </c>
      <c r="N2212">
        <v>0</v>
      </c>
    </row>
    <row r="2213" spans="1:14" x14ac:dyDescent="0.25">
      <c r="A2213">
        <v>1285.275903</v>
      </c>
      <c r="B2213" s="1">
        <f>DATE(2013,11,6) + TIME(6,37,18)</f>
        <v>41584.275902777779</v>
      </c>
      <c r="C2213">
        <v>80</v>
      </c>
      <c r="D2213">
        <v>79.578285217000001</v>
      </c>
      <c r="E2213">
        <v>50</v>
      </c>
      <c r="F2213">
        <v>49.990867614999999</v>
      </c>
      <c r="G2213">
        <v>1330.3666992000001</v>
      </c>
      <c r="H2213">
        <v>1329.7442627</v>
      </c>
      <c r="I2213">
        <v>1334.9584961</v>
      </c>
      <c r="J2213">
        <v>1333.5242920000001</v>
      </c>
      <c r="K2213">
        <v>0</v>
      </c>
      <c r="L2213">
        <v>2400</v>
      </c>
      <c r="M2213">
        <v>2400</v>
      </c>
      <c r="N2213">
        <v>0</v>
      </c>
    </row>
    <row r="2214" spans="1:14" x14ac:dyDescent="0.25">
      <c r="A2214">
        <v>1285.591195</v>
      </c>
      <c r="B2214" s="1">
        <f>DATE(2013,11,6) + TIME(14,11,19)</f>
        <v>41584.591192129628</v>
      </c>
      <c r="C2214">
        <v>80</v>
      </c>
      <c r="D2214">
        <v>79.556282042999996</v>
      </c>
      <c r="E2214">
        <v>50</v>
      </c>
      <c r="F2214">
        <v>49.989551544000001</v>
      </c>
      <c r="G2214">
        <v>1330.3480225000001</v>
      </c>
      <c r="H2214">
        <v>1329.7178954999999</v>
      </c>
      <c r="I2214">
        <v>1334.9576416</v>
      </c>
      <c r="J2214">
        <v>1333.5241699000001</v>
      </c>
      <c r="K2214">
        <v>0</v>
      </c>
      <c r="L2214">
        <v>2400</v>
      </c>
      <c r="M2214">
        <v>2400</v>
      </c>
      <c r="N2214">
        <v>0</v>
      </c>
    </row>
    <row r="2215" spans="1:14" x14ac:dyDescent="0.25">
      <c r="A2215">
        <v>1285.9248520000001</v>
      </c>
      <c r="B2215" s="1">
        <f>DATE(2013,11,6) + TIME(22,11,47)</f>
        <v>41584.924849537034</v>
      </c>
      <c r="C2215">
        <v>80</v>
      </c>
      <c r="D2215">
        <v>79.532821655000006</v>
      </c>
      <c r="E2215">
        <v>50</v>
      </c>
      <c r="F2215">
        <v>49.988628386999999</v>
      </c>
      <c r="G2215">
        <v>1330.3288574000001</v>
      </c>
      <c r="H2215">
        <v>1329.6907959</v>
      </c>
      <c r="I2215">
        <v>1334.9564209</v>
      </c>
      <c r="J2215">
        <v>1333.5238036999999</v>
      </c>
      <c r="K2215">
        <v>0</v>
      </c>
      <c r="L2215">
        <v>2400</v>
      </c>
      <c r="M2215">
        <v>2400</v>
      </c>
      <c r="N2215">
        <v>0</v>
      </c>
    </row>
    <row r="2216" spans="1:14" x14ac:dyDescent="0.25">
      <c r="A2216">
        <v>1286.2786880000001</v>
      </c>
      <c r="B2216" s="1">
        <f>DATE(2013,11,7) + TIME(6,41,18)</f>
        <v>41585.278680555559</v>
      </c>
      <c r="C2216">
        <v>80</v>
      </c>
      <c r="D2216">
        <v>79.507789611999996</v>
      </c>
      <c r="E2216">
        <v>50</v>
      </c>
      <c r="F2216">
        <v>49.987979889000002</v>
      </c>
      <c r="G2216">
        <v>1330.3089600000001</v>
      </c>
      <c r="H2216">
        <v>1329.6628418</v>
      </c>
      <c r="I2216">
        <v>1334.9548339999999</v>
      </c>
      <c r="J2216">
        <v>1333.5233154</v>
      </c>
      <c r="K2216">
        <v>0</v>
      </c>
      <c r="L2216">
        <v>2400</v>
      </c>
      <c r="M2216">
        <v>2400</v>
      </c>
      <c r="N2216">
        <v>0</v>
      </c>
    </row>
    <row r="2217" spans="1:14" x14ac:dyDescent="0.25">
      <c r="A2217">
        <v>1286.637635</v>
      </c>
      <c r="B2217" s="1">
        <f>DATE(2013,11,7) + TIME(15,18,11)</f>
        <v>41585.637627314813</v>
      </c>
      <c r="C2217">
        <v>80</v>
      </c>
      <c r="D2217">
        <v>79.481887817</v>
      </c>
      <c r="E2217">
        <v>50</v>
      </c>
      <c r="F2217">
        <v>49.987541198999999</v>
      </c>
      <c r="G2217">
        <v>1330.2884521000001</v>
      </c>
      <c r="H2217">
        <v>1329.6341553</v>
      </c>
      <c r="I2217">
        <v>1334.9530029</v>
      </c>
      <c r="J2217">
        <v>1333.5225829999999</v>
      </c>
      <c r="K2217">
        <v>0</v>
      </c>
      <c r="L2217">
        <v>2400</v>
      </c>
      <c r="M2217">
        <v>2400</v>
      </c>
      <c r="N2217">
        <v>0</v>
      </c>
    </row>
    <row r="2218" spans="1:14" x14ac:dyDescent="0.25">
      <c r="A2218">
        <v>1287.0018520000001</v>
      </c>
      <c r="B2218" s="1">
        <f>DATE(2013,11,8) + TIME(0,2,40)</f>
        <v>41586.001851851855</v>
      </c>
      <c r="C2218">
        <v>80</v>
      </c>
      <c r="D2218">
        <v>79.455223083000007</v>
      </c>
      <c r="E2218">
        <v>50</v>
      </c>
      <c r="F2218">
        <v>49.987239838000001</v>
      </c>
      <c r="G2218">
        <v>1330.2680664</v>
      </c>
      <c r="H2218">
        <v>1329.6054687999999</v>
      </c>
      <c r="I2218">
        <v>1334.9509277</v>
      </c>
      <c r="J2218">
        <v>1333.5217285000001</v>
      </c>
      <c r="K2218">
        <v>0</v>
      </c>
      <c r="L2218">
        <v>2400</v>
      </c>
      <c r="M2218">
        <v>2400</v>
      </c>
      <c r="N2218">
        <v>0</v>
      </c>
    </row>
    <row r="2219" spans="1:14" x14ac:dyDescent="0.25">
      <c r="A2219">
        <v>1287.373955</v>
      </c>
      <c r="B2219" s="1">
        <f>DATE(2013,11,8) + TIME(8,58,29)</f>
        <v>41586.37394675926</v>
      </c>
      <c r="C2219">
        <v>80</v>
      </c>
      <c r="D2219">
        <v>79.427742003999995</v>
      </c>
      <c r="E2219">
        <v>50</v>
      </c>
      <c r="F2219">
        <v>49.987022400000001</v>
      </c>
      <c r="G2219">
        <v>1330.2475586</v>
      </c>
      <c r="H2219">
        <v>1329.5767822</v>
      </c>
      <c r="I2219">
        <v>1334.9487305</v>
      </c>
      <c r="J2219">
        <v>1333.520874</v>
      </c>
      <c r="K2219">
        <v>0</v>
      </c>
      <c r="L2219">
        <v>2400</v>
      </c>
      <c r="M2219">
        <v>2400</v>
      </c>
      <c r="N2219">
        <v>0</v>
      </c>
    </row>
    <row r="2220" spans="1:14" x14ac:dyDescent="0.25">
      <c r="A2220">
        <v>1287.7576610000001</v>
      </c>
      <c r="B2220" s="1">
        <f>DATE(2013,11,8) + TIME(18,11,1)</f>
        <v>41586.757650462961</v>
      </c>
      <c r="C2220">
        <v>80</v>
      </c>
      <c r="D2220">
        <v>79.399299622000001</v>
      </c>
      <c r="E2220">
        <v>50</v>
      </c>
      <c r="F2220">
        <v>49.986869812000002</v>
      </c>
      <c r="G2220">
        <v>1330.2270507999999</v>
      </c>
      <c r="H2220">
        <v>1329.5482178</v>
      </c>
      <c r="I2220">
        <v>1334.9464111</v>
      </c>
      <c r="J2220">
        <v>1333.5198975000001</v>
      </c>
      <c r="K2220">
        <v>0</v>
      </c>
      <c r="L2220">
        <v>2400</v>
      </c>
      <c r="M2220">
        <v>2400</v>
      </c>
      <c r="N2220">
        <v>0</v>
      </c>
    </row>
    <row r="2221" spans="1:14" x14ac:dyDescent="0.25">
      <c r="A2221">
        <v>1288.1562759999999</v>
      </c>
      <c r="B2221" s="1">
        <f>DATE(2013,11,9) + TIME(3,45,2)</f>
        <v>41587.156273148146</v>
      </c>
      <c r="C2221">
        <v>80</v>
      </c>
      <c r="D2221">
        <v>79.369720459000007</v>
      </c>
      <c r="E2221">
        <v>50</v>
      </c>
      <c r="F2221">
        <v>49.986751556000002</v>
      </c>
      <c r="G2221">
        <v>1330.2064209</v>
      </c>
      <c r="H2221">
        <v>1329.5194091999999</v>
      </c>
      <c r="I2221">
        <v>1334.9440918</v>
      </c>
      <c r="J2221">
        <v>1333.5187988</v>
      </c>
      <c r="K2221">
        <v>0</v>
      </c>
      <c r="L2221">
        <v>2400</v>
      </c>
      <c r="M2221">
        <v>2400</v>
      </c>
      <c r="N2221">
        <v>0</v>
      </c>
    </row>
    <row r="2222" spans="1:14" x14ac:dyDescent="0.25">
      <c r="A2222">
        <v>1288.5732800000001</v>
      </c>
      <c r="B2222" s="1">
        <f>DATE(2013,11,9) + TIME(13,45,31)</f>
        <v>41587.573275462964</v>
      </c>
      <c r="C2222">
        <v>80</v>
      </c>
      <c r="D2222">
        <v>79.338821410999998</v>
      </c>
      <c r="E2222">
        <v>50</v>
      </c>
      <c r="F2222">
        <v>49.986663817999997</v>
      </c>
      <c r="G2222">
        <v>1330.1854248</v>
      </c>
      <c r="H2222">
        <v>1329.4902344</v>
      </c>
      <c r="I2222">
        <v>1334.9415283000001</v>
      </c>
      <c r="J2222">
        <v>1333.5177002</v>
      </c>
      <c r="K2222">
        <v>0</v>
      </c>
      <c r="L2222">
        <v>2400</v>
      </c>
      <c r="M2222">
        <v>2400</v>
      </c>
      <c r="N2222">
        <v>0</v>
      </c>
    </row>
    <row r="2223" spans="1:14" x14ac:dyDescent="0.25">
      <c r="A2223">
        <v>1289.012737</v>
      </c>
      <c r="B2223" s="1">
        <f>DATE(2013,11,10) + TIME(0,18,20)</f>
        <v>41588.012731481482</v>
      </c>
      <c r="C2223">
        <v>80</v>
      </c>
      <c r="D2223">
        <v>79.306335449000002</v>
      </c>
      <c r="E2223">
        <v>50</v>
      </c>
      <c r="F2223">
        <v>49.986595154</v>
      </c>
      <c r="G2223">
        <v>1330.1639404</v>
      </c>
      <c r="H2223">
        <v>1329.4605713000001</v>
      </c>
      <c r="I2223">
        <v>1334.9388428</v>
      </c>
      <c r="J2223">
        <v>1333.5166016000001</v>
      </c>
      <c r="K2223">
        <v>0</v>
      </c>
      <c r="L2223">
        <v>2400</v>
      </c>
      <c r="M2223">
        <v>2400</v>
      </c>
      <c r="N2223">
        <v>0</v>
      </c>
    </row>
    <row r="2224" spans="1:14" x14ac:dyDescent="0.25">
      <c r="A2224">
        <v>1289.4668610000001</v>
      </c>
      <c r="B2224" s="1">
        <f>DATE(2013,11,10) + TIME(11,12,16)</f>
        <v>41588.466851851852</v>
      </c>
      <c r="C2224">
        <v>80</v>
      </c>
      <c r="D2224">
        <v>79.272529602000006</v>
      </c>
      <c r="E2224">
        <v>50</v>
      </c>
      <c r="F2224">
        <v>49.986537933000001</v>
      </c>
      <c r="G2224">
        <v>1330.1420897999999</v>
      </c>
      <c r="H2224">
        <v>1329.4302978999999</v>
      </c>
      <c r="I2224">
        <v>1334.9361572</v>
      </c>
      <c r="J2224">
        <v>1333.5153809000001</v>
      </c>
      <c r="K2224">
        <v>0</v>
      </c>
      <c r="L2224">
        <v>2400</v>
      </c>
      <c r="M2224">
        <v>2400</v>
      </c>
      <c r="N2224">
        <v>0</v>
      </c>
    </row>
    <row r="2225" spans="1:14" x14ac:dyDescent="0.25">
      <c r="A2225">
        <v>1289.9319399999999</v>
      </c>
      <c r="B2225" s="1">
        <f>DATE(2013,11,10) + TIME(22,21,59)</f>
        <v>41588.931932870371</v>
      </c>
      <c r="C2225">
        <v>80</v>
      </c>
      <c r="D2225">
        <v>79.237571716000005</v>
      </c>
      <c r="E2225">
        <v>50</v>
      </c>
      <c r="F2225">
        <v>49.986492157000001</v>
      </c>
      <c r="G2225">
        <v>1330.119751</v>
      </c>
      <c r="H2225">
        <v>1329.3996582</v>
      </c>
      <c r="I2225">
        <v>1334.9333495999999</v>
      </c>
      <c r="J2225">
        <v>1333.5140381000001</v>
      </c>
      <c r="K2225">
        <v>0</v>
      </c>
      <c r="L2225">
        <v>2400</v>
      </c>
      <c r="M2225">
        <v>2400</v>
      </c>
      <c r="N2225">
        <v>0</v>
      </c>
    </row>
    <row r="2226" spans="1:14" x14ac:dyDescent="0.25">
      <c r="A2226">
        <v>1290.4110069999999</v>
      </c>
      <c r="B2226" s="1">
        <f>DATE(2013,11,11) + TIME(9,51,50)</f>
        <v>41589.410995370374</v>
      </c>
      <c r="C2226">
        <v>80</v>
      </c>
      <c r="D2226">
        <v>79.201347350999995</v>
      </c>
      <c r="E2226">
        <v>50</v>
      </c>
      <c r="F2226">
        <v>49.986457825000002</v>
      </c>
      <c r="G2226">
        <v>1330.0974120999999</v>
      </c>
      <c r="H2226">
        <v>1329.3688964999999</v>
      </c>
      <c r="I2226">
        <v>1334.9305420000001</v>
      </c>
      <c r="J2226">
        <v>1333.5128173999999</v>
      </c>
      <c r="K2226">
        <v>0</v>
      </c>
      <c r="L2226">
        <v>2400</v>
      </c>
      <c r="M2226">
        <v>2400</v>
      </c>
      <c r="N2226">
        <v>0</v>
      </c>
    </row>
    <row r="2227" spans="1:14" x14ac:dyDescent="0.25">
      <c r="A2227">
        <v>1290.9095709999999</v>
      </c>
      <c r="B2227" s="1">
        <f>DATE(2013,11,11) + TIME(21,49,46)</f>
        <v>41589.909560185188</v>
      </c>
      <c r="C2227">
        <v>80</v>
      </c>
      <c r="D2227">
        <v>79.163589478000006</v>
      </c>
      <c r="E2227">
        <v>50</v>
      </c>
      <c r="F2227">
        <v>49.986427307</v>
      </c>
      <c r="G2227">
        <v>1330.0749512</v>
      </c>
      <c r="H2227">
        <v>1329.3380127</v>
      </c>
      <c r="I2227">
        <v>1334.9277344</v>
      </c>
      <c r="J2227">
        <v>1333.5115966999999</v>
      </c>
      <c r="K2227">
        <v>0</v>
      </c>
      <c r="L2227">
        <v>2400</v>
      </c>
      <c r="M2227">
        <v>2400</v>
      </c>
      <c r="N2227">
        <v>0</v>
      </c>
    </row>
    <row r="2228" spans="1:14" x14ac:dyDescent="0.25">
      <c r="A2228">
        <v>1291.431718</v>
      </c>
      <c r="B2228" s="1">
        <f>DATE(2013,11,12) + TIME(10,21,40)</f>
        <v>41590.431712962964</v>
      </c>
      <c r="C2228">
        <v>80</v>
      </c>
      <c r="D2228">
        <v>79.123985290999997</v>
      </c>
      <c r="E2228">
        <v>50</v>
      </c>
      <c r="F2228">
        <v>49.986396790000001</v>
      </c>
      <c r="G2228">
        <v>1330.0520019999999</v>
      </c>
      <c r="H2228">
        <v>1329.3066406</v>
      </c>
      <c r="I2228">
        <v>1334.9248047000001</v>
      </c>
      <c r="J2228">
        <v>1333.510376</v>
      </c>
      <c r="K2228">
        <v>0</v>
      </c>
      <c r="L2228">
        <v>2400</v>
      </c>
      <c r="M2228">
        <v>2400</v>
      </c>
      <c r="N2228">
        <v>0</v>
      </c>
    </row>
    <row r="2229" spans="1:14" x14ac:dyDescent="0.25">
      <c r="A2229">
        <v>1291.9824229999999</v>
      </c>
      <c r="B2229" s="1">
        <f>DATE(2013,11,12) + TIME(23,34,41)</f>
        <v>41590.982418981483</v>
      </c>
      <c r="C2229">
        <v>80</v>
      </c>
      <c r="D2229">
        <v>79.082168578999998</v>
      </c>
      <c r="E2229">
        <v>50</v>
      </c>
      <c r="F2229">
        <v>49.986373901</v>
      </c>
      <c r="G2229">
        <v>1330.0286865</v>
      </c>
      <c r="H2229">
        <v>1329.2747803</v>
      </c>
      <c r="I2229">
        <v>1334.921875</v>
      </c>
      <c r="J2229">
        <v>1333.5090332</v>
      </c>
      <c r="K2229">
        <v>0</v>
      </c>
      <c r="L2229">
        <v>2400</v>
      </c>
      <c r="M2229">
        <v>2400</v>
      </c>
      <c r="N2229">
        <v>0</v>
      </c>
    </row>
    <row r="2230" spans="1:14" x14ac:dyDescent="0.25">
      <c r="A2230">
        <v>1292.5520019999999</v>
      </c>
      <c r="B2230" s="1">
        <f>DATE(2013,11,13) + TIME(13,14,52)</f>
        <v>41591.551990740743</v>
      </c>
      <c r="C2230">
        <v>80</v>
      </c>
      <c r="D2230">
        <v>79.038307189999998</v>
      </c>
      <c r="E2230">
        <v>50</v>
      </c>
      <c r="F2230">
        <v>49.986351012999997</v>
      </c>
      <c r="G2230">
        <v>1330.0046387</v>
      </c>
      <c r="H2230">
        <v>1329.2421875</v>
      </c>
      <c r="I2230">
        <v>1334.9188231999999</v>
      </c>
      <c r="J2230">
        <v>1333.5078125</v>
      </c>
      <c r="K2230">
        <v>0</v>
      </c>
      <c r="L2230">
        <v>2400</v>
      </c>
      <c r="M2230">
        <v>2400</v>
      </c>
      <c r="N2230">
        <v>0</v>
      </c>
    </row>
    <row r="2231" spans="1:14" x14ac:dyDescent="0.25">
      <c r="A2231">
        <v>1293.137021</v>
      </c>
      <c r="B2231" s="1">
        <f>DATE(2013,11,14) + TIME(3,17,18)</f>
        <v>41592.137013888889</v>
      </c>
      <c r="C2231">
        <v>80</v>
      </c>
      <c r="D2231">
        <v>78.992530822999996</v>
      </c>
      <c r="E2231">
        <v>50</v>
      </c>
      <c r="F2231">
        <v>49.986328125</v>
      </c>
      <c r="G2231">
        <v>1329.9803466999999</v>
      </c>
      <c r="H2231">
        <v>1329.2093506000001</v>
      </c>
      <c r="I2231">
        <v>1334.9157714999999</v>
      </c>
      <c r="J2231">
        <v>1333.5064697</v>
      </c>
      <c r="K2231">
        <v>0</v>
      </c>
      <c r="L2231">
        <v>2400</v>
      </c>
      <c r="M2231">
        <v>2400</v>
      </c>
      <c r="N2231">
        <v>0</v>
      </c>
    </row>
    <row r="2232" spans="1:14" x14ac:dyDescent="0.25">
      <c r="A2232">
        <v>1293.739059</v>
      </c>
      <c r="B2232" s="1">
        <f>DATE(2013,11,14) + TIME(17,44,14)</f>
        <v>41592.739050925928</v>
      </c>
      <c r="C2232">
        <v>80</v>
      </c>
      <c r="D2232">
        <v>78.944786071999999</v>
      </c>
      <c r="E2232">
        <v>50</v>
      </c>
      <c r="F2232">
        <v>49.986309052000003</v>
      </c>
      <c r="G2232">
        <v>1329.9559326000001</v>
      </c>
      <c r="H2232">
        <v>1329.1762695</v>
      </c>
      <c r="I2232">
        <v>1334.9128418</v>
      </c>
      <c r="J2232">
        <v>1333.505249</v>
      </c>
      <c r="K2232">
        <v>0</v>
      </c>
      <c r="L2232">
        <v>2400</v>
      </c>
      <c r="M2232">
        <v>2400</v>
      </c>
      <c r="N2232">
        <v>0</v>
      </c>
    </row>
    <row r="2233" spans="1:14" x14ac:dyDescent="0.25">
      <c r="A2233">
        <v>1294.3619960000001</v>
      </c>
      <c r="B2233" s="1">
        <f>DATE(2013,11,15) + TIME(8,41,16)</f>
        <v>41593.361990740741</v>
      </c>
      <c r="C2233">
        <v>80</v>
      </c>
      <c r="D2233">
        <v>78.894851685000006</v>
      </c>
      <c r="E2233">
        <v>50</v>
      </c>
      <c r="F2233">
        <v>49.986289978000002</v>
      </c>
      <c r="G2233">
        <v>1329.9312743999999</v>
      </c>
      <c r="H2233">
        <v>1329.1429443</v>
      </c>
      <c r="I2233">
        <v>1334.9097899999999</v>
      </c>
      <c r="J2233">
        <v>1333.5040283000001</v>
      </c>
      <c r="K2233">
        <v>0</v>
      </c>
      <c r="L2233">
        <v>2400</v>
      </c>
      <c r="M2233">
        <v>2400</v>
      </c>
      <c r="N2233">
        <v>0</v>
      </c>
    </row>
    <row r="2234" spans="1:14" x14ac:dyDescent="0.25">
      <c r="A2234">
        <v>1295.0115430000001</v>
      </c>
      <c r="B2234" s="1">
        <f>DATE(2013,11,16) + TIME(0,16,37)</f>
        <v>41594.01153935185</v>
      </c>
      <c r="C2234">
        <v>80</v>
      </c>
      <c r="D2234">
        <v>78.842338561999995</v>
      </c>
      <c r="E2234">
        <v>50</v>
      </c>
      <c r="F2234">
        <v>49.986274719000001</v>
      </c>
      <c r="G2234">
        <v>1329.9064940999999</v>
      </c>
      <c r="H2234">
        <v>1329.1094971</v>
      </c>
      <c r="I2234">
        <v>1334.9067382999999</v>
      </c>
      <c r="J2234">
        <v>1333.5028076000001</v>
      </c>
      <c r="K2234">
        <v>0</v>
      </c>
      <c r="L2234">
        <v>2400</v>
      </c>
      <c r="M2234">
        <v>2400</v>
      </c>
      <c r="N2234">
        <v>0</v>
      </c>
    </row>
    <row r="2235" spans="1:14" x14ac:dyDescent="0.25">
      <c r="A2235">
        <v>1295.686299</v>
      </c>
      <c r="B2235" s="1">
        <f>DATE(2013,11,16) + TIME(16,28,16)</f>
        <v>41594.686296296299</v>
      </c>
      <c r="C2235">
        <v>80</v>
      </c>
      <c r="D2235">
        <v>78.787033081000004</v>
      </c>
      <c r="E2235">
        <v>50</v>
      </c>
      <c r="F2235">
        <v>49.986255645999996</v>
      </c>
      <c r="G2235">
        <v>1329.8813477000001</v>
      </c>
      <c r="H2235">
        <v>1329.0756836</v>
      </c>
      <c r="I2235">
        <v>1334.9036865</v>
      </c>
      <c r="J2235">
        <v>1333.5015868999999</v>
      </c>
      <c r="K2235">
        <v>0</v>
      </c>
      <c r="L2235">
        <v>2400</v>
      </c>
      <c r="M2235">
        <v>2400</v>
      </c>
      <c r="N2235">
        <v>0</v>
      </c>
    </row>
    <row r="2236" spans="1:14" x14ac:dyDescent="0.25">
      <c r="A2236">
        <v>1296.3695789999999</v>
      </c>
      <c r="B2236" s="1">
        <f>DATE(2013,11,17) + TIME(8,52,11)</f>
        <v>41595.369571759256</v>
      </c>
      <c r="C2236">
        <v>80</v>
      </c>
      <c r="D2236">
        <v>78.729461670000006</v>
      </c>
      <c r="E2236">
        <v>50</v>
      </c>
      <c r="F2236">
        <v>49.986240387000002</v>
      </c>
      <c r="G2236">
        <v>1329.8558350000001</v>
      </c>
      <c r="H2236">
        <v>1329.041626</v>
      </c>
      <c r="I2236">
        <v>1334.9006348</v>
      </c>
      <c r="J2236">
        <v>1333.5003661999999</v>
      </c>
      <c r="K2236">
        <v>0</v>
      </c>
      <c r="L2236">
        <v>2400</v>
      </c>
      <c r="M2236">
        <v>2400</v>
      </c>
      <c r="N2236">
        <v>0</v>
      </c>
    </row>
    <row r="2237" spans="1:14" x14ac:dyDescent="0.25">
      <c r="A2237">
        <v>1297.069481</v>
      </c>
      <c r="B2237" s="1">
        <f>DATE(2013,11,18) + TIME(1,40,3)</f>
        <v>41596.069479166668</v>
      </c>
      <c r="C2237">
        <v>80</v>
      </c>
      <c r="D2237">
        <v>78.669563292999996</v>
      </c>
      <c r="E2237">
        <v>50</v>
      </c>
      <c r="F2237">
        <v>49.986221313000001</v>
      </c>
      <c r="G2237">
        <v>1329.8304443</v>
      </c>
      <c r="H2237">
        <v>1329.0076904</v>
      </c>
      <c r="I2237">
        <v>1334.8977050999999</v>
      </c>
      <c r="J2237">
        <v>1333.4992675999999</v>
      </c>
      <c r="K2237">
        <v>0</v>
      </c>
      <c r="L2237">
        <v>2400</v>
      </c>
      <c r="M2237">
        <v>2400</v>
      </c>
      <c r="N2237">
        <v>0</v>
      </c>
    </row>
    <row r="2238" spans="1:14" x14ac:dyDescent="0.25">
      <c r="A2238">
        <v>1297.7928750000001</v>
      </c>
      <c r="B2238" s="1">
        <f>DATE(2013,11,18) + TIME(19,1,44)</f>
        <v>41596.792870370373</v>
      </c>
      <c r="C2238">
        <v>80</v>
      </c>
      <c r="D2238">
        <v>78.606979370000005</v>
      </c>
      <c r="E2238">
        <v>50</v>
      </c>
      <c r="F2238">
        <v>49.986202239999997</v>
      </c>
      <c r="G2238">
        <v>1329.8050536999999</v>
      </c>
      <c r="H2238">
        <v>1328.9738769999999</v>
      </c>
      <c r="I2238">
        <v>1334.8947754000001</v>
      </c>
      <c r="J2238">
        <v>1333.4981689000001</v>
      </c>
      <c r="K2238">
        <v>0</v>
      </c>
      <c r="L2238">
        <v>2400</v>
      </c>
      <c r="M2238">
        <v>2400</v>
      </c>
      <c r="N2238">
        <v>0</v>
      </c>
    </row>
    <row r="2239" spans="1:14" x14ac:dyDescent="0.25">
      <c r="A2239">
        <v>1298.54611</v>
      </c>
      <c r="B2239" s="1">
        <f>DATE(2013,11,19) + TIME(13,6,23)</f>
        <v>41597.546099537038</v>
      </c>
      <c r="C2239">
        <v>80</v>
      </c>
      <c r="D2239">
        <v>78.541206360000004</v>
      </c>
      <c r="E2239">
        <v>50</v>
      </c>
      <c r="F2239">
        <v>49.986186981000003</v>
      </c>
      <c r="G2239">
        <v>1329.7796631000001</v>
      </c>
      <c r="H2239">
        <v>1328.9399414</v>
      </c>
      <c r="I2239">
        <v>1334.8917236</v>
      </c>
      <c r="J2239">
        <v>1333.4970702999999</v>
      </c>
      <c r="K2239">
        <v>0</v>
      </c>
      <c r="L2239">
        <v>2400</v>
      </c>
      <c r="M2239">
        <v>2400</v>
      </c>
      <c r="N2239">
        <v>0</v>
      </c>
    </row>
    <row r="2240" spans="1:14" x14ac:dyDescent="0.25">
      <c r="A2240">
        <v>1299.332435</v>
      </c>
      <c r="B2240" s="1">
        <f>DATE(2013,11,20) + TIME(7,58,42)</f>
        <v>41598.332430555558</v>
      </c>
      <c r="C2240">
        <v>80</v>
      </c>
      <c r="D2240">
        <v>78.471763611</v>
      </c>
      <c r="E2240">
        <v>50</v>
      </c>
      <c r="F2240">
        <v>49.986167907999999</v>
      </c>
      <c r="G2240">
        <v>1329.7539062000001</v>
      </c>
      <c r="H2240">
        <v>1328.9057617000001</v>
      </c>
      <c r="I2240">
        <v>1334.8887939000001</v>
      </c>
      <c r="J2240">
        <v>1333.4959716999999</v>
      </c>
      <c r="K2240">
        <v>0</v>
      </c>
      <c r="L2240">
        <v>2400</v>
      </c>
      <c r="M2240">
        <v>2400</v>
      </c>
      <c r="N2240">
        <v>0</v>
      </c>
    </row>
    <row r="2241" spans="1:14" x14ac:dyDescent="0.25">
      <c r="A2241">
        <v>1300.1414299999999</v>
      </c>
      <c r="B2241" s="1">
        <f>DATE(2013,11,21) + TIME(3,23,39)</f>
        <v>41599.141423611109</v>
      </c>
      <c r="C2241">
        <v>80</v>
      </c>
      <c r="D2241">
        <v>78.398742675999998</v>
      </c>
      <c r="E2241">
        <v>50</v>
      </c>
      <c r="F2241">
        <v>49.986148833999998</v>
      </c>
      <c r="G2241">
        <v>1329.7276611</v>
      </c>
      <c r="H2241">
        <v>1328.8713379000001</v>
      </c>
      <c r="I2241">
        <v>1334.8857422000001</v>
      </c>
      <c r="J2241">
        <v>1333.4948730000001</v>
      </c>
      <c r="K2241">
        <v>0</v>
      </c>
      <c r="L2241">
        <v>2400</v>
      </c>
      <c r="M2241">
        <v>2400</v>
      </c>
      <c r="N2241">
        <v>0</v>
      </c>
    </row>
    <row r="2242" spans="1:14" x14ac:dyDescent="0.25">
      <c r="A2242">
        <v>1300.9776979999999</v>
      </c>
      <c r="B2242" s="1">
        <f>DATE(2013,11,21) + TIME(23,27,53)</f>
        <v>41599.977696759262</v>
      </c>
      <c r="C2242">
        <v>80</v>
      </c>
      <c r="D2242">
        <v>78.322105407999999</v>
      </c>
      <c r="E2242">
        <v>50</v>
      </c>
      <c r="F2242">
        <v>49.986133574999997</v>
      </c>
      <c r="G2242">
        <v>1329.7014160000001</v>
      </c>
      <c r="H2242">
        <v>1328.8366699000001</v>
      </c>
      <c r="I2242">
        <v>1334.8828125</v>
      </c>
      <c r="J2242">
        <v>1333.4938964999999</v>
      </c>
      <c r="K2242">
        <v>0</v>
      </c>
      <c r="L2242">
        <v>2400</v>
      </c>
      <c r="M2242">
        <v>2400</v>
      </c>
      <c r="N2242">
        <v>0</v>
      </c>
    </row>
    <row r="2243" spans="1:14" x14ac:dyDescent="0.25">
      <c r="A2243">
        <v>1301.849847</v>
      </c>
      <c r="B2243" s="1">
        <f>DATE(2013,11,22) + TIME(20,23,46)</f>
        <v>41600.84983796296</v>
      </c>
      <c r="C2243">
        <v>80</v>
      </c>
      <c r="D2243">
        <v>78.241409301999994</v>
      </c>
      <c r="E2243">
        <v>50</v>
      </c>
      <c r="F2243">
        <v>49.986114502</v>
      </c>
      <c r="G2243">
        <v>1329.6749268000001</v>
      </c>
      <c r="H2243">
        <v>1328.8018798999999</v>
      </c>
      <c r="I2243">
        <v>1334.8797606999999</v>
      </c>
      <c r="J2243">
        <v>1333.4929199000001</v>
      </c>
      <c r="K2243">
        <v>0</v>
      </c>
      <c r="L2243">
        <v>2400</v>
      </c>
      <c r="M2243">
        <v>2400</v>
      </c>
      <c r="N2243">
        <v>0</v>
      </c>
    </row>
    <row r="2244" spans="1:14" x14ac:dyDescent="0.25">
      <c r="A2244">
        <v>1302.767697</v>
      </c>
      <c r="B2244" s="1">
        <f>DATE(2013,11,23) + TIME(18,25,29)</f>
        <v>41601.767696759256</v>
      </c>
      <c r="C2244">
        <v>80</v>
      </c>
      <c r="D2244">
        <v>78.155914307000003</v>
      </c>
      <c r="E2244">
        <v>50</v>
      </c>
      <c r="F2244">
        <v>49.986095427999999</v>
      </c>
      <c r="G2244">
        <v>1329.6481934000001</v>
      </c>
      <c r="H2244">
        <v>1328.7667236</v>
      </c>
      <c r="I2244">
        <v>1334.8767089999999</v>
      </c>
      <c r="J2244">
        <v>1333.4919434000001</v>
      </c>
      <c r="K2244">
        <v>0</v>
      </c>
      <c r="L2244">
        <v>2400</v>
      </c>
      <c r="M2244">
        <v>2400</v>
      </c>
      <c r="N2244">
        <v>0</v>
      </c>
    </row>
    <row r="2245" spans="1:14" x14ac:dyDescent="0.25">
      <c r="A2245">
        <v>1303.7344700000001</v>
      </c>
      <c r="B2245" s="1">
        <f>DATE(2013,11,24) + TIME(17,37,38)</f>
        <v>41602.734467592592</v>
      </c>
      <c r="C2245">
        <v>80</v>
      </c>
      <c r="D2245">
        <v>78.064956664999997</v>
      </c>
      <c r="E2245">
        <v>50</v>
      </c>
      <c r="F2245">
        <v>49.986076355000002</v>
      </c>
      <c r="G2245">
        <v>1329.6208495999999</v>
      </c>
      <c r="H2245">
        <v>1328.7310791</v>
      </c>
      <c r="I2245">
        <v>1334.8736572</v>
      </c>
      <c r="J2245">
        <v>1333.4909668</v>
      </c>
      <c r="K2245">
        <v>0</v>
      </c>
      <c r="L2245">
        <v>2400</v>
      </c>
      <c r="M2245">
        <v>2400</v>
      </c>
      <c r="N2245">
        <v>0</v>
      </c>
    </row>
    <row r="2246" spans="1:14" x14ac:dyDescent="0.25">
      <c r="A2246">
        <v>1304.7025510000001</v>
      </c>
      <c r="B2246" s="1">
        <f>DATE(2013,11,25) + TIME(16,51,40)</f>
        <v>41603.702546296299</v>
      </c>
      <c r="C2246">
        <v>80</v>
      </c>
      <c r="D2246">
        <v>77.969818114999995</v>
      </c>
      <c r="E2246">
        <v>50</v>
      </c>
      <c r="F2246">
        <v>49.986053466999998</v>
      </c>
      <c r="G2246">
        <v>1329.5928954999999</v>
      </c>
      <c r="H2246">
        <v>1328.6948242000001</v>
      </c>
      <c r="I2246">
        <v>1334.8706055</v>
      </c>
      <c r="J2246">
        <v>1333.4899902</v>
      </c>
      <c r="K2246">
        <v>0</v>
      </c>
      <c r="L2246">
        <v>2400</v>
      </c>
      <c r="M2246">
        <v>2400</v>
      </c>
      <c r="N2246">
        <v>0</v>
      </c>
    </row>
    <row r="2247" spans="1:14" x14ac:dyDescent="0.25">
      <c r="A2247">
        <v>1305.6794620000001</v>
      </c>
      <c r="B2247" s="1">
        <f>DATE(2013,11,26) + TIME(16,18,25)</f>
        <v>41604.679456018515</v>
      </c>
      <c r="C2247">
        <v>80</v>
      </c>
      <c r="D2247">
        <v>77.871994018999999</v>
      </c>
      <c r="E2247">
        <v>50</v>
      </c>
      <c r="F2247">
        <v>49.986034392999997</v>
      </c>
      <c r="G2247">
        <v>1329.5653076000001</v>
      </c>
      <c r="H2247">
        <v>1328.6588135</v>
      </c>
      <c r="I2247">
        <v>1334.8675536999999</v>
      </c>
      <c r="J2247">
        <v>1333.4891356999999</v>
      </c>
      <c r="K2247">
        <v>0</v>
      </c>
      <c r="L2247">
        <v>2400</v>
      </c>
      <c r="M2247">
        <v>2400</v>
      </c>
      <c r="N2247">
        <v>0</v>
      </c>
    </row>
    <row r="2248" spans="1:14" x14ac:dyDescent="0.25">
      <c r="A2248">
        <v>1306.6809740000001</v>
      </c>
      <c r="B2248" s="1">
        <f>DATE(2013,11,27) + TIME(16,20,36)</f>
        <v>41605.680972222224</v>
      </c>
      <c r="C2248">
        <v>80</v>
      </c>
      <c r="D2248">
        <v>77.771308899000005</v>
      </c>
      <c r="E2248">
        <v>50</v>
      </c>
      <c r="F2248">
        <v>49.98601532</v>
      </c>
      <c r="G2248">
        <v>1329.5380858999999</v>
      </c>
      <c r="H2248">
        <v>1328.6234131000001</v>
      </c>
      <c r="I2248">
        <v>1334.864624</v>
      </c>
      <c r="J2248">
        <v>1333.4882812000001</v>
      </c>
      <c r="K2248">
        <v>0</v>
      </c>
      <c r="L2248">
        <v>2400</v>
      </c>
      <c r="M2248">
        <v>2400</v>
      </c>
      <c r="N2248">
        <v>0</v>
      </c>
    </row>
    <row r="2249" spans="1:14" x14ac:dyDescent="0.25">
      <c r="A2249">
        <v>1307.7170249999999</v>
      </c>
      <c r="B2249" s="1">
        <f>DATE(2013,11,28) + TIME(17,12,30)</f>
        <v>41606.717013888891</v>
      </c>
      <c r="C2249">
        <v>80</v>
      </c>
      <c r="D2249">
        <v>77.666954040999997</v>
      </c>
      <c r="E2249">
        <v>50</v>
      </c>
      <c r="F2249">
        <v>49.985996245999999</v>
      </c>
      <c r="G2249">
        <v>1329.5111084</v>
      </c>
      <c r="H2249">
        <v>1328.5882568</v>
      </c>
      <c r="I2249">
        <v>1334.8616943</v>
      </c>
      <c r="J2249">
        <v>1333.4875488</v>
      </c>
      <c r="K2249">
        <v>0</v>
      </c>
      <c r="L2249">
        <v>2400</v>
      </c>
      <c r="M2249">
        <v>2400</v>
      </c>
      <c r="N2249">
        <v>0</v>
      </c>
    </row>
    <row r="2250" spans="1:14" x14ac:dyDescent="0.25">
      <c r="A2250">
        <v>1308.795842</v>
      </c>
      <c r="B2250" s="1">
        <f>DATE(2013,11,29) + TIME(19,6,0)</f>
        <v>41607.79583333333</v>
      </c>
      <c r="C2250">
        <v>80</v>
      </c>
      <c r="D2250">
        <v>77.558044433999996</v>
      </c>
      <c r="E2250">
        <v>50</v>
      </c>
      <c r="F2250">
        <v>49.985973358000003</v>
      </c>
      <c r="G2250">
        <v>1329.4840088000001</v>
      </c>
      <c r="H2250">
        <v>1328.5533447</v>
      </c>
      <c r="I2250">
        <v>1334.8587646000001</v>
      </c>
      <c r="J2250">
        <v>1333.4866943</v>
      </c>
      <c r="K2250">
        <v>0</v>
      </c>
      <c r="L2250">
        <v>2400</v>
      </c>
      <c r="M2250">
        <v>2400</v>
      </c>
      <c r="N2250">
        <v>0</v>
      </c>
    </row>
    <row r="2251" spans="1:14" x14ac:dyDescent="0.25">
      <c r="A2251">
        <v>1309.897205</v>
      </c>
      <c r="B2251" s="1">
        <f>DATE(2013,11,30) + TIME(21,31,58)</f>
        <v>41608.897199074076</v>
      </c>
      <c r="C2251">
        <v>80</v>
      </c>
      <c r="D2251">
        <v>77.444694518999995</v>
      </c>
      <c r="E2251">
        <v>50</v>
      </c>
      <c r="F2251">
        <v>49.985954284999998</v>
      </c>
      <c r="G2251">
        <v>1329.4566649999999</v>
      </c>
      <c r="H2251">
        <v>1328.5181885</v>
      </c>
      <c r="I2251">
        <v>1334.8558350000001</v>
      </c>
      <c r="J2251">
        <v>1333.4859618999999</v>
      </c>
      <c r="K2251">
        <v>0</v>
      </c>
      <c r="L2251">
        <v>2400</v>
      </c>
      <c r="M2251">
        <v>2400</v>
      </c>
      <c r="N2251">
        <v>0</v>
      </c>
    </row>
    <row r="2252" spans="1:14" x14ac:dyDescent="0.25">
      <c r="A2252">
        <v>1310</v>
      </c>
      <c r="B2252" s="1">
        <f>DATE(2013,12,1) + TIME(0,0,0)</f>
        <v>41609</v>
      </c>
      <c r="C2252">
        <v>80</v>
      </c>
      <c r="D2252">
        <v>77.417495728000006</v>
      </c>
      <c r="E2252">
        <v>50</v>
      </c>
      <c r="F2252">
        <v>49.985950469999999</v>
      </c>
      <c r="G2252">
        <v>1329.4307861</v>
      </c>
      <c r="H2252">
        <v>1328.4863281</v>
      </c>
      <c r="I2252">
        <v>1334.8529053</v>
      </c>
      <c r="J2252">
        <v>1333.4852295000001</v>
      </c>
      <c r="K2252">
        <v>0</v>
      </c>
      <c r="L2252">
        <v>2400</v>
      </c>
      <c r="M2252">
        <v>2400</v>
      </c>
      <c r="N2252">
        <v>0</v>
      </c>
    </row>
    <row r="2253" spans="1:14" x14ac:dyDescent="0.25">
      <c r="A2253">
        <v>1311.1455080000001</v>
      </c>
      <c r="B2253" s="1">
        <f>DATE(2013,12,2) + TIME(3,29,31)</f>
        <v>41610.145497685182</v>
      </c>
      <c r="C2253">
        <v>80</v>
      </c>
      <c r="D2253">
        <v>77.310485839999998</v>
      </c>
      <c r="E2253">
        <v>50</v>
      </c>
      <c r="F2253">
        <v>49.985931395999998</v>
      </c>
      <c r="G2253">
        <v>1329.4251709</v>
      </c>
      <c r="H2253">
        <v>1328.4765625</v>
      </c>
      <c r="I2253">
        <v>1334.8527832</v>
      </c>
      <c r="J2253">
        <v>1333.4852295000001</v>
      </c>
      <c r="K2253">
        <v>0</v>
      </c>
      <c r="L2253">
        <v>2400</v>
      </c>
      <c r="M2253">
        <v>2400</v>
      </c>
      <c r="N2253">
        <v>0</v>
      </c>
    </row>
    <row r="2254" spans="1:14" x14ac:dyDescent="0.25">
      <c r="A2254">
        <v>1312.3550299999999</v>
      </c>
      <c r="B2254" s="1">
        <f>DATE(2013,12,3) + TIME(8,31,14)</f>
        <v>41611.355023148149</v>
      </c>
      <c r="C2254">
        <v>80</v>
      </c>
      <c r="D2254">
        <v>77.190330505000006</v>
      </c>
      <c r="E2254">
        <v>50</v>
      </c>
      <c r="F2254">
        <v>49.985908508000001</v>
      </c>
      <c r="G2254">
        <v>1329.3989257999999</v>
      </c>
      <c r="H2254">
        <v>1328.4434814000001</v>
      </c>
      <c r="I2254">
        <v>1334.8498535000001</v>
      </c>
      <c r="J2254">
        <v>1333.4846190999999</v>
      </c>
      <c r="K2254">
        <v>0</v>
      </c>
      <c r="L2254">
        <v>2400</v>
      </c>
      <c r="M2254">
        <v>2400</v>
      </c>
      <c r="N2254">
        <v>0</v>
      </c>
    </row>
    <row r="2255" spans="1:14" x14ac:dyDescent="0.25">
      <c r="A2255">
        <v>1313.633979</v>
      </c>
      <c r="B2255" s="1">
        <f>DATE(2013,12,4) + TIME(15,12,55)</f>
        <v>41612.633969907409</v>
      </c>
      <c r="C2255">
        <v>80</v>
      </c>
      <c r="D2255">
        <v>77.060546875</v>
      </c>
      <c r="E2255">
        <v>50</v>
      </c>
      <c r="F2255">
        <v>49.985889434999997</v>
      </c>
      <c r="G2255">
        <v>1329.3713379000001</v>
      </c>
      <c r="H2255">
        <v>1328.4085693</v>
      </c>
      <c r="I2255">
        <v>1334.8469238</v>
      </c>
      <c r="J2255">
        <v>1333.4838867000001</v>
      </c>
      <c r="K2255">
        <v>0</v>
      </c>
      <c r="L2255">
        <v>2400</v>
      </c>
      <c r="M2255">
        <v>2400</v>
      </c>
      <c r="N2255">
        <v>0</v>
      </c>
    </row>
    <row r="2256" spans="1:14" x14ac:dyDescent="0.25">
      <c r="A2256">
        <v>1314.9312580000001</v>
      </c>
      <c r="B2256" s="1">
        <f>DATE(2013,12,5) + TIME(22,21,0)</f>
        <v>41613.931250000001</v>
      </c>
      <c r="C2256">
        <v>80</v>
      </c>
      <c r="D2256">
        <v>76.923622131000002</v>
      </c>
      <c r="E2256">
        <v>50</v>
      </c>
      <c r="F2256">
        <v>49.985866547000001</v>
      </c>
      <c r="G2256">
        <v>1329.3428954999999</v>
      </c>
      <c r="H2256">
        <v>1328.3725586</v>
      </c>
      <c r="I2256">
        <v>1334.8438721</v>
      </c>
      <c r="J2256">
        <v>1333.4832764</v>
      </c>
      <c r="K2256">
        <v>0</v>
      </c>
      <c r="L2256">
        <v>2400</v>
      </c>
      <c r="M2256">
        <v>2400</v>
      </c>
      <c r="N2256">
        <v>0</v>
      </c>
    </row>
    <row r="2257" spans="1:14" x14ac:dyDescent="0.25">
      <c r="A2257">
        <v>1316.244848</v>
      </c>
      <c r="B2257" s="1">
        <f>DATE(2013,12,7) + TIME(5,52,34)</f>
        <v>41615.244837962964</v>
      </c>
      <c r="C2257">
        <v>80</v>
      </c>
      <c r="D2257">
        <v>76.782737732000001</v>
      </c>
      <c r="E2257">
        <v>50</v>
      </c>
      <c r="F2257">
        <v>49.985843658</v>
      </c>
      <c r="G2257">
        <v>1329.3144531</v>
      </c>
      <c r="H2257">
        <v>1328.3363036999999</v>
      </c>
      <c r="I2257">
        <v>1334.8409423999999</v>
      </c>
      <c r="J2257">
        <v>1333.4826660000001</v>
      </c>
      <c r="K2257">
        <v>0</v>
      </c>
      <c r="L2257">
        <v>2400</v>
      </c>
      <c r="M2257">
        <v>2400</v>
      </c>
      <c r="N2257">
        <v>0</v>
      </c>
    </row>
    <row r="2258" spans="1:14" x14ac:dyDescent="0.25">
      <c r="A2258">
        <v>1317.594861</v>
      </c>
      <c r="B2258" s="1">
        <f>DATE(2013,12,8) + TIME(14,16,36)</f>
        <v>41616.594861111109</v>
      </c>
      <c r="C2258">
        <v>80</v>
      </c>
      <c r="D2258">
        <v>76.638359070000007</v>
      </c>
      <c r="E2258">
        <v>50</v>
      </c>
      <c r="F2258">
        <v>49.985820769999997</v>
      </c>
      <c r="G2258">
        <v>1329.2863769999999</v>
      </c>
      <c r="H2258">
        <v>1328.3004149999999</v>
      </c>
      <c r="I2258">
        <v>1334.8380127</v>
      </c>
      <c r="J2258">
        <v>1333.4820557</v>
      </c>
      <c r="K2258">
        <v>0</v>
      </c>
      <c r="L2258">
        <v>2400</v>
      </c>
      <c r="M2258">
        <v>2400</v>
      </c>
      <c r="N2258">
        <v>0</v>
      </c>
    </row>
    <row r="2259" spans="1:14" x14ac:dyDescent="0.25">
      <c r="A2259">
        <v>1318.99568</v>
      </c>
      <c r="B2259" s="1">
        <f>DATE(2013,12,9) + TIME(23,53,46)</f>
        <v>41617.995671296296</v>
      </c>
      <c r="C2259">
        <v>80</v>
      </c>
      <c r="D2259">
        <v>76.489341736</v>
      </c>
      <c r="E2259">
        <v>50</v>
      </c>
      <c r="F2259">
        <v>49.985797882</v>
      </c>
      <c r="G2259">
        <v>1329.2583007999999</v>
      </c>
      <c r="H2259">
        <v>1328.2648925999999</v>
      </c>
      <c r="I2259">
        <v>1334.8352050999999</v>
      </c>
      <c r="J2259">
        <v>1333.4815673999999</v>
      </c>
      <c r="K2259">
        <v>0</v>
      </c>
      <c r="L2259">
        <v>2400</v>
      </c>
      <c r="M2259">
        <v>2400</v>
      </c>
      <c r="N2259">
        <v>0</v>
      </c>
    </row>
    <row r="2260" spans="1:14" x14ac:dyDescent="0.25">
      <c r="A2260">
        <v>1320.4638930000001</v>
      </c>
      <c r="B2260" s="1">
        <f>DATE(2013,12,11) + TIME(11,8,0)</f>
        <v>41619.463888888888</v>
      </c>
      <c r="C2260">
        <v>80</v>
      </c>
      <c r="D2260">
        <v>76.334228515999996</v>
      </c>
      <c r="E2260">
        <v>50</v>
      </c>
      <c r="F2260">
        <v>49.985774994000003</v>
      </c>
      <c r="G2260">
        <v>1329.2302245999999</v>
      </c>
      <c r="H2260">
        <v>1328.2292480000001</v>
      </c>
      <c r="I2260">
        <v>1334.8322754000001</v>
      </c>
      <c r="J2260">
        <v>1333.4810791</v>
      </c>
      <c r="K2260">
        <v>0</v>
      </c>
      <c r="L2260">
        <v>2400</v>
      </c>
      <c r="M2260">
        <v>2400</v>
      </c>
      <c r="N2260">
        <v>0</v>
      </c>
    </row>
    <row r="2261" spans="1:14" x14ac:dyDescent="0.25">
      <c r="A2261">
        <v>1321.9899909999999</v>
      </c>
      <c r="B2261" s="1">
        <f>DATE(2013,12,12) + TIME(23,45,35)</f>
        <v>41620.989988425928</v>
      </c>
      <c r="C2261">
        <v>80</v>
      </c>
      <c r="D2261">
        <v>76.172073363999999</v>
      </c>
      <c r="E2261">
        <v>50</v>
      </c>
      <c r="F2261">
        <v>49.985752106</v>
      </c>
      <c r="G2261">
        <v>1329.2017822</v>
      </c>
      <c r="H2261">
        <v>1328.1933594</v>
      </c>
      <c r="I2261">
        <v>1334.8293457</v>
      </c>
      <c r="J2261">
        <v>1333.4805908000001</v>
      </c>
      <c r="K2261">
        <v>0</v>
      </c>
      <c r="L2261">
        <v>2400</v>
      </c>
      <c r="M2261">
        <v>2400</v>
      </c>
      <c r="N2261">
        <v>0</v>
      </c>
    </row>
    <row r="2262" spans="1:14" x14ac:dyDescent="0.25">
      <c r="A2262">
        <v>1323.529479</v>
      </c>
      <c r="B2262" s="1">
        <f>DATE(2013,12,14) + TIME(12,42,27)</f>
        <v>41622.529479166667</v>
      </c>
      <c r="C2262">
        <v>80</v>
      </c>
      <c r="D2262">
        <v>76.004371642999999</v>
      </c>
      <c r="E2262">
        <v>50</v>
      </c>
      <c r="F2262">
        <v>49.985729218000003</v>
      </c>
      <c r="G2262">
        <v>1329.1729736</v>
      </c>
      <c r="H2262">
        <v>1328.1572266000001</v>
      </c>
      <c r="I2262">
        <v>1334.8264160000001</v>
      </c>
      <c r="J2262">
        <v>1333.4801024999999</v>
      </c>
      <c r="K2262">
        <v>0</v>
      </c>
      <c r="L2262">
        <v>2400</v>
      </c>
      <c r="M2262">
        <v>2400</v>
      </c>
      <c r="N2262">
        <v>0</v>
      </c>
    </row>
    <row r="2263" spans="1:14" x14ac:dyDescent="0.25">
      <c r="A2263">
        <v>1325.0960930000001</v>
      </c>
      <c r="B2263" s="1">
        <f>DATE(2013,12,16) + TIME(2,18,22)</f>
        <v>41624.096087962964</v>
      </c>
      <c r="C2263">
        <v>80</v>
      </c>
      <c r="D2263">
        <v>75.833587645999998</v>
      </c>
      <c r="E2263">
        <v>50</v>
      </c>
      <c r="F2263">
        <v>49.985706329000003</v>
      </c>
      <c r="G2263">
        <v>1329.1445312000001</v>
      </c>
      <c r="H2263">
        <v>1328.1213379000001</v>
      </c>
      <c r="I2263">
        <v>1334.8236084</v>
      </c>
      <c r="J2263">
        <v>1333.4796143000001</v>
      </c>
      <c r="K2263">
        <v>0</v>
      </c>
      <c r="L2263">
        <v>2400</v>
      </c>
      <c r="M2263">
        <v>2400</v>
      </c>
      <c r="N2263">
        <v>0</v>
      </c>
    </row>
    <row r="2264" spans="1:14" x14ac:dyDescent="0.25">
      <c r="A2264">
        <v>1326.7086830000001</v>
      </c>
      <c r="B2264" s="1">
        <f>DATE(2013,12,17) + TIME(17,0,30)</f>
        <v>41625.708680555559</v>
      </c>
      <c r="C2264">
        <v>80</v>
      </c>
      <c r="D2264">
        <v>75.659149170000006</v>
      </c>
      <c r="E2264">
        <v>50</v>
      </c>
      <c r="F2264">
        <v>49.985683440999999</v>
      </c>
      <c r="G2264">
        <v>1329.1164550999999</v>
      </c>
      <c r="H2264">
        <v>1328.0859375</v>
      </c>
      <c r="I2264">
        <v>1334.8208007999999</v>
      </c>
      <c r="J2264">
        <v>1333.4792480000001</v>
      </c>
      <c r="K2264">
        <v>0</v>
      </c>
      <c r="L2264">
        <v>2400</v>
      </c>
      <c r="M2264">
        <v>2400</v>
      </c>
      <c r="N2264">
        <v>0</v>
      </c>
    </row>
    <row r="2265" spans="1:14" x14ac:dyDescent="0.25">
      <c r="A2265">
        <v>1328.4095500000001</v>
      </c>
      <c r="B2265" s="1">
        <f>DATE(2013,12,19) + TIME(9,49,45)</f>
        <v>41627.409548611111</v>
      </c>
      <c r="C2265">
        <v>80</v>
      </c>
      <c r="D2265">
        <v>75.478866577000005</v>
      </c>
      <c r="E2265">
        <v>50</v>
      </c>
      <c r="F2265">
        <v>49.985656738000003</v>
      </c>
      <c r="G2265">
        <v>1329.088501</v>
      </c>
      <c r="H2265">
        <v>1328.0507812000001</v>
      </c>
      <c r="I2265">
        <v>1334.8179932</v>
      </c>
      <c r="J2265">
        <v>1333.4788818</v>
      </c>
      <c r="K2265">
        <v>0</v>
      </c>
      <c r="L2265">
        <v>2400</v>
      </c>
      <c r="M2265">
        <v>2400</v>
      </c>
      <c r="N2265">
        <v>0</v>
      </c>
    </row>
    <row r="2266" spans="1:14" x14ac:dyDescent="0.25">
      <c r="A2266">
        <v>1330.2031669999999</v>
      </c>
      <c r="B2266" s="1">
        <f>DATE(2013,12,21) + TIME(4,52,33)</f>
        <v>41629.203159722223</v>
      </c>
      <c r="C2266">
        <v>80</v>
      </c>
      <c r="D2266">
        <v>75.289710998999993</v>
      </c>
      <c r="E2266">
        <v>50</v>
      </c>
      <c r="F2266">
        <v>49.985633849999999</v>
      </c>
      <c r="G2266">
        <v>1329.0601807</v>
      </c>
      <c r="H2266">
        <v>1328.0153809000001</v>
      </c>
      <c r="I2266">
        <v>1334.8150635</v>
      </c>
      <c r="J2266">
        <v>1333.4785156</v>
      </c>
      <c r="K2266">
        <v>0</v>
      </c>
      <c r="L2266">
        <v>2400</v>
      </c>
      <c r="M2266">
        <v>2400</v>
      </c>
      <c r="N2266">
        <v>0</v>
      </c>
    </row>
    <row r="2267" spans="1:14" x14ac:dyDescent="0.25">
      <c r="A2267">
        <v>1332.053772</v>
      </c>
      <c r="B2267" s="1">
        <f>DATE(2013,12,23) + TIME(1,17,25)</f>
        <v>41631.053761574076</v>
      </c>
      <c r="C2267">
        <v>80</v>
      </c>
      <c r="D2267">
        <v>75.091644286999994</v>
      </c>
      <c r="E2267">
        <v>50</v>
      </c>
      <c r="F2267">
        <v>49.985610962000003</v>
      </c>
      <c r="G2267">
        <v>1329.03125</v>
      </c>
      <c r="H2267">
        <v>1327.9794922000001</v>
      </c>
      <c r="I2267">
        <v>1334.8122559000001</v>
      </c>
      <c r="J2267">
        <v>1333.4782714999999</v>
      </c>
      <c r="K2267">
        <v>0</v>
      </c>
      <c r="L2267">
        <v>2400</v>
      </c>
      <c r="M2267">
        <v>2400</v>
      </c>
      <c r="N2267">
        <v>0</v>
      </c>
    </row>
    <row r="2268" spans="1:14" x14ac:dyDescent="0.25">
      <c r="A2268">
        <v>1333.963103</v>
      </c>
      <c r="B2268" s="1">
        <f>DATE(2013,12,24) + TIME(23,6,52)</f>
        <v>41632.963101851848</v>
      </c>
      <c r="C2268">
        <v>80</v>
      </c>
      <c r="D2268">
        <v>74.886741638000004</v>
      </c>
      <c r="E2268">
        <v>50</v>
      </c>
      <c r="F2268">
        <v>49.985584258999999</v>
      </c>
      <c r="G2268">
        <v>1329.0021973</v>
      </c>
      <c r="H2268">
        <v>1327.9432373</v>
      </c>
      <c r="I2268">
        <v>1334.8093262</v>
      </c>
      <c r="J2268">
        <v>1333.4779053</v>
      </c>
      <c r="K2268">
        <v>0</v>
      </c>
      <c r="L2268">
        <v>2400</v>
      </c>
      <c r="M2268">
        <v>2400</v>
      </c>
      <c r="N2268">
        <v>0</v>
      </c>
    </row>
    <row r="2269" spans="1:14" x14ac:dyDescent="0.25">
      <c r="A2269">
        <v>1335.9562149999999</v>
      </c>
      <c r="B2269" s="1">
        <f>DATE(2013,12,26) + TIME(22,56,56)</f>
        <v>41634.956203703703</v>
      </c>
      <c r="C2269">
        <v>80</v>
      </c>
      <c r="D2269">
        <v>74.674842834000003</v>
      </c>
      <c r="E2269">
        <v>50</v>
      </c>
      <c r="F2269">
        <v>49.985561371000003</v>
      </c>
      <c r="G2269">
        <v>1328.9730225000001</v>
      </c>
      <c r="H2269">
        <v>1327.9068603999999</v>
      </c>
      <c r="I2269">
        <v>1334.8063964999999</v>
      </c>
      <c r="J2269">
        <v>1333.4776611</v>
      </c>
      <c r="K2269">
        <v>0</v>
      </c>
      <c r="L2269">
        <v>2400</v>
      </c>
      <c r="M2269">
        <v>2400</v>
      </c>
      <c r="N2269">
        <v>0</v>
      </c>
    </row>
    <row r="2270" spans="1:14" x14ac:dyDescent="0.25">
      <c r="A2270">
        <v>1338.0149280000001</v>
      </c>
      <c r="B2270" s="1">
        <f>DATE(2013,12,29) + TIME(0,21,29)</f>
        <v>41637.014918981484</v>
      </c>
      <c r="C2270">
        <v>80</v>
      </c>
      <c r="D2270">
        <v>74.454887389999996</v>
      </c>
      <c r="E2270">
        <v>50</v>
      </c>
      <c r="F2270">
        <v>49.985534668</v>
      </c>
      <c r="G2270">
        <v>1328.9436035000001</v>
      </c>
      <c r="H2270">
        <v>1327.8704834</v>
      </c>
      <c r="I2270">
        <v>1334.8035889</v>
      </c>
      <c r="J2270">
        <v>1333.4774170000001</v>
      </c>
      <c r="K2270">
        <v>0</v>
      </c>
      <c r="L2270">
        <v>2400</v>
      </c>
      <c r="M2270">
        <v>2400</v>
      </c>
      <c r="N2270">
        <v>0</v>
      </c>
    </row>
    <row r="2271" spans="1:14" x14ac:dyDescent="0.25">
      <c r="A2271">
        <v>1340.086943</v>
      </c>
      <c r="B2271" s="1">
        <f>DATE(2013,12,31) + TIME(2,5,11)</f>
        <v>41639.08693287037</v>
      </c>
      <c r="C2271">
        <v>80</v>
      </c>
      <c r="D2271">
        <v>74.229034424000005</v>
      </c>
      <c r="E2271">
        <v>50</v>
      </c>
      <c r="F2271">
        <v>49.985507964999996</v>
      </c>
      <c r="G2271">
        <v>1328.9141846</v>
      </c>
      <c r="H2271">
        <v>1327.8338623</v>
      </c>
      <c r="I2271">
        <v>1334.8006591999999</v>
      </c>
      <c r="J2271">
        <v>1333.4771728999999</v>
      </c>
      <c r="K2271">
        <v>0</v>
      </c>
      <c r="L2271">
        <v>2400</v>
      </c>
      <c r="M2271">
        <v>2400</v>
      </c>
      <c r="N2271">
        <v>0</v>
      </c>
    </row>
    <row r="2272" spans="1:14" x14ac:dyDescent="0.25">
      <c r="A2272">
        <v>1341</v>
      </c>
      <c r="B2272" s="1">
        <f>DATE(2014,1,1) + TIME(0,0,0)</f>
        <v>41640</v>
      </c>
      <c r="C2272">
        <v>80</v>
      </c>
      <c r="D2272">
        <v>74.046760559000006</v>
      </c>
      <c r="E2272">
        <v>50</v>
      </c>
      <c r="F2272">
        <v>49.985488891999999</v>
      </c>
      <c r="G2272">
        <v>1328.885376</v>
      </c>
      <c r="H2272">
        <v>1327.7987060999999</v>
      </c>
      <c r="I2272">
        <v>1334.7978516000001</v>
      </c>
      <c r="J2272">
        <v>1333.4769286999999</v>
      </c>
      <c r="K2272">
        <v>0</v>
      </c>
      <c r="L2272">
        <v>2400</v>
      </c>
      <c r="M2272">
        <v>2400</v>
      </c>
      <c r="N2272">
        <v>0</v>
      </c>
    </row>
    <row r="2273" spans="1:14" x14ac:dyDescent="0.25">
      <c r="A2273">
        <v>1343.0940639999999</v>
      </c>
      <c r="B2273" s="1">
        <f>DATE(2014,1,3) + TIME(2,15,27)</f>
        <v>41642.0940625</v>
      </c>
      <c r="C2273">
        <v>80</v>
      </c>
      <c r="D2273">
        <v>73.884162903000004</v>
      </c>
      <c r="E2273">
        <v>50</v>
      </c>
      <c r="F2273">
        <v>49.985469817999999</v>
      </c>
      <c r="G2273">
        <v>1328.8681641000001</v>
      </c>
      <c r="H2273">
        <v>1327.7738036999999</v>
      </c>
      <c r="I2273">
        <v>1334.7966309000001</v>
      </c>
      <c r="J2273">
        <v>1333.4768065999999</v>
      </c>
      <c r="K2273">
        <v>0</v>
      </c>
      <c r="L2273">
        <v>2400</v>
      </c>
      <c r="M2273">
        <v>2400</v>
      </c>
      <c r="N2273">
        <v>0</v>
      </c>
    </row>
    <row r="2274" spans="1:14" x14ac:dyDescent="0.25">
      <c r="A2274">
        <v>1345.2638730000001</v>
      </c>
      <c r="B2274" s="1">
        <f>DATE(2014,1,5) + TIME(6,19,58)</f>
        <v>41644.263865740744</v>
      </c>
      <c r="C2274">
        <v>80</v>
      </c>
      <c r="D2274">
        <v>73.664710998999993</v>
      </c>
      <c r="E2274">
        <v>50</v>
      </c>
      <c r="F2274">
        <v>49.985446930000002</v>
      </c>
      <c r="G2274">
        <v>1328.8433838000001</v>
      </c>
      <c r="H2274">
        <v>1327.7452393000001</v>
      </c>
      <c r="I2274">
        <v>1334.7939452999999</v>
      </c>
      <c r="J2274">
        <v>1333.4766846</v>
      </c>
      <c r="K2274">
        <v>0</v>
      </c>
      <c r="L2274">
        <v>2400</v>
      </c>
      <c r="M2274">
        <v>2400</v>
      </c>
      <c r="N2274">
        <v>0</v>
      </c>
    </row>
    <row r="2275" spans="1:14" x14ac:dyDescent="0.25">
      <c r="A2275">
        <v>1347.5352339999999</v>
      </c>
      <c r="B2275" s="1">
        <f>DATE(2014,1,7) + TIME(12,50,44)</f>
        <v>41646.535231481481</v>
      </c>
      <c r="C2275">
        <v>80</v>
      </c>
      <c r="D2275">
        <v>73.429443359000004</v>
      </c>
      <c r="E2275">
        <v>50</v>
      </c>
      <c r="F2275">
        <v>49.985424041999998</v>
      </c>
      <c r="G2275">
        <v>1328.8161620999999</v>
      </c>
      <c r="H2275">
        <v>1327.7120361</v>
      </c>
      <c r="I2275">
        <v>1334.7912598</v>
      </c>
      <c r="J2275">
        <v>1333.4764404</v>
      </c>
      <c r="K2275">
        <v>0</v>
      </c>
      <c r="L2275">
        <v>2400</v>
      </c>
      <c r="M2275">
        <v>2400</v>
      </c>
      <c r="N2275">
        <v>0</v>
      </c>
    </row>
    <row r="2276" spans="1:14" x14ac:dyDescent="0.25">
      <c r="A2276">
        <v>1349.9109390000001</v>
      </c>
      <c r="B2276" s="1">
        <f>DATE(2014,1,9) + TIME(21,51,45)</f>
        <v>41648.910937499997</v>
      </c>
      <c r="C2276">
        <v>80</v>
      </c>
      <c r="D2276">
        <v>73.182296753000003</v>
      </c>
      <c r="E2276">
        <v>50</v>
      </c>
      <c r="F2276">
        <v>49.985401154000002</v>
      </c>
      <c r="G2276">
        <v>1328.7880858999999</v>
      </c>
      <c r="H2276">
        <v>1327.6776123</v>
      </c>
      <c r="I2276">
        <v>1334.7884521000001</v>
      </c>
      <c r="J2276">
        <v>1333.4763184000001</v>
      </c>
      <c r="K2276">
        <v>0</v>
      </c>
      <c r="L2276">
        <v>2400</v>
      </c>
      <c r="M2276">
        <v>2400</v>
      </c>
      <c r="N2276">
        <v>0</v>
      </c>
    </row>
    <row r="2277" spans="1:14" x14ac:dyDescent="0.25">
      <c r="A2277">
        <v>1352.442562</v>
      </c>
      <c r="B2277" s="1">
        <f>DATE(2014,1,12) + TIME(10,37,17)</f>
        <v>41651.442557870374</v>
      </c>
      <c r="C2277">
        <v>80</v>
      </c>
      <c r="D2277">
        <v>72.923851013000004</v>
      </c>
      <c r="E2277">
        <v>50</v>
      </c>
      <c r="F2277">
        <v>49.985374450999998</v>
      </c>
      <c r="G2277">
        <v>1328.7596435999999</v>
      </c>
      <c r="H2277">
        <v>1327.6425781</v>
      </c>
      <c r="I2277">
        <v>1334.7856445</v>
      </c>
      <c r="J2277">
        <v>1333.4761963000001</v>
      </c>
      <c r="K2277">
        <v>0</v>
      </c>
      <c r="L2277">
        <v>2400</v>
      </c>
      <c r="M2277">
        <v>2400</v>
      </c>
      <c r="N2277">
        <v>0</v>
      </c>
    </row>
    <row r="2278" spans="1:14" x14ac:dyDescent="0.25">
      <c r="A2278">
        <v>1355.0471560000001</v>
      </c>
      <c r="B2278" s="1">
        <f>DATE(2014,1,15) + TIME(1,7,54)</f>
        <v>41654.047152777777</v>
      </c>
      <c r="C2278">
        <v>80</v>
      </c>
      <c r="D2278">
        <v>72.651618958</v>
      </c>
      <c r="E2278">
        <v>50</v>
      </c>
      <c r="F2278">
        <v>49.985347748000002</v>
      </c>
      <c r="G2278">
        <v>1328.7303466999999</v>
      </c>
      <c r="H2278">
        <v>1327.6069336</v>
      </c>
      <c r="I2278">
        <v>1334.7828368999999</v>
      </c>
      <c r="J2278">
        <v>1333.4760742000001</v>
      </c>
      <c r="K2278">
        <v>0</v>
      </c>
      <c r="L2278">
        <v>2400</v>
      </c>
      <c r="M2278">
        <v>2400</v>
      </c>
      <c r="N2278">
        <v>0</v>
      </c>
    </row>
    <row r="2279" spans="1:14" x14ac:dyDescent="0.25">
      <c r="A2279">
        <v>1357.684587</v>
      </c>
      <c r="B2279" s="1">
        <f>DATE(2014,1,17) + TIME(16,25,48)</f>
        <v>41656.684583333335</v>
      </c>
      <c r="C2279">
        <v>80</v>
      </c>
      <c r="D2279">
        <v>72.372444153000004</v>
      </c>
      <c r="E2279">
        <v>50</v>
      </c>
      <c r="F2279">
        <v>49.985324859999999</v>
      </c>
      <c r="G2279">
        <v>1328.7009277</v>
      </c>
      <c r="H2279">
        <v>1327.5706786999999</v>
      </c>
      <c r="I2279">
        <v>1334.7800293</v>
      </c>
      <c r="J2279">
        <v>1333.4759521000001</v>
      </c>
      <c r="K2279">
        <v>0</v>
      </c>
      <c r="L2279">
        <v>2400</v>
      </c>
      <c r="M2279">
        <v>2400</v>
      </c>
      <c r="N2279">
        <v>0</v>
      </c>
    </row>
    <row r="2280" spans="1:14" x14ac:dyDescent="0.25">
      <c r="A2280">
        <v>1360.3937209999999</v>
      </c>
      <c r="B2280" s="1">
        <f>DATE(2014,1,20) + TIME(9,26,57)</f>
        <v>41659.39371527778</v>
      </c>
      <c r="C2280">
        <v>80</v>
      </c>
      <c r="D2280">
        <v>72.089370728000006</v>
      </c>
      <c r="E2280">
        <v>50</v>
      </c>
      <c r="F2280">
        <v>49.985298157000003</v>
      </c>
      <c r="G2280">
        <v>1328.671875</v>
      </c>
      <c r="H2280">
        <v>1327.5349120999999</v>
      </c>
      <c r="I2280">
        <v>1334.7772216999999</v>
      </c>
      <c r="J2280">
        <v>1333.4758300999999</v>
      </c>
      <c r="K2280">
        <v>0</v>
      </c>
      <c r="L2280">
        <v>2400</v>
      </c>
      <c r="M2280">
        <v>2400</v>
      </c>
      <c r="N2280">
        <v>0</v>
      </c>
    </row>
    <row r="2281" spans="1:14" x14ac:dyDescent="0.25">
      <c r="A2281">
        <v>1363.2258220000001</v>
      </c>
      <c r="B2281" s="1">
        <f>DATE(2014,1,23) + TIME(5,25,11)</f>
        <v>41662.225821759261</v>
      </c>
      <c r="C2281">
        <v>80</v>
      </c>
      <c r="D2281">
        <v>71.799667357999994</v>
      </c>
      <c r="E2281">
        <v>50</v>
      </c>
      <c r="F2281">
        <v>49.985275268999999</v>
      </c>
      <c r="G2281">
        <v>1328.6430664</v>
      </c>
      <c r="H2281">
        <v>1327.4995117000001</v>
      </c>
      <c r="I2281">
        <v>1334.7744141000001</v>
      </c>
      <c r="J2281">
        <v>1333.4757079999999</v>
      </c>
      <c r="K2281">
        <v>0</v>
      </c>
      <c r="L2281">
        <v>2400</v>
      </c>
      <c r="M2281">
        <v>2400</v>
      </c>
      <c r="N2281">
        <v>0</v>
      </c>
    </row>
    <row r="2282" spans="1:14" x14ac:dyDescent="0.25">
      <c r="A2282">
        <v>1366.1338909999999</v>
      </c>
      <c r="B2282" s="1">
        <f>DATE(2014,1,26) + TIME(3,12,48)</f>
        <v>41665.133888888886</v>
      </c>
      <c r="C2282">
        <v>80</v>
      </c>
      <c r="D2282">
        <v>71.499839782999999</v>
      </c>
      <c r="E2282">
        <v>50</v>
      </c>
      <c r="F2282">
        <v>49.985248566000003</v>
      </c>
      <c r="G2282">
        <v>1328.6141356999999</v>
      </c>
      <c r="H2282">
        <v>1327.4641113</v>
      </c>
      <c r="I2282">
        <v>1334.7717285000001</v>
      </c>
      <c r="J2282">
        <v>1333.4755858999999</v>
      </c>
      <c r="K2282">
        <v>0</v>
      </c>
      <c r="L2282">
        <v>2400</v>
      </c>
      <c r="M2282">
        <v>2400</v>
      </c>
      <c r="N2282">
        <v>0</v>
      </c>
    </row>
    <row r="2283" spans="1:14" x14ac:dyDescent="0.25">
      <c r="A2283">
        <v>1369.090956</v>
      </c>
      <c r="B2283" s="1">
        <f>DATE(2014,1,29) + TIME(2,10,58)</f>
        <v>41668.090949074074</v>
      </c>
      <c r="C2283">
        <v>80</v>
      </c>
      <c r="D2283">
        <v>71.193748474000003</v>
      </c>
      <c r="E2283">
        <v>50</v>
      </c>
      <c r="F2283">
        <v>49.985225677000003</v>
      </c>
      <c r="G2283">
        <v>1328.5853271000001</v>
      </c>
      <c r="H2283">
        <v>1327.4287108999999</v>
      </c>
      <c r="I2283">
        <v>1334.7689209</v>
      </c>
      <c r="J2283">
        <v>1333.4754639</v>
      </c>
      <c r="K2283">
        <v>0</v>
      </c>
      <c r="L2283">
        <v>2400</v>
      </c>
      <c r="M2283">
        <v>2400</v>
      </c>
      <c r="N2283">
        <v>0</v>
      </c>
    </row>
    <row r="2284" spans="1:14" x14ac:dyDescent="0.25">
      <c r="A2284">
        <v>1372</v>
      </c>
      <c r="B2284" s="1">
        <f>DATE(2014,2,1) + TIME(0,0,0)</f>
        <v>41671</v>
      </c>
      <c r="C2284">
        <v>80</v>
      </c>
      <c r="D2284">
        <v>70.885116577000005</v>
      </c>
      <c r="E2284">
        <v>50</v>
      </c>
      <c r="F2284">
        <v>49.985198975000003</v>
      </c>
      <c r="G2284">
        <v>1328.5568848</v>
      </c>
      <c r="H2284">
        <v>1327.3936768000001</v>
      </c>
      <c r="I2284">
        <v>1334.7662353999999</v>
      </c>
      <c r="J2284">
        <v>1333.4754639</v>
      </c>
      <c r="K2284">
        <v>0</v>
      </c>
      <c r="L2284">
        <v>2400</v>
      </c>
      <c r="M2284">
        <v>2400</v>
      </c>
      <c r="N2284">
        <v>0</v>
      </c>
    </row>
    <row r="2285" spans="1:14" x14ac:dyDescent="0.25">
      <c r="A2285">
        <v>1375.043784</v>
      </c>
      <c r="B2285" s="1">
        <f>DATE(2014,2,4) + TIME(1,3,2)</f>
        <v>41674.043773148151</v>
      </c>
      <c r="C2285">
        <v>80</v>
      </c>
      <c r="D2285">
        <v>70.579338074000006</v>
      </c>
      <c r="E2285">
        <v>50</v>
      </c>
      <c r="F2285">
        <v>49.985176086000003</v>
      </c>
      <c r="G2285">
        <v>1328.5292969</v>
      </c>
      <c r="H2285">
        <v>1327.3596190999999</v>
      </c>
      <c r="I2285">
        <v>1334.7636719</v>
      </c>
      <c r="J2285">
        <v>1333.4753418</v>
      </c>
      <c r="K2285">
        <v>0</v>
      </c>
      <c r="L2285">
        <v>2400</v>
      </c>
      <c r="M2285">
        <v>2400</v>
      </c>
      <c r="N2285">
        <v>0</v>
      </c>
    </row>
    <row r="2286" spans="1:14" x14ac:dyDescent="0.25">
      <c r="A2286">
        <v>1378.3939</v>
      </c>
      <c r="B2286" s="1">
        <f>DATE(2014,2,7) + TIME(9,27,12)</f>
        <v>41677.393888888888</v>
      </c>
      <c r="C2286">
        <v>80</v>
      </c>
      <c r="D2286">
        <v>70.261245728000006</v>
      </c>
      <c r="E2286">
        <v>50</v>
      </c>
      <c r="F2286">
        <v>49.985157012999998</v>
      </c>
      <c r="G2286">
        <v>1328.5020752</v>
      </c>
      <c r="H2286">
        <v>1327.3261719</v>
      </c>
      <c r="I2286">
        <v>1334.7609863</v>
      </c>
      <c r="J2286">
        <v>1333.4752197</v>
      </c>
      <c r="K2286">
        <v>0</v>
      </c>
      <c r="L2286">
        <v>2400</v>
      </c>
      <c r="M2286">
        <v>2400</v>
      </c>
      <c r="N2286">
        <v>0</v>
      </c>
    </row>
    <row r="2287" spans="1:14" x14ac:dyDescent="0.25">
      <c r="A2287">
        <v>1381.8119569999999</v>
      </c>
      <c r="B2287" s="1">
        <f>DATE(2014,2,10) + TIME(19,29,13)</f>
        <v>41680.811956018515</v>
      </c>
      <c r="C2287">
        <v>80</v>
      </c>
      <c r="D2287">
        <v>69.919891356999997</v>
      </c>
      <c r="E2287">
        <v>50</v>
      </c>
      <c r="F2287">
        <v>49.985130310000002</v>
      </c>
      <c r="G2287">
        <v>1328.4736327999999</v>
      </c>
      <c r="H2287">
        <v>1327.2918701000001</v>
      </c>
      <c r="I2287">
        <v>1334.7583007999999</v>
      </c>
      <c r="J2287">
        <v>1333.4752197</v>
      </c>
      <c r="K2287">
        <v>0</v>
      </c>
      <c r="L2287">
        <v>2400</v>
      </c>
      <c r="M2287">
        <v>2400</v>
      </c>
      <c r="N2287">
        <v>0</v>
      </c>
    </row>
    <row r="2288" spans="1:14" x14ac:dyDescent="0.25">
      <c r="A2288">
        <v>1385.3547209999999</v>
      </c>
      <c r="B2288" s="1">
        <f>DATE(2014,2,14) + TIME(8,30,47)</f>
        <v>41684.354710648149</v>
      </c>
      <c r="C2288">
        <v>80</v>
      </c>
      <c r="D2288">
        <v>69.570663452000005</v>
      </c>
      <c r="E2288">
        <v>50</v>
      </c>
      <c r="F2288">
        <v>49.985107421999999</v>
      </c>
      <c r="G2288">
        <v>1328.4449463000001</v>
      </c>
      <c r="H2288">
        <v>1327.2568358999999</v>
      </c>
      <c r="I2288">
        <v>1334.7554932</v>
      </c>
      <c r="J2288">
        <v>1333.4750977000001</v>
      </c>
      <c r="K2288">
        <v>0</v>
      </c>
      <c r="L2288">
        <v>2400</v>
      </c>
      <c r="M2288">
        <v>2400</v>
      </c>
      <c r="N2288">
        <v>0</v>
      </c>
    </row>
    <row r="2289" spans="1:14" x14ac:dyDescent="0.25">
      <c r="A2289">
        <v>1389.1110409999999</v>
      </c>
      <c r="B2289" s="1">
        <f>DATE(2014,2,18) + TIME(2,39,53)</f>
        <v>41688.111030092594</v>
      </c>
      <c r="C2289">
        <v>80</v>
      </c>
      <c r="D2289">
        <v>69.211097717000001</v>
      </c>
      <c r="E2289">
        <v>50</v>
      </c>
      <c r="F2289">
        <v>49.985088347999998</v>
      </c>
      <c r="G2289">
        <v>1328.4162598</v>
      </c>
      <c r="H2289">
        <v>1327.2218018000001</v>
      </c>
      <c r="I2289">
        <v>1334.7528076000001</v>
      </c>
      <c r="J2289">
        <v>1333.4749756000001</v>
      </c>
      <c r="K2289">
        <v>0</v>
      </c>
      <c r="L2289">
        <v>2400</v>
      </c>
      <c r="M2289">
        <v>2400</v>
      </c>
      <c r="N2289">
        <v>0</v>
      </c>
    </row>
    <row r="2290" spans="1:14" x14ac:dyDescent="0.25">
      <c r="A2290">
        <v>1393.0277719999999</v>
      </c>
      <c r="B2290" s="1">
        <f>DATE(2014,2,22) + TIME(0,39,59)</f>
        <v>41692.027766203704</v>
      </c>
      <c r="C2290">
        <v>80</v>
      </c>
      <c r="D2290">
        <v>68.833938599000007</v>
      </c>
      <c r="E2290">
        <v>50</v>
      </c>
      <c r="F2290">
        <v>49.985065460000001</v>
      </c>
      <c r="G2290">
        <v>1328.3873291</v>
      </c>
      <c r="H2290">
        <v>1327.1864014</v>
      </c>
      <c r="I2290">
        <v>1334.75</v>
      </c>
      <c r="J2290">
        <v>1333.4748535000001</v>
      </c>
      <c r="K2290">
        <v>0</v>
      </c>
      <c r="L2290">
        <v>2400</v>
      </c>
      <c r="M2290">
        <v>2400</v>
      </c>
      <c r="N2290">
        <v>0</v>
      </c>
    </row>
    <row r="2291" spans="1:14" x14ac:dyDescent="0.25">
      <c r="A2291">
        <v>1397.0129010000001</v>
      </c>
      <c r="B2291" s="1">
        <f>DATE(2014,2,26) + TIME(0,18,34)</f>
        <v>41696.01289351852</v>
      </c>
      <c r="C2291">
        <v>80</v>
      </c>
      <c r="D2291">
        <v>68.446319579999994</v>
      </c>
      <c r="E2291">
        <v>50</v>
      </c>
      <c r="F2291">
        <v>49.985042571999998</v>
      </c>
      <c r="G2291">
        <v>1328.3579102000001</v>
      </c>
      <c r="H2291">
        <v>1327.1506348</v>
      </c>
      <c r="I2291">
        <v>1334.7471923999999</v>
      </c>
      <c r="J2291">
        <v>1333.4747314000001</v>
      </c>
      <c r="K2291">
        <v>0</v>
      </c>
      <c r="L2291">
        <v>2400</v>
      </c>
      <c r="M2291">
        <v>2400</v>
      </c>
      <c r="N2291">
        <v>0</v>
      </c>
    </row>
    <row r="2292" spans="1:14" x14ac:dyDescent="0.25">
      <c r="A2292">
        <v>1400</v>
      </c>
      <c r="B2292" s="1">
        <f>DATE(2014,3,1) + TIME(0,0,0)</f>
        <v>41699</v>
      </c>
      <c r="C2292">
        <v>80</v>
      </c>
      <c r="D2292">
        <v>68.065933228000006</v>
      </c>
      <c r="E2292">
        <v>50</v>
      </c>
      <c r="F2292">
        <v>49.985019684000001</v>
      </c>
      <c r="G2292">
        <v>1328.3289795000001</v>
      </c>
      <c r="H2292">
        <v>1327.1153564000001</v>
      </c>
      <c r="I2292">
        <v>1334.7443848</v>
      </c>
      <c r="J2292">
        <v>1333.4746094</v>
      </c>
      <c r="K2292">
        <v>0</v>
      </c>
      <c r="L2292">
        <v>2400</v>
      </c>
      <c r="M2292">
        <v>2400</v>
      </c>
      <c r="N2292">
        <v>0</v>
      </c>
    </row>
    <row r="2293" spans="1:14" x14ac:dyDescent="0.25">
      <c r="A2293">
        <v>1404.073625</v>
      </c>
      <c r="B2293" s="1">
        <f>DATE(2014,3,5) + TIME(1,46,1)</f>
        <v>41703.073622685188</v>
      </c>
      <c r="C2293">
        <v>80</v>
      </c>
      <c r="D2293">
        <v>67.751358031999999</v>
      </c>
      <c r="E2293">
        <v>50</v>
      </c>
      <c r="F2293">
        <v>49.985004425</v>
      </c>
      <c r="G2293">
        <v>1328.3052978999999</v>
      </c>
      <c r="H2293">
        <v>1327.0842285000001</v>
      </c>
      <c r="I2293">
        <v>1334.7423096</v>
      </c>
      <c r="J2293">
        <v>1333.4744873</v>
      </c>
      <c r="K2293">
        <v>0</v>
      </c>
      <c r="L2293">
        <v>2400</v>
      </c>
      <c r="M2293">
        <v>2400</v>
      </c>
      <c r="N2293">
        <v>0</v>
      </c>
    </row>
    <row r="2294" spans="1:14" x14ac:dyDescent="0.25">
      <c r="A2294">
        <v>1408.440278</v>
      </c>
      <c r="B2294" s="1">
        <f>DATE(2014,3,9) + TIME(10,34,0)</f>
        <v>41707.44027777778</v>
      </c>
      <c r="C2294">
        <v>80</v>
      </c>
      <c r="D2294">
        <v>67.353797912999994</v>
      </c>
      <c r="E2294">
        <v>50</v>
      </c>
      <c r="F2294">
        <v>49.984985352000002</v>
      </c>
      <c r="G2294">
        <v>1328.2796631000001</v>
      </c>
      <c r="H2294">
        <v>1327.0541992000001</v>
      </c>
      <c r="I2294">
        <v>1334.739624</v>
      </c>
      <c r="J2294">
        <v>1333.4743652</v>
      </c>
      <c r="K2294">
        <v>0</v>
      </c>
      <c r="L2294">
        <v>2400</v>
      </c>
      <c r="M2294">
        <v>2400</v>
      </c>
      <c r="N2294">
        <v>0</v>
      </c>
    </row>
    <row r="2295" spans="1:14" x14ac:dyDescent="0.25">
      <c r="A2295">
        <v>1412.9954279999999</v>
      </c>
      <c r="B2295" s="1">
        <f>DATE(2014,3,13) + TIME(23,53,24)</f>
        <v>41711.995416666665</v>
      </c>
      <c r="C2295">
        <v>80</v>
      </c>
      <c r="D2295">
        <v>66.948722838999998</v>
      </c>
      <c r="E2295">
        <v>50</v>
      </c>
      <c r="F2295">
        <v>49.984966278000002</v>
      </c>
      <c r="G2295">
        <v>1328.2517089999999</v>
      </c>
      <c r="H2295">
        <v>1327.0203856999999</v>
      </c>
      <c r="I2295">
        <v>1334.7368164</v>
      </c>
      <c r="J2295">
        <v>1333.4742432</v>
      </c>
      <c r="K2295">
        <v>0</v>
      </c>
      <c r="L2295">
        <v>2400</v>
      </c>
      <c r="M2295">
        <v>2400</v>
      </c>
      <c r="N2295">
        <v>0</v>
      </c>
    </row>
    <row r="2296" spans="1:14" x14ac:dyDescent="0.25">
      <c r="A2296">
        <v>1417.7678840000001</v>
      </c>
      <c r="B2296" s="1">
        <f>DATE(2014,3,18) + TIME(18,25,45)</f>
        <v>41716.767881944441</v>
      </c>
      <c r="C2296">
        <v>80</v>
      </c>
      <c r="D2296">
        <v>66.487319946</v>
      </c>
      <c r="E2296">
        <v>50</v>
      </c>
      <c r="F2296">
        <v>49.984947204999997</v>
      </c>
      <c r="G2296">
        <v>1328.2233887</v>
      </c>
      <c r="H2296">
        <v>1326.9858397999999</v>
      </c>
      <c r="I2296">
        <v>1334.7340088000001</v>
      </c>
      <c r="J2296">
        <v>1333.473999</v>
      </c>
      <c r="K2296">
        <v>0</v>
      </c>
      <c r="L2296">
        <v>2400</v>
      </c>
      <c r="M2296">
        <v>2400</v>
      </c>
      <c r="N2296">
        <v>0</v>
      </c>
    </row>
    <row r="2297" spans="1:14" x14ac:dyDescent="0.25">
      <c r="A2297">
        <v>1420.2455629999999</v>
      </c>
      <c r="B2297" s="1">
        <f>DATE(2014,3,21) + TIME(5,53,36)</f>
        <v>41719.245555555557</v>
      </c>
      <c r="C2297">
        <v>80</v>
      </c>
      <c r="D2297">
        <v>66.083320618000002</v>
      </c>
      <c r="E2297">
        <v>50</v>
      </c>
      <c r="F2297">
        <v>49.984924315999997</v>
      </c>
      <c r="G2297">
        <v>1328.1944579999999</v>
      </c>
      <c r="H2297">
        <v>1326.9510498</v>
      </c>
      <c r="I2297">
        <v>1334.7312012</v>
      </c>
      <c r="J2297">
        <v>1333.4737548999999</v>
      </c>
      <c r="K2297">
        <v>0</v>
      </c>
      <c r="L2297">
        <v>2400</v>
      </c>
      <c r="M2297">
        <v>2400</v>
      </c>
      <c r="N2297">
        <v>0</v>
      </c>
    </row>
    <row r="2298" spans="1:14" x14ac:dyDescent="0.25">
      <c r="A2298">
        <v>1422.723242</v>
      </c>
      <c r="B2298" s="1">
        <f>DATE(2014,3,23) + TIME(17,21,28)</f>
        <v>41721.723240740743</v>
      </c>
      <c r="C2298">
        <v>80</v>
      </c>
      <c r="D2298">
        <v>65.826255798000005</v>
      </c>
      <c r="E2298">
        <v>50</v>
      </c>
      <c r="F2298">
        <v>49.984912872000002</v>
      </c>
      <c r="G2298">
        <v>1328.1756591999999</v>
      </c>
      <c r="H2298">
        <v>1326.9245605000001</v>
      </c>
      <c r="I2298">
        <v>1334.7297363</v>
      </c>
      <c r="J2298">
        <v>1333.4736327999999</v>
      </c>
      <c r="K2298">
        <v>0</v>
      </c>
      <c r="L2298">
        <v>2400</v>
      </c>
      <c r="M2298">
        <v>2400</v>
      </c>
      <c r="N2298">
        <v>0</v>
      </c>
    </row>
    <row r="2299" spans="1:14" x14ac:dyDescent="0.25">
      <c r="A2299">
        <v>1425.2009210000001</v>
      </c>
      <c r="B2299" s="1">
        <f>DATE(2014,3,26) + TIME(4,49,19)</f>
        <v>41724.200914351852</v>
      </c>
      <c r="C2299">
        <v>80</v>
      </c>
      <c r="D2299">
        <v>65.588867187999995</v>
      </c>
      <c r="E2299">
        <v>50</v>
      </c>
      <c r="F2299">
        <v>49.984905243</v>
      </c>
      <c r="G2299">
        <v>1328.1604004000001</v>
      </c>
      <c r="H2299">
        <v>1326.9050293</v>
      </c>
      <c r="I2299">
        <v>1334.7282714999999</v>
      </c>
      <c r="J2299">
        <v>1333.4735106999999</v>
      </c>
      <c r="K2299">
        <v>0</v>
      </c>
      <c r="L2299">
        <v>2400</v>
      </c>
      <c r="M2299">
        <v>2400</v>
      </c>
      <c r="N2299">
        <v>0</v>
      </c>
    </row>
    <row r="2300" spans="1:14" x14ac:dyDescent="0.25">
      <c r="A2300">
        <v>1427.6786010000001</v>
      </c>
      <c r="B2300" s="1">
        <f>DATE(2014,3,28) + TIME(16,17,11)</f>
        <v>41726.678599537037</v>
      </c>
      <c r="C2300">
        <v>80</v>
      </c>
      <c r="D2300">
        <v>65.356613159000005</v>
      </c>
      <c r="E2300">
        <v>50</v>
      </c>
      <c r="F2300">
        <v>49.984893798999998</v>
      </c>
      <c r="G2300">
        <v>1328.1462402</v>
      </c>
      <c r="H2300">
        <v>1326.8875731999999</v>
      </c>
      <c r="I2300">
        <v>1334.7269286999999</v>
      </c>
      <c r="J2300">
        <v>1333.4733887</v>
      </c>
      <c r="K2300">
        <v>0</v>
      </c>
      <c r="L2300">
        <v>2400</v>
      </c>
      <c r="M2300">
        <v>2400</v>
      </c>
      <c r="N2300">
        <v>0</v>
      </c>
    </row>
    <row r="2301" spans="1:14" x14ac:dyDescent="0.25">
      <c r="A2301">
        <v>1431</v>
      </c>
      <c r="B2301" s="1">
        <f>DATE(2014,4,1) + TIME(0,0,0)</f>
        <v>41730</v>
      </c>
      <c r="C2301">
        <v>80</v>
      </c>
      <c r="D2301">
        <v>65.185646057</v>
      </c>
      <c r="E2301">
        <v>50</v>
      </c>
      <c r="F2301">
        <v>49.984889983999999</v>
      </c>
      <c r="G2301">
        <v>1328.1326904</v>
      </c>
      <c r="H2301">
        <v>1326.8708495999999</v>
      </c>
      <c r="I2301">
        <v>1334.7255858999999</v>
      </c>
      <c r="J2301">
        <v>1333.4732666</v>
      </c>
      <c r="K2301">
        <v>0</v>
      </c>
      <c r="L2301">
        <v>2400</v>
      </c>
      <c r="M2301">
        <v>2400</v>
      </c>
      <c r="N2301">
        <v>0</v>
      </c>
    </row>
    <row r="2302" spans="1:14" x14ac:dyDescent="0.25">
      <c r="A2302">
        <v>1435.9553579999999</v>
      </c>
      <c r="B2302" s="1">
        <f>DATE(2014,4,5) + TIME(22,55,42)</f>
        <v>41734.955347222225</v>
      </c>
      <c r="C2302">
        <v>80</v>
      </c>
      <c r="D2302">
        <v>64.704055785999998</v>
      </c>
      <c r="E2302">
        <v>50</v>
      </c>
      <c r="F2302">
        <v>49.984882355000003</v>
      </c>
      <c r="G2302">
        <v>1328.1165771000001</v>
      </c>
      <c r="H2302">
        <v>1326.8518065999999</v>
      </c>
      <c r="I2302">
        <v>1334.7237548999999</v>
      </c>
      <c r="J2302">
        <v>1333.4730225000001</v>
      </c>
      <c r="K2302">
        <v>0</v>
      </c>
      <c r="L2302">
        <v>2400</v>
      </c>
      <c r="M2302">
        <v>2400</v>
      </c>
      <c r="N2302">
        <v>0</v>
      </c>
    </row>
    <row r="2303" spans="1:14" x14ac:dyDescent="0.25">
      <c r="A2303">
        <v>1438.75441</v>
      </c>
      <c r="B2303" s="1">
        <f>DATE(2014,4,8) + TIME(18,6,20)</f>
        <v>41737.75439814815</v>
      </c>
      <c r="C2303">
        <v>80</v>
      </c>
      <c r="D2303">
        <v>64.437973021999994</v>
      </c>
      <c r="E2303">
        <v>50</v>
      </c>
      <c r="F2303">
        <v>49.984867096000002</v>
      </c>
      <c r="G2303">
        <v>1328.0935059000001</v>
      </c>
      <c r="H2303">
        <v>1326.8258057</v>
      </c>
      <c r="I2303">
        <v>1334.7210693</v>
      </c>
      <c r="J2303">
        <v>1333.4726562000001</v>
      </c>
      <c r="K2303">
        <v>0</v>
      </c>
      <c r="L2303">
        <v>2400</v>
      </c>
      <c r="M2303">
        <v>2400</v>
      </c>
      <c r="N2303">
        <v>0</v>
      </c>
    </row>
    <row r="2304" spans="1:14" x14ac:dyDescent="0.25">
      <c r="A2304">
        <v>1440.8894829999999</v>
      </c>
      <c r="B2304" s="1">
        <f>DATE(2014,4,10) + TIME(21,20,51)</f>
        <v>41739.889479166668</v>
      </c>
      <c r="C2304">
        <v>80</v>
      </c>
      <c r="D2304">
        <v>64.170204162999994</v>
      </c>
      <c r="E2304">
        <v>50</v>
      </c>
      <c r="F2304">
        <v>49.984855652</v>
      </c>
      <c r="G2304">
        <v>1328.0767822</v>
      </c>
      <c r="H2304">
        <v>1326.8035889</v>
      </c>
      <c r="I2304">
        <v>1334.7196045000001</v>
      </c>
      <c r="J2304">
        <v>1333.4725341999999</v>
      </c>
      <c r="K2304">
        <v>0</v>
      </c>
      <c r="L2304">
        <v>2400</v>
      </c>
      <c r="M2304">
        <v>2400</v>
      </c>
      <c r="N2304">
        <v>0</v>
      </c>
    </row>
    <row r="2305" spans="1:14" x14ac:dyDescent="0.25">
      <c r="A2305">
        <v>1443.0245560000001</v>
      </c>
      <c r="B2305" s="1">
        <f>DATE(2014,4,13) + TIME(0,35,21)</f>
        <v>41742.024548611109</v>
      </c>
      <c r="C2305">
        <v>80</v>
      </c>
      <c r="D2305">
        <v>63.939125060999999</v>
      </c>
      <c r="E2305">
        <v>50</v>
      </c>
      <c r="F2305">
        <v>49.984848022000001</v>
      </c>
      <c r="G2305">
        <v>1328.0645752</v>
      </c>
      <c r="H2305">
        <v>1326.7871094</v>
      </c>
      <c r="I2305">
        <v>1334.7185059000001</v>
      </c>
      <c r="J2305">
        <v>1333.4722899999999</v>
      </c>
      <c r="K2305">
        <v>0</v>
      </c>
      <c r="L2305">
        <v>2400</v>
      </c>
      <c r="M2305">
        <v>2400</v>
      </c>
      <c r="N2305">
        <v>0</v>
      </c>
    </row>
    <row r="2306" spans="1:14" x14ac:dyDescent="0.25">
      <c r="A2306">
        <v>1445.159629</v>
      </c>
      <c r="B2306" s="1">
        <f>DATE(2014,4,15) + TIME(3,49,51)</f>
        <v>41744.159618055557</v>
      </c>
      <c r="C2306">
        <v>80</v>
      </c>
      <c r="D2306">
        <v>63.733291626000003</v>
      </c>
      <c r="E2306">
        <v>50</v>
      </c>
      <c r="F2306">
        <v>49.984844207999998</v>
      </c>
      <c r="G2306">
        <v>1328.0540771000001</v>
      </c>
      <c r="H2306">
        <v>1326.7736815999999</v>
      </c>
      <c r="I2306">
        <v>1334.7174072</v>
      </c>
      <c r="J2306">
        <v>1333.472168</v>
      </c>
      <c r="K2306">
        <v>0</v>
      </c>
      <c r="L2306">
        <v>2400</v>
      </c>
      <c r="M2306">
        <v>2400</v>
      </c>
      <c r="N2306">
        <v>0</v>
      </c>
    </row>
    <row r="2307" spans="1:14" x14ac:dyDescent="0.25">
      <c r="A2307">
        <v>1449.4297750000001</v>
      </c>
      <c r="B2307" s="1">
        <f>DATE(2014,4,19) + TIME(10,18,52)</f>
        <v>41748.429768518516</v>
      </c>
      <c r="C2307">
        <v>80</v>
      </c>
      <c r="D2307">
        <v>63.576469420999999</v>
      </c>
      <c r="E2307">
        <v>50</v>
      </c>
      <c r="F2307">
        <v>49.984844207999998</v>
      </c>
      <c r="G2307">
        <v>1328.0439452999999</v>
      </c>
      <c r="H2307">
        <v>1326.7611084</v>
      </c>
      <c r="I2307">
        <v>1334.7163086</v>
      </c>
      <c r="J2307">
        <v>1333.4720459</v>
      </c>
      <c r="K2307">
        <v>0</v>
      </c>
      <c r="L2307">
        <v>2400</v>
      </c>
      <c r="M2307">
        <v>2400</v>
      </c>
      <c r="N2307">
        <v>0</v>
      </c>
    </row>
    <row r="2308" spans="1:14" x14ac:dyDescent="0.25">
      <c r="A2308">
        <v>1453.707885</v>
      </c>
      <c r="B2308" s="1">
        <f>DATE(2014,4,23) + TIME(16,59,21)</f>
        <v>41752.707881944443</v>
      </c>
      <c r="C2308">
        <v>80</v>
      </c>
      <c r="D2308">
        <v>63.017715453999998</v>
      </c>
      <c r="E2308">
        <v>50</v>
      </c>
      <c r="F2308">
        <v>49.984832763999997</v>
      </c>
      <c r="G2308">
        <v>1328.0279541</v>
      </c>
      <c r="H2308">
        <v>1326.7435303</v>
      </c>
      <c r="I2308">
        <v>1334.7142334</v>
      </c>
      <c r="J2308">
        <v>1333.4716797000001</v>
      </c>
      <c r="K2308">
        <v>0</v>
      </c>
      <c r="L2308">
        <v>2400</v>
      </c>
      <c r="M2308">
        <v>2400</v>
      </c>
      <c r="N2308">
        <v>0</v>
      </c>
    </row>
    <row r="2309" spans="1:14" x14ac:dyDescent="0.25">
      <c r="A2309">
        <v>1455.954763</v>
      </c>
      <c r="B2309" s="1">
        <f>DATE(2014,4,25) + TIME(22,54,51)</f>
        <v>41754.954756944448</v>
      </c>
      <c r="C2309">
        <v>80</v>
      </c>
      <c r="D2309">
        <v>62.853805542000003</v>
      </c>
      <c r="E2309">
        <v>50</v>
      </c>
      <c r="F2309">
        <v>49.984821320000002</v>
      </c>
      <c r="G2309">
        <v>1328.0087891000001</v>
      </c>
      <c r="H2309">
        <v>1326.7200928</v>
      </c>
      <c r="I2309">
        <v>1334.7121582</v>
      </c>
      <c r="J2309">
        <v>1333.4714355000001</v>
      </c>
      <c r="K2309">
        <v>0</v>
      </c>
      <c r="L2309">
        <v>2400</v>
      </c>
      <c r="M2309">
        <v>2400</v>
      </c>
      <c r="N2309">
        <v>0</v>
      </c>
    </row>
    <row r="2310" spans="1:14" x14ac:dyDescent="0.25">
      <c r="A2310">
        <v>1457.743592</v>
      </c>
      <c r="B2310" s="1">
        <f>DATE(2014,4,27) + TIME(17,50,46)</f>
        <v>41756.743587962963</v>
      </c>
      <c r="C2310">
        <v>80</v>
      </c>
      <c r="D2310">
        <v>62.637039184999999</v>
      </c>
      <c r="E2310">
        <v>50</v>
      </c>
      <c r="F2310">
        <v>49.984813690000003</v>
      </c>
      <c r="G2310">
        <v>1327.9971923999999</v>
      </c>
      <c r="H2310">
        <v>1326.7048339999999</v>
      </c>
      <c r="I2310">
        <v>1334.7110596</v>
      </c>
      <c r="J2310">
        <v>1333.4711914</v>
      </c>
      <c r="K2310">
        <v>0</v>
      </c>
      <c r="L2310">
        <v>2400</v>
      </c>
      <c r="M2310">
        <v>2400</v>
      </c>
      <c r="N2310">
        <v>0</v>
      </c>
    </row>
    <row r="2311" spans="1:14" x14ac:dyDescent="0.25">
      <c r="A2311">
        <v>1461</v>
      </c>
      <c r="B2311" s="1">
        <f>DATE(2014,5,1) + TIME(0,0,0)</f>
        <v>41760</v>
      </c>
      <c r="C2311">
        <v>80</v>
      </c>
      <c r="D2311">
        <v>62.490608215000002</v>
      </c>
      <c r="E2311">
        <v>50</v>
      </c>
      <c r="F2311">
        <v>49.984813690000003</v>
      </c>
      <c r="G2311">
        <v>1327.9886475000001</v>
      </c>
      <c r="H2311">
        <v>1326.6932373</v>
      </c>
      <c r="I2311">
        <v>1334.7102050999999</v>
      </c>
      <c r="J2311">
        <v>1333.4710693</v>
      </c>
      <c r="K2311">
        <v>0</v>
      </c>
      <c r="L2311">
        <v>2400</v>
      </c>
      <c r="M2311">
        <v>2400</v>
      </c>
      <c r="N2311">
        <v>0</v>
      </c>
    </row>
    <row r="2312" spans="1:14" x14ac:dyDescent="0.25">
      <c r="A2312">
        <v>1461.0000010000001</v>
      </c>
      <c r="B2312" s="1">
        <f>DATE(2014,5,1) + TIME(0,0,0)</f>
        <v>41760</v>
      </c>
      <c r="C2312">
        <v>80</v>
      </c>
      <c r="D2312">
        <v>62.490741730000003</v>
      </c>
      <c r="E2312">
        <v>50</v>
      </c>
      <c r="F2312">
        <v>49.984748840000002</v>
      </c>
      <c r="G2312">
        <v>1329.9576416</v>
      </c>
      <c r="H2312">
        <v>1328.7585449000001</v>
      </c>
      <c r="I2312">
        <v>1332.9450684000001</v>
      </c>
      <c r="J2312">
        <v>1332.2662353999999</v>
      </c>
      <c r="K2312">
        <v>2400</v>
      </c>
      <c r="L2312">
        <v>0</v>
      </c>
      <c r="M2312">
        <v>0</v>
      </c>
      <c r="N2312">
        <v>2400</v>
      </c>
    </row>
    <row r="2313" spans="1:14" x14ac:dyDescent="0.25">
      <c r="A2313">
        <v>1461.000004</v>
      </c>
      <c r="B2313" s="1">
        <f>DATE(2014,5,1) + TIME(0,0,0)</f>
        <v>41760</v>
      </c>
      <c r="C2313">
        <v>80</v>
      </c>
      <c r="D2313">
        <v>62.490943909000002</v>
      </c>
      <c r="E2313">
        <v>50</v>
      </c>
      <c r="F2313">
        <v>49.984668732000003</v>
      </c>
      <c r="G2313">
        <v>1330.7618408000001</v>
      </c>
      <c r="H2313">
        <v>1329.5946045000001</v>
      </c>
      <c r="I2313">
        <v>1332.3127440999999</v>
      </c>
      <c r="J2313">
        <v>1331.6334228999999</v>
      </c>
      <c r="K2313">
        <v>2400</v>
      </c>
      <c r="L2313">
        <v>0</v>
      </c>
      <c r="M2313">
        <v>0</v>
      </c>
      <c r="N2313">
        <v>2400</v>
      </c>
    </row>
    <row r="2314" spans="1:14" x14ac:dyDescent="0.25">
      <c r="A2314">
        <v>1461.0000130000001</v>
      </c>
      <c r="B2314" s="1">
        <f>DATE(2014,5,1) + TIME(0,0,1)</f>
        <v>41760.000011574077</v>
      </c>
      <c r="C2314">
        <v>80</v>
      </c>
      <c r="D2314">
        <v>62.491340637</v>
      </c>
      <c r="E2314">
        <v>50</v>
      </c>
      <c r="F2314">
        <v>49.984592438</v>
      </c>
      <c r="G2314">
        <v>1331.5877685999999</v>
      </c>
      <c r="H2314">
        <v>1330.3864745999999</v>
      </c>
      <c r="I2314">
        <v>1331.7048339999999</v>
      </c>
      <c r="J2314">
        <v>1331.0219727000001</v>
      </c>
      <c r="K2314">
        <v>2400</v>
      </c>
      <c r="L2314">
        <v>0</v>
      </c>
      <c r="M2314">
        <v>0</v>
      </c>
      <c r="N2314">
        <v>2400</v>
      </c>
    </row>
    <row r="2315" spans="1:14" x14ac:dyDescent="0.25">
      <c r="A2315">
        <v>1461.0000399999999</v>
      </c>
      <c r="B2315" s="1">
        <f>DATE(2014,5,1) + TIME(0,0,3)</f>
        <v>41760.000034722223</v>
      </c>
      <c r="C2315">
        <v>80</v>
      </c>
      <c r="D2315">
        <v>62.492332458</v>
      </c>
      <c r="E2315">
        <v>50</v>
      </c>
      <c r="F2315">
        <v>49.984516143999997</v>
      </c>
      <c r="G2315">
        <v>1332.3764647999999</v>
      </c>
      <c r="H2315">
        <v>1331.1383057</v>
      </c>
      <c r="I2315">
        <v>1331.1234131000001</v>
      </c>
      <c r="J2315">
        <v>1330.4294434000001</v>
      </c>
      <c r="K2315">
        <v>2400</v>
      </c>
      <c r="L2315">
        <v>0</v>
      </c>
      <c r="M2315">
        <v>0</v>
      </c>
      <c r="N2315">
        <v>2400</v>
      </c>
    </row>
    <row r="2316" spans="1:14" x14ac:dyDescent="0.25">
      <c r="A2316">
        <v>1461.000121</v>
      </c>
      <c r="B2316" s="1">
        <f>DATE(2014,5,1) + TIME(0,0,10)</f>
        <v>41760.000115740739</v>
      </c>
      <c r="C2316">
        <v>80</v>
      </c>
      <c r="D2316">
        <v>62.495185851999999</v>
      </c>
      <c r="E2316">
        <v>50</v>
      </c>
      <c r="F2316">
        <v>49.984436035000002</v>
      </c>
      <c r="G2316">
        <v>1333.1409911999999</v>
      </c>
      <c r="H2316">
        <v>1331.8679199000001</v>
      </c>
      <c r="I2316">
        <v>1330.5329589999999</v>
      </c>
      <c r="J2316">
        <v>1329.8168945</v>
      </c>
      <c r="K2316">
        <v>2400</v>
      </c>
      <c r="L2316">
        <v>0</v>
      </c>
      <c r="M2316">
        <v>0</v>
      </c>
      <c r="N2316">
        <v>2400</v>
      </c>
    </row>
    <row r="2317" spans="1:14" x14ac:dyDescent="0.25">
      <c r="A2317">
        <v>1461.000364</v>
      </c>
      <c r="B2317" s="1">
        <f>DATE(2014,5,1) + TIME(0,0,31)</f>
        <v>41760.000358796293</v>
      </c>
      <c r="C2317">
        <v>80</v>
      </c>
      <c r="D2317">
        <v>62.503768921000002</v>
      </c>
      <c r="E2317">
        <v>50</v>
      </c>
      <c r="F2317">
        <v>49.984348296999997</v>
      </c>
      <c r="G2317">
        <v>1333.8603516000001</v>
      </c>
      <c r="H2317">
        <v>1332.5528564000001</v>
      </c>
      <c r="I2317">
        <v>1329.9367675999999</v>
      </c>
      <c r="J2317">
        <v>1329.1921387</v>
      </c>
      <c r="K2317">
        <v>2400</v>
      </c>
      <c r="L2317">
        <v>0</v>
      </c>
      <c r="M2317">
        <v>0</v>
      </c>
      <c r="N2317">
        <v>2400</v>
      </c>
    </row>
    <row r="2318" spans="1:14" x14ac:dyDescent="0.25">
      <c r="A2318">
        <v>1461.0010930000001</v>
      </c>
      <c r="B2318" s="1">
        <f>DATE(2014,5,1) + TIME(0,1,34)</f>
        <v>41760.001087962963</v>
      </c>
      <c r="C2318">
        <v>80</v>
      </c>
      <c r="D2318">
        <v>62.529796599999997</v>
      </c>
      <c r="E2318">
        <v>50</v>
      </c>
      <c r="F2318">
        <v>49.984233856000003</v>
      </c>
      <c r="G2318">
        <v>1334.4262695</v>
      </c>
      <c r="H2318">
        <v>1333.0921631000001</v>
      </c>
      <c r="I2318">
        <v>1329.4373779</v>
      </c>
      <c r="J2318">
        <v>1328.6706543</v>
      </c>
      <c r="K2318">
        <v>2400</v>
      </c>
      <c r="L2318">
        <v>0</v>
      </c>
      <c r="M2318">
        <v>0</v>
      </c>
      <c r="N2318">
        <v>2400</v>
      </c>
    </row>
    <row r="2319" spans="1:14" x14ac:dyDescent="0.25">
      <c r="A2319">
        <v>1461.0032799999999</v>
      </c>
      <c r="B2319" s="1">
        <f>DATE(2014,5,1) + TIME(0,4,43)</f>
        <v>41760.003275462965</v>
      </c>
      <c r="C2319">
        <v>80</v>
      </c>
      <c r="D2319">
        <v>62.608089446999998</v>
      </c>
      <c r="E2319">
        <v>50</v>
      </c>
      <c r="F2319">
        <v>49.98405838</v>
      </c>
      <c r="G2319">
        <v>1334.7290039</v>
      </c>
      <c r="H2319">
        <v>1333.3835449000001</v>
      </c>
      <c r="I2319">
        <v>1329.1761475000001</v>
      </c>
      <c r="J2319">
        <v>1328.4002685999999</v>
      </c>
      <c r="K2319">
        <v>2400</v>
      </c>
      <c r="L2319">
        <v>0</v>
      </c>
      <c r="M2319">
        <v>0</v>
      </c>
      <c r="N2319">
        <v>2400</v>
      </c>
    </row>
    <row r="2320" spans="1:14" x14ac:dyDescent="0.25">
      <c r="A2320">
        <v>1461.0098410000001</v>
      </c>
      <c r="B2320" s="1">
        <f>DATE(2014,5,1) + TIME(0,14,10)</f>
        <v>41760.009837962964</v>
      </c>
      <c r="C2320">
        <v>80</v>
      </c>
      <c r="D2320">
        <v>62.840206146</v>
      </c>
      <c r="E2320">
        <v>50</v>
      </c>
      <c r="F2320">
        <v>49.983615874999998</v>
      </c>
      <c r="G2320">
        <v>1334.8111572</v>
      </c>
      <c r="H2320">
        <v>1333.4671631000001</v>
      </c>
      <c r="I2320">
        <v>1329.1170654</v>
      </c>
      <c r="J2320">
        <v>1328.3391113</v>
      </c>
      <c r="K2320">
        <v>2400</v>
      </c>
      <c r="L2320">
        <v>0</v>
      </c>
      <c r="M2320">
        <v>0</v>
      </c>
      <c r="N2320">
        <v>2400</v>
      </c>
    </row>
    <row r="2321" spans="1:14" x14ac:dyDescent="0.25">
      <c r="A2321">
        <v>1461.027922</v>
      </c>
      <c r="B2321" s="1">
        <f>DATE(2014,5,1) + TIME(0,40,12)</f>
        <v>41760.027916666666</v>
      </c>
      <c r="C2321">
        <v>80</v>
      </c>
      <c r="D2321">
        <v>63.456970214999998</v>
      </c>
      <c r="E2321">
        <v>50</v>
      </c>
      <c r="F2321">
        <v>49.982433319000002</v>
      </c>
      <c r="G2321">
        <v>1334.8087158000001</v>
      </c>
      <c r="H2321">
        <v>1333.4754639</v>
      </c>
      <c r="I2321">
        <v>1329.1134033000001</v>
      </c>
      <c r="J2321">
        <v>1328.3353271000001</v>
      </c>
      <c r="K2321">
        <v>2400</v>
      </c>
      <c r="L2321">
        <v>0</v>
      </c>
      <c r="M2321">
        <v>0</v>
      </c>
      <c r="N2321">
        <v>2400</v>
      </c>
    </row>
    <row r="2322" spans="1:14" x14ac:dyDescent="0.25">
      <c r="A2322">
        <v>1461.0463709999999</v>
      </c>
      <c r="B2322" s="1">
        <f>DATE(2014,5,1) + TIME(1,6,46)</f>
        <v>41760.046365740738</v>
      </c>
      <c r="C2322">
        <v>80</v>
      </c>
      <c r="D2322">
        <v>64.070159911999994</v>
      </c>
      <c r="E2322">
        <v>50</v>
      </c>
      <c r="F2322">
        <v>49.981235503999997</v>
      </c>
      <c r="G2322">
        <v>1334.8316649999999</v>
      </c>
      <c r="H2322">
        <v>1333.4940185999999</v>
      </c>
      <c r="I2322">
        <v>1329.1134033000001</v>
      </c>
      <c r="J2322">
        <v>1328.3352050999999</v>
      </c>
      <c r="K2322">
        <v>2400</v>
      </c>
      <c r="L2322">
        <v>0</v>
      </c>
      <c r="M2322">
        <v>0</v>
      </c>
      <c r="N2322">
        <v>2400</v>
      </c>
    </row>
    <row r="2323" spans="1:14" x14ac:dyDescent="0.25">
      <c r="A2323">
        <v>1461.0652009999999</v>
      </c>
      <c r="B2323" s="1">
        <f>DATE(2014,5,1) + TIME(1,33,53)</f>
        <v>41760.065196759257</v>
      </c>
      <c r="C2323">
        <v>80</v>
      </c>
      <c r="D2323">
        <v>64.679603576999995</v>
      </c>
      <c r="E2323">
        <v>50</v>
      </c>
      <c r="F2323">
        <v>49.980018616000002</v>
      </c>
      <c r="G2323">
        <v>1334.8562012</v>
      </c>
      <c r="H2323">
        <v>1333.5133057</v>
      </c>
      <c r="I2323">
        <v>1329.1132812000001</v>
      </c>
      <c r="J2323">
        <v>1328.3350829999999</v>
      </c>
      <c r="K2323">
        <v>2400</v>
      </c>
      <c r="L2323">
        <v>0</v>
      </c>
      <c r="M2323">
        <v>0</v>
      </c>
      <c r="N2323">
        <v>2400</v>
      </c>
    </row>
    <row r="2324" spans="1:14" x14ac:dyDescent="0.25">
      <c r="A2324">
        <v>1461.084431</v>
      </c>
      <c r="B2324" s="1">
        <f>DATE(2014,5,1) + TIME(2,1,34)</f>
        <v>41760.084421296298</v>
      </c>
      <c r="C2324">
        <v>80</v>
      </c>
      <c r="D2324">
        <v>65.285125731999997</v>
      </c>
      <c r="E2324">
        <v>50</v>
      </c>
      <c r="F2324">
        <v>49.978786468999999</v>
      </c>
      <c r="G2324">
        <v>1334.8826904</v>
      </c>
      <c r="H2324">
        <v>1333.5338135</v>
      </c>
      <c r="I2324">
        <v>1329.1132812000001</v>
      </c>
      <c r="J2324">
        <v>1328.3349608999999</v>
      </c>
      <c r="K2324">
        <v>2400</v>
      </c>
      <c r="L2324">
        <v>0</v>
      </c>
      <c r="M2324">
        <v>0</v>
      </c>
      <c r="N2324">
        <v>2400</v>
      </c>
    </row>
    <row r="2325" spans="1:14" x14ac:dyDescent="0.25">
      <c r="A2325">
        <v>1461.104075</v>
      </c>
      <c r="B2325" s="1">
        <f>DATE(2014,5,1) + TIME(2,29,52)</f>
        <v>41760.104074074072</v>
      </c>
      <c r="C2325">
        <v>80</v>
      </c>
      <c r="D2325">
        <v>65.886413574000002</v>
      </c>
      <c r="E2325">
        <v>50</v>
      </c>
      <c r="F2325">
        <v>49.977531433000003</v>
      </c>
      <c r="G2325">
        <v>1334.9112548999999</v>
      </c>
      <c r="H2325">
        <v>1333.5555420000001</v>
      </c>
      <c r="I2325">
        <v>1329.1131591999999</v>
      </c>
      <c r="J2325">
        <v>1328.3347168</v>
      </c>
      <c r="K2325">
        <v>2400</v>
      </c>
      <c r="L2325">
        <v>0</v>
      </c>
      <c r="M2325">
        <v>0</v>
      </c>
      <c r="N2325">
        <v>2400</v>
      </c>
    </row>
    <row r="2326" spans="1:14" x14ac:dyDescent="0.25">
      <c r="A2326">
        <v>1461.1241500000001</v>
      </c>
      <c r="B2326" s="1">
        <f>DATE(2014,5,1) + TIME(2,58,46)</f>
        <v>41760.124143518522</v>
      </c>
      <c r="C2326">
        <v>80</v>
      </c>
      <c r="D2326">
        <v>66.482994079999997</v>
      </c>
      <c r="E2326">
        <v>50</v>
      </c>
      <c r="F2326">
        <v>49.976257324000002</v>
      </c>
      <c r="G2326">
        <v>1334.9416504000001</v>
      </c>
      <c r="H2326">
        <v>1333.5784911999999</v>
      </c>
      <c r="I2326">
        <v>1329.1130370999999</v>
      </c>
      <c r="J2326">
        <v>1328.3345947</v>
      </c>
      <c r="K2326">
        <v>2400</v>
      </c>
      <c r="L2326">
        <v>0</v>
      </c>
      <c r="M2326">
        <v>0</v>
      </c>
      <c r="N2326">
        <v>2400</v>
      </c>
    </row>
    <row r="2327" spans="1:14" x14ac:dyDescent="0.25">
      <c r="A2327">
        <v>1461.1446739999999</v>
      </c>
      <c r="B2327" s="1">
        <f>DATE(2014,5,1) + TIME(3,28,19)</f>
        <v>41760.14466435185</v>
      </c>
      <c r="C2327">
        <v>80</v>
      </c>
      <c r="D2327">
        <v>67.074455260999997</v>
      </c>
      <c r="E2327">
        <v>50</v>
      </c>
      <c r="F2327">
        <v>49.974960326999998</v>
      </c>
      <c r="G2327">
        <v>1334.9738769999999</v>
      </c>
      <c r="H2327">
        <v>1333.6024170000001</v>
      </c>
      <c r="I2327">
        <v>1329.1129149999999</v>
      </c>
      <c r="J2327">
        <v>1328.3343506000001</v>
      </c>
      <c r="K2327">
        <v>2400</v>
      </c>
      <c r="L2327">
        <v>0</v>
      </c>
      <c r="M2327">
        <v>0</v>
      </c>
      <c r="N2327">
        <v>2400</v>
      </c>
    </row>
    <row r="2328" spans="1:14" x14ac:dyDescent="0.25">
      <c r="A2328">
        <v>1461.1656700000001</v>
      </c>
      <c r="B2328" s="1">
        <f>DATE(2014,5,1) + TIME(3,58,33)</f>
        <v>41760.165659722225</v>
      </c>
      <c r="C2328">
        <v>80</v>
      </c>
      <c r="D2328">
        <v>67.660392760999997</v>
      </c>
      <c r="E2328">
        <v>50</v>
      </c>
      <c r="F2328">
        <v>49.973644256999997</v>
      </c>
      <c r="G2328">
        <v>1335.0079346</v>
      </c>
      <c r="H2328">
        <v>1333.6275635</v>
      </c>
      <c r="I2328">
        <v>1329.112793</v>
      </c>
      <c r="J2328">
        <v>1328.3341064000001</v>
      </c>
      <c r="K2328">
        <v>2400</v>
      </c>
      <c r="L2328">
        <v>0</v>
      </c>
      <c r="M2328">
        <v>0</v>
      </c>
      <c r="N2328">
        <v>2400</v>
      </c>
    </row>
    <row r="2329" spans="1:14" x14ac:dyDescent="0.25">
      <c r="A2329">
        <v>1461.1871599999999</v>
      </c>
      <c r="B2329" s="1">
        <f>DATE(2014,5,1) + TIME(4,29,30)</f>
        <v>41760.187152777777</v>
      </c>
      <c r="C2329">
        <v>80</v>
      </c>
      <c r="D2329">
        <v>68.240303040000001</v>
      </c>
      <c r="E2329">
        <v>50</v>
      </c>
      <c r="F2329">
        <v>49.972305298000002</v>
      </c>
      <c r="G2329">
        <v>1335.0435791</v>
      </c>
      <c r="H2329">
        <v>1333.6536865</v>
      </c>
      <c r="I2329">
        <v>1329.1126709</v>
      </c>
      <c r="J2329">
        <v>1328.3338623</v>
      </c>
      <c r="K2329">
        <v>2400</v>
      </c>
      <c r="L2329">
        <v>0</v>
      </c>
      <c r="M2329">
        <v>0</v>
      </c>
      <c r="N2329">
        <v>2400</v>
      </c>
    </row>
    <row r="2330" spans="1:14" x14ac:dyDescent="0.25">
      <c r="A2330">
        <v>1461.2091660000001</v>
      </c>
      <c r="B2330" s="1">
        <f>DATE(2014,5,1) + TIME(5,1,11)</f>
        <v>41760.209155092591</v>
      </c>
      <c r="C2330">
        <v>80</v>
      </c>
      <c r="D2330">
        <v>68.813636779999996</v>
      </c>
      <c r="E2330">
        <v>50</v>
      </c>
      <c r="F2330">
        <v>49.970939635999997</v>
      </c>
      <c r="G2330">
        <v>1335.0809326000001</v>
      </c>
      <c r="H2330">
        <v>1333.6807861</v>
      </c>
      <c r="I2330">
        <v>1329.1125488</v>
      </c>
      <c r="J2330">
        <v>1328.3336182</v>
      </c>
      <c r="K2330">
        <v>2400</v>
      </c>
      <c r="L2330">
        <v>0</v>
      </c>
      <c r="M2330">
        <v>0</v>
      </c>
      <c r="N2330">
        <v>2400</v>
      </c>
    </row>
    <row r="2331" spans="1:14" x14ac:dyDescent="0.25">
      <c r="A2331">
        <v>1461.2317149999999</v>
      </c>
      <c r="B2331" s="1">
        <f>DATE(2014,5,1) + TIME(5,33,40)</f>
        <v>41760.231712962966</v>
      </c>
      <c r="C2331">
        <v>80</v>
      </c>
      <c r="D2331">
        <v>69.379791260000005</v>
      </c>
      <c r="E2331">
        <v>50</v>
      </c>
      <c r="F2331">
        <v>49.969551086000003</v>
      </c>
      <c r="G2331">
        <v>1335.119751</v>
      </c>
      <c r="H2331">
        <v>1333.7088623</v>
      </c>
      <c r="I2331">
        <v>1329.1124268000001</v>
      </c>
      <c r="J2331">
        <v>1328.333374</v>
      </c>
      <c r="K2331">
        <v>2400</v>
      </c>
      <c r="L2331">
        <v>0</v>
      </c>
      <c r="M2331">
        <v>0</v>
      </c>
      <c r="N2331">
        <v>2400</v>
      </c>
    </row>
    <row r="2332" spans="1:14" x14ac:dyDescent="0.25">
      <c r="A2332">
        <v>1461.2548340000001</v>
      </c>
      <c r="B2332" s="1">
        <f>DATE(2014,5,1) + TIME(6,6,57)</f>
        <v>41760.254826388889</v>
      </c>
      <c r="C2332">
        <v>80</v>
      </c>
      <c r="D2332">
        <v>69.938148498999993</v>
      </c>
      <c r="E2332">
        <v>50</v>
      </c>
      <c r="F2332">
        <v>49.968135834000002</v>
      </c>
      <c r="G2332">
        <v>1335.1599120999999</v>
      </c>
      <c r="H2332">
        <v>1333.737793</v>
      </c>
      <c r="I2332">
        <v>1329.1123047000001</v>
      </c>
      <c r="J2332">
        <v>1328.3331298999999</v>
      </c>
      <c r="K2332">
        <v>2400</v>
      </c>
      <c r="L2332">
        <v>0</v>
      </c>
      <c r="M2332">
        <v>0</v>
      </c>
      <c r="N2332">
        <v>2400</v>
      </c>
    </row>
    <row r="2333" spans="1:14" x14ac:dyDescent="0.25">
      <c r="A2333">
        <v>1461.2785530000001</v>
      </c>
      <c r="B2333" s="1">
        <f>DATE(2014,5,1) + TIME(6,41,6)</f>
        <v>41760.278541666667</v>
      </c>
      <c r="C2333">
        <v>80</v>
      </c>
      <c r="D2333">
        <v>70.48765564</v>
      </c>
      <c r="E2333">
        <v>50</v>
      </c>
      <c r="F2333">
        <v>49.966693878000001</v>
      </c>
      <c r="G2333">
        <v>1335.2015381000001</v>
      </c>
      <c r="H2333">
        <v>1333.7675781</v>
      </c>
      <c r="I2333">
        <v>1329.1120605000001</v>
      </c>
      <c r="J2333">
        <v>1328.3327637</v>
      </c>
      <c r="K2333">
        <v>2400</v>
      </c>
      <c r="L2333">
        <v>0</v>
      </c>
      <c r="M2333">
        <v>0</v>
      </c>
      <c r="N2333">
        <v>2400</v>
      </c>
    </row>
    <row r="2334" spans="1:14" x14ac:dyDescent="0.25">
      <c r="A2334">
        <v>1461.3029039999999</v>
      </c>
      <c r="B2334" s="1">
        <f>DATE(2014,5,1) + TIME(7,16,10)</f>
        <v>41760.302893518521</v>
      </c>
      <c r="C2334">
        <v>80</v>
      </c>
      <c r="D2334">
        <v>71.027908324999999</v>
      </c>
      <c r="E2334">
        <v>50</v>
      </c>
      <c r="F2334">
        <v>49.965221405000001</v>
      </c>
      <c r="G2334">
        <v>1335.2445068</v>
      </c>
      <c r="H2334">
        <v>1333.7982178</v>
      </c>
      <c r="I2334">
        <v>1329.1119385</v>
      </c>
      <c r="J2334">
        <v>1328.3325195</v>
      </c>
      <c r="K2334">
        <v>2400</v>
      </c>
      <c r="L2334">
        <v>0</v>
      </c>
      <c r="M2334">
        <v>0</v>
      </c>
      <c r="N2334">
        <v>2400</v>
      </c>
    </row>
    <row r="2335" spans="1:14" x14ac:dyDescent="0.25">
      <c r="A2335">
        <v>1461.3279239999999</v>
      </c>
      <c r="B2335" s="1">
        <f>DATE(2014,5,1) + TIME(7,52,12)</f>
        <v>41760.327916666669</v>
      </c>
      <c r="C2335">
        <v>80</v>
      </c>
      <c r="D2335">
        <v>71.558227539000001</v>
      </c>
      <c r="E2335">
        <v>50</v>
      </c>
      <c r="F2335">
        <v>49.963718413999999</v>
      </c>
      <c r="G2335">
        <v>1335.2885742000001</v>
      </c>
      <c r="H2335">
        <v>1333.8295897999999</v>
      </c>
      <c r="I2335">
        <v>1329.1116943</v>
      </c>
      <c r="J2335">
        <v>1328.3321533000001</v>
      </c>
      <c r="K2335">
        <v>2400</v>
      </c>
      <c r="L2335">
        <v>0</v>
      </c>
      <c r="M2335">
        <v>0</v>
      </c>
      <c r="N2335">
        <v>2400</v>
      </c>
    </row>
    <row r="2336" spans="1:14" x14ac:dyDescent="0.25">
      <c r="A2336">
        <v>1461.3536549999999</v>
      </c>
      <c r="B2336" s="1">
        <f>DATE(2014,5,1) + TIME(8,29,15)</f>
        <v>41760.353645833333</v>
      </c>
      <c r="C2336">
        <v>80</v>
      </c>
      <c r="D2336">
        <v>72.077903747999997</v>
      </c>
      <c r="E2336">
        <v>50</v>
      </c>
      <c r="F2336">
        <v>49.962184905999997</v>
      </c>
      <c r="G2336">
        <v>1335.3337402</v>
      </c>
      <c r="H2336">
        <v>1333.8616943</v>
      </c>
      <c r="I2336">
        <v>1329.1114502</v>
      </c>
      <c r="J2336">
        <v>1328.3317870999999</v>
      </c>
      <c r="K2336">
        <v>2400</v>
      </c>
      <c r="L2336">
        <v>0</v>
      </c>
      <c r="M2336">
        <v>0</v>
      </c>
      <c r="N2336">
        <v>2400</v>
      </c>
    </row>
    <row r="2337" spans="1:14" x14ac:dyDescent="0.25">
      <c r="A2337">
        <v>1461.3801470000001</v>
      </c>
      <c r="B2337" s="1">
        <f>DATE(2014,5,1) + TIME(9,7,24)</f>
        <v>41760.38013888889</v>
      </c>
      <c r="C2337">
        <v>80</v>
      </c>
      <c r="D2337">
        <v>72.586280822999996</v>
      </c>
      <c r="E2337">
        <v>50</v>
      </c>
      <c r="F2337">
        <v>49.960617065000001</v>
      </c>
      <c r="G2337">
        <v>1335.3800048999999</v>
      </c>
      <c r="H2337">
        <v>1333.8942870999999</v>
      </c>
      <c r="I2337">
        <v>1329.1113281</v>
      </c>
      <c r="J2337">
        <v>1328.3314209</v>
      </c>
      <c r="K2337">
        <v>2400</v>
      </c>
      <c r="L2337">
        <v>0</v>
      </c>
      <c r="M2337">
        <v>0</v>
      </c>
      <c r="N2337">
        <v>2400</v>
      </c>
    </row>
    <row r="2338" spans="1:14" x14ac:dyDescent="0.25">
      <c r="A2338">
        <v>1461.4074370000001</v>
      </c>
      <c r="B2338" s="1">
        <f>DATE(2014,5,1) + TIME(9,46,42)</f>
        <v>41760.407430555555</v>
      </c>
      <c r="C2338">
        <v>80</v>
      </c>
      <c r="D2338">
        <v>73.082405089999995</v>
      </c>
      <c r="E2338">
        <v>50</v>
      </c>
      <c r="F2338">
        <v>49.959011078000003</v>
      </c>
      <c r="G2338">
        <v>1335.427124</v>
      </c>
      <c r="H2338">
        <v>1333.9276123</v>
      </c>
      <c r="I2338">
        <v>1329.1110839999999</v>
      </c>
      <c r="J2338">
        <v>1328.3310547000001</v>
      </c>
      <c r="K2338">
        <v>2400</v>
      </c>
      <c r="L2338">
        <v>0</v>
      </c>
      <c r="M2338">
        <v>0</v>
      </c>
      <c r="N2338">
        <v>2400</v>
      </c>
    </row>
    <row r="2339" spans="1:14" x14ac:dyDescent="0.25">
      <c r="A2339">
        <v>1461.4355800000001</v>
      </c>
      <c r="B2339" s="1">
        <f>DATE(2014,5,1) + TIME(10,27,14)</f>
        <v>41760.435578703706</v>
      </c>
      <c r="C2339">
        <v>80</v>
      </c>
      <c r="D2339">
        <v>73.565490722999996</v>
      </c>
      <c r="E2339">
        <v>50</v>
      </c>
      <c r="F2339">
        <v>49.957366942999997</v>
      </c>
      <c r="G2339">
        <v>1335.4750977000001</v>
      </c>
      <c r="H2339">
        <v>1333.9614257999999</v>
      </c>
      <c r="I2339">
        <v>1329.1108397999999</v>
      </c>
      <c r="J2339">
        <v>1328.3306885</v>
      </c>
      <c r="K2339">
        <v>2400</v>
      </c>
      <c r="L2339">
        <v>0</v>
      </c>
      <c r="M2339">
        <v>0</v>
      </c>
      <c r="N2339">
        <v>2400</v>
      </c>
    </row>
    <row r="2340" spans="1:14" x14ac:dyDescent="0.25">
      <c r="A2340">
        <v>1461.464633</v>
      </c>
      <c r="B2340" s="1">
        <f>DATE(2014,5,1) + TIME(11,9,4)</f>
        <v>41760.464629629627</v>
      </c>
      <c r="C2340">
        <v>80</v>
      </c>
      <c r="D2340">
        <v>74.034744262999993</v>
      </c>
      <c r="E2340">
        <v>50</v>
      </c>
      <c r="F2340">
        <v>49.955680846999996</v>
      </c>
      <c r="G2340">
        <v>1335.5238036999999</v>
      </c>
      <c r="H2340">
        <v>1333.9956055</v>
      </c>
      <c r="I2340">
        <v>1329.1105957</v>
      </c>
      <c r="J2340">
        <v>1328.3302002</v>
      </c>
      <c r="K2340">
        <v>2400</v>
      </c>
      <c r="L2340">
        <v>0</v>
      </c>
      <c r="M2340">
        <v>0</v>
      </c>
      <c r="N2340">
        <v>2400</v>
      </c>
    </row>
    <row r="2341" spans="1:14" x14ac:dyDescent="0.25">
      <c r="A2341">
        <v>1461.4946600000001</v>
      </c>
      <c r="B2341" s="1">
        <f>DATE(2014,5,1) + TIME(11,52,18)</f>
        <v>41760.494652777779</v>
      </c>
      <c r="C2341">
        <v>80</v>
      </c>
      <c r="D2341">
        <v>74.489395142000006</v>
      </c>
      <c r="E2341">
        <v>50</v>
      </c>
      <c r="F2341">
        <v>49.953948975000003</v>
      </c>
      <c r="G2341">
        <v>1335.5731201000001</v>
      </c>
      <c r="H2341">
        <v>1334.0302733999999</v>
      </c>
      <c r="I2341">
        <v>1329.1102295000001</v>
      </c>
      <c r="J2341">
        <v>1328.3297118999999</v>
      </c>
      <c r="K2341">
        <v>2400</v>
      </c>
      <c r="L2341">
        <v>0</v>
      </c>
      <c r="M2341">
        <v>0</v>
      </c>
      <c r="N2341">
        <v>2400</v>
      </c>
    </row>
    <row r="2342" spans="1:14" x14ac:dyDescent="0.25">
      <c r="A2342">
        <v>1461.5257349999999</v>
      </c>
      <c r="B2342" s="1">
        <f>DATE(2014,5,1) + TIME(12,37,3)</f>
        <v>41760.525729166664</v>
      </c>
      <c r="C2342">
        <v>80</v>
      </c>
      <c r="D2342">
        <v>74.928688049000002</v>
      </c>
      <c r="E2342">
        <v>50</v>
      </c>
      <c r="F2342">
        <v>49.952171325999998</v>
      </c>
      <c r="G2342">
        <v>1335.6230469</v>
      </c>
      <c r="H2342">
        <v>1334.0651855000001</v>
      </c>
      <c r="I2342">
        <v>1329.1099853999999</v>
      </c>
      <c r="J2342">
        <v>1328.3292236</v>
      </c>
      <c r="K2342">
        <v>2400</v>
      </c>
      <c r="L2342">
        <v>0</v>
      </c>
      <c r="M2342">
        <v>0</v>
      </c>
      <c r="N2342">
        <v>2400</v>
      </c>
    </row>
    <row r="2343" spans="1:14" x14ac:dyDescent="0.25">
      <c r="A2343">
        <v>1461.557937</v>
      </c>
      <c r="B2343" s="1">
        <f>DATE(2014,5,1) + TIME(13,23,25)</f>
        <v>41760.557928240742</v>
      </c>
      <c r="C2343">
        <v>80</v>
      </c>
      <c r="D2343">
        <v>75.351623535000002</v>
      </c>
      <c r="E2343">
        <v>50</v>
      </c>
      <c r="F2343">
        <v>49.950344086000001</v>
      </c>
      <c r="G2343">
        <v>1335.6733397999999</v>
      </c>
      <c r="H2343">
        <v>1334.1003418</v>
      </c>
      <c r="I2343">
        <v>1329.1096190999999</v>
      </c>
      <c r="J2343">
        <v>1328.3287353999999</v>
      </c>
      <c r="K2343">
        <v>2400</v>
      </c>
      <c r="L2343">
        <v>0</v>
      </c>
      <c r="M2343">
        <v>0</v>
      </c>
      <c r="N2343">
        <v>2400</v>
      </c>
    </row>
    <row r="2344" spans="1:14" x14ac:dyDescent="0.25">
      <c r="A2344">
        <v>1461.591359</v>
      </c>
      <c r="B2344" s="1">
        <f>DATE(2014,5,1) + TIME(14,11,33)</f>
        <v>41760.591354166667</v>
      </c>
      <c r="C2344">
        <v>80</v>
      </c>
      <c r="D2344">
        <v>75.757720946999996</v>
      </c>
      <c r="E2344">
        <v>50</v>
      </c>
      <c r="F2344">
        <v>49.948463439999998</v>
      </c>
      <c r="G2344">
        <v>1335.7241211</v>
      </c>
      <c r="H2344">
        <v>1334.1357422000001</v>
      </c>
      <c r="I2344">
        <v>1329.109375</v>
      </c>
      <c r="J2344">
        <v>1328.3282471</v>
      </c>
      <c r="K2344">
        <v>2400</v>
      </c>
      <c r="L2344">
        <v>0</v>
      </c>
      <c r="M2344">
        <v>0</v>
      </c>
      <c r="N2344">
        <v>2400</v>
      </c>
    </row>
    <row r="2345" spans="1:14" x14ac:dyDescent="0.25">
      <c r="A2345">
        <v>1461.6261039999999</v>
      </c>
      <c r="B2345" s="1">
        <f>DATE(2014,5,1) + TIME(15,1,35)</f>
        <v>41760.626099537039</v>
      </c>
      <c r="C2345">
        <v>80</v>
      </c>
      <c r="D2345">
        <v>76.146377563000001</v>
      </c>
      <c r="E2345">
        <v>50</v>
      </c>
      <c r="F2345">
        <v>49.946521758999999</v>
      </c>
      <c r="G2345">
        <v>1335.7750243999999</v>
      </c>
      <c r="H2345">
        <v>1334.1712646000001</v>
      </c>
      <c r="I2345">
        <v>1329.1090088000001</v>
      </c>
      <c r="J2345">
        <v>1328.3277588000001</v>
      </c>
      <c r="K2345">
        <v>2400</v>
      </c>
      <c r="L2345">
        <v>0</v>
      </c>
      <c r="M2345">
        <v>0</v>
      </c>
      <c r="N2345">
        <v>2400</v>
      </c>
    </row>
    <row r="2346" spans="1:14" x14ac:dyDescent="0.25">
      <c r="A2346">
        <v>1461.6621749999999</v>
      </c>
      <c r="B2346" s="1">
        <f>DATE(2014,5,1) + TIME(15,53,31)</f>
        <v>41760.662164351852</v>
      </c>
      <c r="C2346">
        <v>80</v>
      </c>
      <c r="D2346">
        <v>76.515937804999993</v>
      </c>
      <c r="E2346">
        <v>50</v>
      </c>
      <c r="F2346">
        <v>49.944519043</v>
      </c>
      <c r="G2346">
        <v>1335.8261719</v>
      </c>
      <c r="H2346">
        <v>1334.2069091999999</v>
      </c>
      <c r="I2346">
        <v>1329.1086425999999</v>
      </c>
      <c r="J2346">
        <v>1328.3271483999999</v>
      </c>
      <c r="K2346">
        <v>2400</v>
      </c>
      <c r="L2346">
        <v>0</v>
      </c>
      <c r="M2346">
        <v>0</v>
      </c>
      <c r="N2346">
        <v>2400</v>
      </c>
    </row>
    <row r="2347" spans="1:14" x14ac:dyDescent="0.25">
      <c r="A2347">
        <v>1461.699648</v>
      </c>
      <c r="B2347" s="1">
        <f>DATE(2014,5,1) + TIME(16,47,29)</f>
        <v>41760.699641203704</v>
      </c>
      <c r="C2347">
        <v>80</v>
      </c>
      <c r="D2347">
        <v>76.865676879999995</v>
      </c>
      <c r="E2347">
        <v>50</v>
      </c>
      <c r="F2347">
        <v>49.942459106000001</v>
      </c>
      <c r="G2347">
        <v>1335.8773193</v>
      </c>
      <c r="H2347">
        <v>1334.2424315999999</v>
      </c>
      <c r="I2347">
        <v>1329.1082764</v>
      </c>
      <c r="J2347">
        <v>1328.3265381000001</v>
      </c>
      <c r="K2347">
        <v>2400</v>
      </c>
      <c r="L2347">
        <v>0</v>
      </c>
      <c r="M2347">
        <v>0</v>
      </c>
      <c r="N2347">
        <v>2400</v>
      </c>
    </row>
    <row r="2348" spans="1:14" x14ac:dyDescent="0.25">
      <c r="A2348">
        <v>1461.7386240000001</v>
      </c>
      <c r="B2348" s="1">
        <f>DATE(2014,5,1) + TIME(17,43,37)</f>
        <v>41760.738622685189</v>
      </c>
      <c r="C2348">
        <v>80</v>
      </c>
      <c r="D2348">
        <v>77.195137024000005</v>
      </c>
      <c r="E2348">
        <v>50</v>
      </c>
      <c r="F2348">
        <v>49.940334319999998</v>
      </c>
      <c r="G2348">
        <v>1335.9282227000001</v>
      </c>
      <c r="H2348">
        <v>1334.2777100000001</v>
      </c>
      <c r="I2348">
        <v>1329.1079102000001</v>
      </c>
      <c r="J2348">
        <v>1328.3259277</v>
      </c>
      <c r="K2348">
        <v>2400</v>
      </c>
      <c r="L2348">
        <v>0</v>
      </c>
      <c r="M2348">
        <v>0</v>
      </c>
      <c r="N2348">
        <v>2400</v>
      </c>
    </row>
    <row r="2349" spans="1:14" x14ac:dyDescent="0.25">
      <c r="A2349">
        <v>1461.7792139999999</v>
      </c>
      <c r="B2349" s="1">
        <f>DATE(2014,5,1) + TIME(18,42,4)</f>
        <v>41760.77921296296</v>
      </c>
      <c r="C2349">
        <v>80</v>
      </c>
      <c r="D2349">
        <v>77.503974915000001</v>
      </c>
      <c r="E2349">
        <v>50</v>
      </c>
      <c r="F2349">
        <v>49.938137054000002</v>
      </c>
      <c r="G2349">
        <v>1335.9787598</v>
      </c>
      <c r="H2349">
        <v>1334.3127440999999</v>
      </c>
      <c r="I2349">
        <v>1329.1074219</v>
      </c>
      <c r="J2349">
        <v>1328.3251952999999</v>
      </c>
      <c r="K2349">
        <v>2400</v>
      </c>
      <c r="L2349">
        <v>0</v>
      </c>
      <c r="M2349">
        <v>0</v>
      </c>
      <c r="N2349">
        <v>2400</v>
      </c>
    </row>
    <row r="2350" spans="1:14" x14ac:dyDescent="0.25">
      <c r="A2350">
        <v>1461.821541</v>
      </c>
      <c r="B2350" s="1">
        <f>DATE(2014,5,1) + TIME(19,43,1)</f>
        <v>41760.821539351855</v>
      </c>
      <c r="C2350">
        <v>80</v>
      </c>
      <c r="D2350">
        <v>77.791969299000002</v>
      </c>
      <c r="E2350">
        <v>50</v>
      </c>
      <c r="F2350">
        <v>49.935867309999999</v>
      </c>
      <c r="G2350">
        <v>1336.0288086</v>
      </c>
      <c r="H2350">
        <v>1334.3474120999999</v>
      </c>
      <c r="I2350">
        <v>1329.1069336</v>
      </c>
      <c r="J2350">
        <v>1328.3244629000001</v>
      </c>
      <c r="K2350">
        <v>2400</v>
      </c>
      <c r="L2350">
        <v>0</v>
      </c>
      <c r="M2350">
        <v>0</v>
      </c>
      <c r="N2350">
        <v>2400</v>
      </c>
    </row>
    <row r="2351" spans="1:14" x14ac:dyDescent="0.25">
      <c r="A2351">
        <v>1461.8657430000001</v>
      </c>
      <c r="B2351" s="1">
        <f>DATE(2014,5,1) + TIME(20,46,40)</f>
        <v>41760.865740740737</v>
      </c>
      <c r="C2351">
        <v>80</v>
      </c>
      <c r="D2351">
        <v>78.059028624999996</v>
      </c>
      <c r="E2351">
        <v>50</v>
      </c>
      <c r="F2351">
        <v>49.933517455999997</v>
      </c>
      <c r="G2351">
        <v>1336.078125</v>
      </c>
      <c r="H2351">
        <v>1334.3814697</v>
      </c>
      <c r="I2351">
        <v>1329.1064452999999</v>
      </c>
      <c r="J2351">
        <v>1328.3237305</v>
      </c>
      <c r="K2351">
        <v>2400</v>
      </c>
      <c r="L2351">
        <v>0</v>
      </c>
      <c r="M2351">
        <v>0</v>
      </c>
      <c r="N2351">
        <v>2400</v>
      </c>
    </row>
    <row r="2352" spans="1:14" x14ac:dyDescent="0.25">
      <c r="A2352">
        <v>1461.911973</v>
      </c>
      <c r="B2352" s="1">
        <f>DATE(2014,5,1) + TIME(21,53,14)</f>
        <v>41760.91196759259</v>
      </c>
      <c r="C2352">
        <v>80</v>
      </c>
      <c r="D2352">
        <v>78.305206299000005</v>
      </c>
      <c r="E2352">
        <v>50</v>
      </c>
      <c r="F2352">
        <v>49.931083678999997</v>
      </c>
      <c r="G2352">
        <v>1336.1268310999999</v>
      </c>
      <c r="H2352">
        <v>1334.4151611</v>
      </c>
      <c r="I2352">
        <v>1329.105957</v>
      </c>
      <c r="J2352">
        <v>1328.3229980000001</v>
      </c>
      <c r="K2352">
        <v>2400</v>
      </c>
      <c r="L2352">
        <v>0</v>
      </c>
      <c r="M2352">
        <v>0</v>
      </c>
      <c r="N2352">
        <v>2400</v>
      </c>
    </row>
    <row r="2353" spans="1:14" x14ac:dyDescent="0.25">
      <c r="A2353">
        <v>1461.960401</v>
      </c>
      <c r="B2353" s="1">
        <f>DATE(2014,5,1) + TIME(23,2,58)</f>
        <v>41760.960393518515</v>
      </c>
      <c r="C2353">
        <v>80</v>
      </c>
      <c r="D2353">
        <v>78.530700683999996</v>
      </c>
      <c r="E2353">
        <v>50</v>
      </c>
      <c r="F2353">
        <v>49.928554535000004</v>
      </c>
      <c r="G2353">
        <v>1336.1744385</v>
      </c>
      <c r="H2353">
        <v>1334.4479980000001</v>
      </c>
      <c r="I2353">
        <v>1329.1054687999999</v>
      </c>
      <c r="J2353">
        <v>1328.3221435999999</v>
      </c>
      <c r="K2353">
        <v>2400</v>
      </c>
      <c r="L2353">
        <v>0</v>
      </c>
      <c r="M2353">
        <v>0</v>
      </c>
      <c r="N2353">
        <v>2400</v>
      </c>
    </row>
    <row r="2354" spans="1:14" x14ac:dyDescent="0.25">
      <c r="A2354">
        <v>1462.0112260000001</v>
      </c>
      <c r="B2354" s="1">
        <f>DATE(2014,5,2) + TIME(0,16,9)</f>
        <v>41761.01121527778</v>
      </c>
      <c r="C2354">
        <v>80</v>
      </c>
      <c r="D2354">
        <v>78.735855103000006</v>
      </c>
      <c r="E2354">
        <v>50</v>
      </c>
      <c r="F2354">
        <v>49.925926208</v>
      </c>
      <c r="G2354">
        <v>1336.2210693</v>
      </c>
      <c r="H2354">
        <v>1334.4802245999999</v>
      </c>
      <c r="I2354">
        <v>1329.1048584</v>
      </c>
      <c r="J2354">
        <v>1328.3212891000001</v>
      </c>
      <c r="K2354">
        <v>2400</v>
      </c>
      <c r="L2354">
        <v>0</v>
      </c>
      <c r="M2354">
        <v>0</v>
      </c>
      <c r="N2354">
        <v>2400</v>
      </c>
    </row>
    <row r="2355" spans="1:14" x14ac:dyDescent="0.25">
      <c r="A2355">
        <v>1462.064678</v>
      </c>
      <c r="B2355" s="1">
        <f>DATE(2014,5,2) + TIME(1,33,8)</f>
        <v>41761.064675925925</v>
      </c>
      <c r="C2355">
        <v>80</v>
      </c>
      <c r="D2355">
        <v>78.921188353999995</v>
      </c>
      <c r="E2355">
        <v>50</v>
      </c>
      <c r="F2355">
        <v>49.923191070999998</v>
      </c>
      <c r="G2355">
        <v>1336.2664795000001</v>
      </c>
      <c r="H2355">
        <v>1334.5115966999999</v>
      </c>
      <c r="I2355">
        <v>1329.1042480000001</v>
      </c>
      <c r="J2355">
        <v>1328.3203125</v>
      </c>
      <c r="K2355">
        <v>2400</v>
      </c>
      <c r="L2355">
        <v>0</v>
      </c>
      <c r="M2355">
        <v>0</v>
      </c>
      <c r="N2355">
        <v>2400</v>
      </c>
    </row>
    <row r="2356" spans="1:14" x14ac:dyDescent="0.25">
      <c r="A2356">
        <v>1462.1210349999999</v>
      </c>
      <c r="B2356" s="1">
        <f>DATE(2014,5,2) + TIME(2,54,17)</f>
        <v>41761.121030092596</v>
      </c>
      <c r="C2356">
        <v>80</v>
      </c>
      <c r="D2356">
        <v>79.087310790999993</v>
      </c>
      <c r="E2356">
        <v>50</v>
      </c>
      <c r="F2356">
        <v>49.920333862</v>
      </c>
      <c r="G2356">
        <v>1336.3083495999999</v>
      </c>
      <c r="H2356">
        <v>1334.5406493999999</v>
      </c>
      <c r="I2356">
        <v>1329.1035156</v>
      </c>
      <c r="J2356">
        <v>1328.3193358999999</v>
      </c>
      <c r="K2356">
        <v>2400</v>
      </c>
      <c r="L2356">
        <v>0</v>
      </c>
      <c r="M2356">
        <v>0</v>
      </c>
      <c r="N2356">
        <v>2400</v>
      </c>
    </row>
    <row r="2357" spans="1:14" x14ac:dyDescent="0.25">
      <c r="A2357">
        <v>1462.1806300000001</v>
      </c>
      <c r="B2357" s="1">
        <f>DATE(2014,5,2) + TIME(4,20,6)</f>
        <v>41761.180625000001</v>
      </c>
      <c r="C2357">
        <v>80</v>
      </c>
      <c r="D2357">
        <v>79.235031128000003</v>
      </c>
      <c r="E2357">
        <v>50</v>
      </c>
      <c r="F2357">
        <v>49.91734314</v>
      </c>
      <c r="G2357">
        <v>1336.3475341999999</v>
      </c>
      <c r="H2357">
        <v>1334.5678711</v>
      </c>
      <c r="I2357">
        <v>1329.1029053</v>
      </c>
      <c r="J2357">
        <v>1328.3182373</v>
      </c>
      <c r="K2357">
        <v>2400</v>
      </c>
      <c r="L2357">
        <v>0</v>
      </c>
      <c r="M2357">
        <v>0</v>
      </c>
      <c r="N2357">
        <v>2400</v>
      </c>
    </row>
    <row r="2358" spans="1:14" x14ac:dyDescent="0.25">
      <c r="A2358">
        <v>1462.2438540000001</v>
      </c>
      <c r="B2358" s="1">
        <f>DATE(2014,5,2) + TIME(5,51,8)</f>
        <v>41761.243842592594</v>
      </c>
      <c r="C2358">
        <v>80</v>
      </c>
      <c r="D2358">
        <v>79.365280150999993</v>
      </c>
      <c r="E2358">
        <v>50</v>
      </c>
      <c r="F2358">
        <v>49.914203643999997</v>
      </c>
      <c r="G2358">
        <v>1336.3852539</v>
      </c>
      <c r="H2358">
        <v>1334.5941161999999</v>
      </c>
      <c r="I2358">
        <v>1329.1020507999999</v>
      </c>
      <c r="J2358">
        <v>1328.3171387</v>
      </c>
      <c r="K2358">
        <v>2400</v>
      </c>
      <c r="L2358">
        <v>0</v>
      </c>
      <c r="M2358">
        <v>0</v>
      </c>
      <c r="N2358">
        <v>2400</v>
      </c>
    </row>
    <row r="2359" spans="1:14" x14ac:dyDescent="0.25">
      <c r="A2359">
        <v>1462.3090110000001</v>
      </c>
      <c r="B2359" s="1">
        <f>DATE(2014,5,2) + TIME(7,24,58)</f>
        <v>41761.309004629627</v>
      </c>
      <c r="C2359">
        <v>80</v>
      </c>
      <c r="D2359">
        <v>79.476036071999999</v>
      </c>
      <c r="E2359">
        <v>50</v>
      </c>
      <c r="F2359">
        <v>49.910999298</v>
      </c>
      <c r="G2359">
        <v>1336.4200439000001</v>
      </c>
      <c r="H2359">
        <v>1334.6182861</v>
      </c>
      <c r="I2359">
        <v>1329.1013184000001</v>
      </c>
      <c r="J2359">
        <v>1328.315918</v>
      </c>
      <c r="K2359">
        <v>2400</v>
      </c>
      <c r="L2359">
        <v>0</v>
      </c>
      <c r="M2359">
        <v>0</v>
      </c>
      <c r="N2359">
        <v>2400</v>
      </c>
    </row>
    <row r="2360" spans="1:14" x14ac:dyDescent="0.25">
      <c r="A2360">
        <v>1462.375303</v>
      </c>
      <c r="B2360" s="1">
        <f>DATE(2014,5,2) + TIME(9,0,26)</f>
        <v>41761.375300925924</v>
      </c>
      <c r="C2360">
        <v>80</v>
      </c>
      <c r="D2360">
        <v>79.568550110000004</v>
      </c>
      <c r="E2360">
        <v>50</v>
      </c>
      <c r="F2360">
        <v>49.907764434999997</v>
      </c>
      <c r="G2360">
        <v>1336.4493408000001</v>
      </c>
      <c r="H2360">
        <v>1334.6389160000001</v>
      </c>
      <c r="I2360">
        <v>1329.1004639</v>
      </c>
      <c r="J2360">
        <v>1328.3146973</v>
      </c>
      <c r="K2360">
        <v>2400</v>
      </c>
      <c r="L2360">
        <v>0</v>
      </c>
      <c r="M2360">
        <v>0</v>
      </c>
      <c r="N2360">
        <v>2400</v>
      </c>
    </row>
    <row r="2361" spans="1:14" x14ac:dyDescent="0.25">
      <c r="A2361">
        <v>1462.443291</v>
      </c>
      <c r="B2361" s="1">
        <f>DATE(2014,5,2) + TIME(10,38,20)</f>
        <v>41761.443287037036</v>
      </c>
      <c r="C2361">
        <v>80</v>
      </c>
      <c r="D2361">
        <v>79.645973205999994</v>
      </c>
      <c r="E2361">
        <v>50</v>
      </c>
      <c r="F2361">
        <v>49.904476166000002</v>
      </c>
      <c r="G2361">
        <v>1336.4760742000001</v>
      </c>
      <c r="H2361">
        <v>1334.6578368999999</v>
      </c>
      <c r="I2361">
        <v>1329.0994873</v>
      </c>
      <c r="J2361">
        <v>1328.3133545000001</v>
      </c>
      <c r="K2361">
        <v>2400</v>
      </c>
      <c r="L2361">
        <v>0</v>
      </c>
      <c r="M2361">
        <v>0</v>
      </c>
      <c r="N2361">
        <v>2400</v>
      </c>
    </row>
    <row r="2362" spans="1:14" x14ac:dyDescent="0.25">
      <c r="A2362">
        <v>1462.5129280000001</v>
      </c>
      <c r="B2362" s="1">
        <f>DATE(2014,5,2) + TIME(12,18,36)</f>
        <v>41761.512916666667</v>
      </c>
      <c r="C2362">
        <v>80</v>
      </c>
      <c r="D2362">
        <v>79.71031189</v>
      </c>
      <c r="E2362">
        <v>50</v>
      </c>
      <c r="F2362">
        <v>49.901138306</v>
      </c>
      <c r="G2362">
        <v>1336.5003661999999</v>
      </c>
      <c r="H2362">
        <v>1334.6751709</v>
      </c>
      <c r="I2362">
        <v>1329.0986327999999</v>
      </c>
      <c r="J2362">
        <v>1328.3121338000001</v>
      </c>
      <c r="K2362">
        <v>2400</v>
      </c>
      <c r="L2362">
        <v>0</v>
      </c>
      <c r="M2362">
        <v>0</v>
      </c>
      <c r="N2362">
        <v>2400</v>
      </c>
    </row>
    <row r="2363" spans="1:14" x14ac:dyDescent="0.25">
      <c r="A2363">
        <v>1462.58304</v>
      </c>
      <c r="B2363" s="1">
        <f>DATE(2014,5,2) + TIME(13,59,34)</f>
        <v>41761.583032407405</v>
      </c>
      <c r="C2363">
        <v>80</v>
      </c>
      <c r="D2363">
        <v>79.762756347999996</v>
      </c>
      <c r="E2363">
        <v>50</v>
      </c>
      <c r="F2363">
        <v>49.897796630999999</v>
      </c>
      <c r="G2363">
        <v>1336.5225829999999</v>
      </c>
      <c r="H2363">
        <v>1334.6912841999999</v>
      </c>
      <c r="I2363">
        <v>1329.0976562000001</v>
      </c>
      <c r="J2363">
        <v>1328.3106689000001</v>
      </c>
      <c r="K2363">
        <v>2400</v>
      </c>
      <c r="L2363">
        <v>0</v>
      </c>
      <c r="M2363">
        <v>0</v>
      </c>
      <c r="N2363">
        <v>2400</v>
      </c>
    </row>
    <row r="2364" spans="1:14" x14ac:dyDescent="0.25">
      <c r="A2364">
        <v>1462.6538399999999</v>
      </c>
      <c r="B2364" s="1">
        <f>DATE(2014,5,2) + TIME(15,41,31)</f>
        <v>41761.653831018521</v>
      </c>
      <c r="C2364">
        <v>80</v>
      </c>
      <c r="D2364">
        <v>79.805488585999996</v>
      </c>
      <c r="E2364">
        <v>50</v>
      </c>
      <c r="F2364">
        <v>49.894451140999998</v>
      </c>
      <c r="G2364">
        <v>1336.5384521000001</v>
      </c>
      <c r="H2364">
        <v>1334.7030029</v>
      </c>
      <c r="I2364">
        <v>1329.0966797000001</v>
      </c>
      <c r="J2364">
        <v>1328.3093262</v>
      </c>
      <c r="K2364">
        <v>2400</v>
      </c>
      <c r="L2364">
        <v>0</v>
      </c>
      <c r="M2364">
        <v>0</v>
      </c>
      <c r="N2364">
        <v>2400</v>
      </c>
    </row>
    <row r="2365" spans="1:14" x14ac:dyDescent="0.25">
      <c r="A2365">
        <v>1462.725614</v>
      </c>
      <c r="B2365" s="1">
        <f>DATE(2014,5,2) + TIME(17,24,53)</f>
        <v>41761.725613425922</v>
      </c>
      <c r="C2365">
        <v>80</v>
      </c>
      <c r="D2365">
        <v>79.840324401999993</v>
      </c>
      <c r="E2365">
        <v>50</v>
      </c>
      <c r="F2365">
        <v>49.891078948999997</v>
      </c>
      <c r="G2365">
        <v>1336.552124</v>
      </c>
      <c r="H2365">
        <v>1334.7133789</v>
      </c>
      <c r="I2365">
        <v>1329.0957031</v>
      </c>
      <c r="J2365">
        <v>1328.3079834</v>
      </c>
      <c r="K2365">
        <v>2400</v>
      </c>
      <c r="L2365">
        <v>0</v>
      </c>
      <c r="M2365">
        <v>0</v>
      </c>
      <c r="N2365">
        <v>2400</v>
      </c>
    </row>
    <row r="2366" spans="1:14" x14ac:dyDescent="0.25">
      <c r="A2366">
        <v>1462.7985470000001</v>
      </c>
      <c r="B2366" s="1">
        <f>DATE(2014,5,2) + TIME(19,9,54)</f>
        <v>41761.798541666663</v>
      </c>
      <c r="C2366">
        <v>80</v>
      </c>
      <c r="D2366">
        <v>79.868705750000004</v>
      </c>
      <c r="E2366">
        <v>50</v>
      </c>
      <c r="F2366">
        <v>49.887680054</v>
      </c>
      <c r="G2366">
        <v>1336.5643310999999</v>
      </c>
      <c r="H2366">
        <v>1334.7229004000001</v>
      </c>
      <c r="I2366">
        <v>1329.0947266000001</v>
      </c>
      <c r="J2366">
        <v>1328.3065185999999</v>
      </c>
      <c r="K2366">
        <v>2400</v>
      </c>
      <c r="L2366">
        <v>0</v>
      </c>
      <c r="M2366">
        <v>0</v>
      </c>
      <c r="N2366">
        <v>2400</v>
      </c>
    </row>
    <row r="2367" spans="1:14" x14ac:dyDescent="0.25">
      <c r="A2367">
        <v>1462.8728289999999</v>
      </c>
      <c r="B2367" s="1">
        <f>DATE(2014,5,2) + TIME(20,56,52)</f>
        <v>41761.872824074075</v>
      </c>
      <c r="C2367">
        <v>80</v>
      </c>
      <c r="D2367">
        <v>79.891792296999995</v>
      </c>
      <c r="E2367">
        <v>50</v>
      </c>
      <c r="F2367">
        <v>49.884243011000002</v>
      </c>
      <c r="G2367">
        <v>1336.5749512</v>
      </c>
      <c r="H2367">
        <v>1334.7314452999999</v>
      </c>
      <c r="I2367">
        <v>1329.09375</v>
      </c>
      <c r="J2367">
        <v>1328.3050536999999</v>
      </c>
      <c r="K2367">
        <v>2400</v>
      </c>
      <c r="L2367">
        <v>0</v>
      </c>
      <c r="M2367">
        <v>0</v>
      </c>
      <c r="N2367">
        <v>2400</v>
      </c>
    </row>
    <row r="2368" spans="1:14" x14ac:dyDescent="0.25">
      <c r="A2368">
        <v>1462.9486609999999</v>
      </c>
      <c r="B2368" s="1">
        <f>DATE(2014,5,2) + TIME(22,46,4)</f>
        <v>41761.948657407411</v>
      </c>
      <c r="C2368">
        <v>80</v>
      </c>
      <c r="D2368">
        <v>79.910530089999995</v>
      </c>
      <c r="E2368">
        <v>50</v>
      </c>
      <c r="F2368">
        <v>49.880760193</v>
      </c>
      <c r="G2368">
        <v>1336.5843506000001</v>
      </c>
      <c r="H2368">
        <v>1334.7390137</v>
      </c>
      <c r="I2368">
        <v>1329.0926514</v>
      </c>
      <c r="J2368">
        <v>1328.3034668</v>
      </c>
      <c r="K2368">
        <v>2400</v>
      </c>
      <c r="L2368">
        <v>0</v>
      </c>
      <c r="M2368">
        <v>0</v>
      </c>
      <c r="N2368">
        <v>2400</v>
      </c>
    </row>
    <row r="2369" spans="1:14" x14ac:dyDescent="0.25">
      <c r="A2369">
        <v>1463.026261</v>
      </c>
      <c r="B2369" s="1">
        <f>DATE(2014,5,3) + TIME(0,37,48)</f>
        <v>41762.026250000003</v>
      </c>
      <c r="C2369">
        <v>80</v>
      </c>
      <c r="D2369">
        <v>79.925712584999999</v>
      </c>
      <c r="E2369">
        <v>50</v>
      </c>
      <c r="F2369">
        <v>49.877220154</v>
      </c>
      <c r="G2369">
        <v>1336.5925293</v>
      </c>
      <c r="H2369">
        <v>1334.7459716999999</v>
      </c>
      <c r="I2369">
        <v>1329.0915527</v>
      </c>
      <c r="J2369">
        <v>1328.3018798999999</v>
      </c>
      <c r="K2369">
        <v>2400</v>
      </c>
      <c r="L2369">
        <v>0</v>
      </c>
      <c r="M2369">
        <v>0</v>
      </c>
      <c r="N2369">
        <v>2400</v>
      </c>
    </row>
    <row r="2370" spans="1:14" x14ac:dyDescent="0.25">
      <c r="A2370">
        <v>1463.1058619999999</v>
      </c>
      <c r="B2370" s="1">
        <f>DATE(2014,5,3) + TIME(2,32,26)</f>
        <v>41762.105856481481</v>
      </c>
      <c r="C2370">
        <v>80</v>
      </c>
      <c r="D2370">
        <v>79.937980651999993</v>
      </c>
      <c r="E2370">
        <v>50</v>
      </c>
      <c r="F2370">
        <v>49.873615264999998</v>
      </c>
      <c r="G2370">
        <v>1336.5994873</v>
      </c>
      <c r="H2370">
        <v>1334.7523193</v>
      </c>
      <c r="I2370">
        <v>1329.0904541</v>
      </c>
      <c r="J2370">
        <v>1328.300293</v>
      </c>
      <c r="K2370">
        <v>2400</v>
      </c>
      <c r="L2370">
        <v>0</v>
      </c>
      <c r="M2370">
        <v>0</v>
      </c>
      <c r="N2370">
        <v>2400</v>
      </c>
    </row>
    <row r="2371" spans="1:14" x14ac:dyDescent="0.25">
      <c r="A2371">
        <v>1463.187719</v>
      </c>
      <c r="B2371" s="1">
        <f>DATE(2014,5,3) + TIME(4,30,18)</f>
        <v>41762.187708333331</v>
      </c>
      <c r="C2371">
        <v>80</v>
      </c>
      <c r="D2371">
        <v>79.947868346999996</v>
      </c>
      <c r="E2371">
        <v>50</v>
      </c>
      <c r="F2371">
        <v>49.869937897</v>
      </c>
      <c r="G2371">
        <v>1336.6055908000001</v>
      </c>
      <c r="H2371">
        <v>1334.7579346</v>
      </c>
      <c r="I2371">
        <v>1329.0892334</v>
      </c>
      <c r="J2371">
        <v>1328.2985839999999</v>
      </c>
      <c r="K2371">
        <v>2400</v>
      </c>
      <c r="L2371">
        <v>0</v>
      </c>
      <c r="M2371">
        <v>0</v>
      </c>
      <c r="N2371">
        <v>2400</v>
      </c>
    </row>
    <row r="2372" spans="1:14" x14ac:dyDescent="0.25">
      <c r="A2372">
        <v>1463.272162</v>
      </c>
      <c r="B2372" s="1">
        <f>DATE(2014,5,3) + TIME(6,31,54)</f>
        <v>41762.272152777776</v>
      </c>
      <c r="C2372">
        <v>80</v>
      </c>
      <c r="D2372">
        <v>79.955810546999999</v>
      </c>
      <c r="E2372">
        <v>50</v>
      </c>
      <c r="F2372">
        <v>49.866168975999997</v>
      </c>
      <c r="G2372">
        <v>1336.6107178</v>
      </c>
      <c r="H2372">
        <v>1334.7630615</v>
      </c>
      <c r="I2372">
        <v>1329.0880127</v>
      </c>
      <c r="J2372">
        <v>1328.296875</v>
      </c>
      <c r="K2372">
        <v>2400</v>
      </c>
      <c r="L2372">
        <v>0</v>
      </c>
      <c r="M2372">
        <v>0</v>
      </c>
      <c r="N2372">
        <v>2400</v>
      </c>
    </row>
    <row r="2373" spans="1:14" x14ac:dyDescent="0.25">
      <c r="A2373">
        <v>1463.359815</v>
      </c>
      <c r="B2373" s="1">
        <f>DATE(2014,5,3) + TIME(8,38,7)</f>
        <v>41762.359803240739</v>
      </c>
      <c r="C2373">
        <v>80</v>
      </c>
      <c r="D2373">
        <v>79.962181091000005</v>
      </c>
      <c r="E2373">
        <v>50</v>
      </c>
      <c r="F2373">
        <v>49.862289429</v>
      </c>
      <c r="G2373">
        <v>1336.6125488</v>
      </c>
      <c r="H2373">
        <v>1334.7661132999999</v>
      </c>
      <c r="I2373">
        <v>1329.0867920000001</v>
      </c>
      <c r="J2373">
        <v>1328.2951660000001</v>
      </c>
      <c r="K2373">
        <v>2400</v>
      </c>
      <c r="L2373">
        <v>0</v>
      </c>
      <c r="M2373">
        <v>0</v>
      </c>
      <c r="N2373">
        <v>2400</v>
      </c>
    </row>
    <row r="2374" spans="1:14" x14ac:dyDescent="0.25">
      <c r="A2374">
        <v>1463.4501620000001</v>
      </c>
      <c r="B2374" s="1">
        <f>DATE(2014,5,3) + TIME(10,48,13)</f>
        <v>41762.450150462966</v>
      </c>
      <c r="C2374">
        <v>80</v>
      </c>
      <c r="D2374">
        <v>79.967224121000001</v>
      </c>
      <c r="E2374">
        <v>50</v>
      </c>
      <c r="F2374">
        <v>49.858318328999999</v>
      </c>
      <c r="G2374">
        <v>1336.6136475000001</v>
      </c>
      <c r="H2374">
        <v>1334.7686768000001</v>
      </c>
      <c r="I2374">
        <v>1329.0854492000001</v>
      </c>
      <c r="J2374">
        <v>1328.2932129000001</v>
      </c>
      <c r="K2374">
        <v>2400</v>
      </c>
      <c r="L2374">
        <v>0</v>
      </c>
      <c r="M2374">
        <v>0</v>
      </c>
      <c r="N2374">
        <v>2400</v>
      </c>
    </row>
    <row r="2375" spans="1:14" x14ac:dyDescent="0.25">
      <c r="A2375">
        <v>1463.5432639999999</v>
      </c>
      <c r="B2375" s="1">
        <f>DATE(2014,5,3) + TIME(13,2,18)</f>
        <v>41762.543263888889</v>
      </c>
      <c r="C2375">
        <v>80</v>
      </c>
      <c r="D2375">
        <v>79.971191406000003</v>
      </c>
      <c r="E2375">
        <v>50</v>
      </c>
      <c r="F2375">
        <v>49.854255676000001</v>
      </c>
      <c r="G2375">
        <v>1336.6141356999999</v>
      </c>
      <c r="H2375">
        <v>1334.7709961</v>
      </c>
      <c r="I2375">
        <v>1329.0841064000001</v>
      </c>
      <c r="J2375">
        <v>1328.2913818</v>
      </c>
      <c r="K2375">
        <v>2400</v>
      </c>
      <c r="L2375">
        <v>0</v>
      </c>
      <c r="M2375">
        <v>0</v>
      </c>
      <c r="N2375">
        <v>2400</v>
      </c>
    </row>
    <row r="2376" spans="1:14" x14ac:dyDescent="0.25">
      <c r="A2376">
        <v>1463.639449</v>
      </c>
      <c r="B2376" s="1">
        <f>DATE(2014,5,3) + TIME(15,20,48)</f>
        <v>41762.639444444445</v>
      </c>
      <c r="C2376">
        <v>80</v>
      </c>
      <c r="D2376">
        <v>79.974311829000001</v>
      </c>
      <c r="E2376">
        <v>50</v>
      </c>
      <c r="F2376">
        <v>49.850090027</v>
      </c>
      <c r="G2376">
        <v>1336.6141356999999</v>
      </c>
      <c r="H2376">
        <v>1334.7729492000001</v>
      </c>
      <c r="I2376">
        <v>1329.0827637</v>
      </c>
      <c r="J2376">
        <v>1328.2893065999999</v>
      </c>
      <c r="K2376">
        <v>2400</v>
      </c>
      <c r="L2376">
        <v>0</v>
      </c>
      <c r="M2376">
        <v>0</v>
      </c>
      <c r="N2376">
        <v>2400</v>
      </c>
    </row>
    <row r="2377" spans="1:14" x14ac:dyDescent="0.25">
      <c r="A2377">
        <v>1463.7391130000001</v>
      </c>
      <c r="B2377" s="1">
        <f>DATE(2014,5,3) + TIME(17,44,19)</f>
        <v>41762.739108796297</v>
      </c>
      <c r="C2377">
        <v>80</v>
      </c>
      <c r="D2377">
        <v>79.976745605000005</v>
      </c>
      <c r="E2377">
        <v>50</v>
      </c>
      <c r="F2377">
        <v>49.845802307</v>
      </c>
      <c r="G2377">
        <v>1336.6136475000001</v>
      </c>
      <c r="H2377">
        <v>1334.7747803</v>
      </c>
      <c r="I2377">
        <v>1329.0812988</v>
      </c>
      <c r="J2377">
        <v>1328.2872314000001</v>
      </c>
      <c r="K2377">
        <v>2400</v>
      </c>
      <c r="L2377">
        <v>0</v>
      </c>
      <c r="M2377">
        <v>0</v>
      </c>
      <c r="N2377">
        <v>2400</v>
      </c>
    </row>
    <row r="2378" spans="1:14" x14ac:dyDescent="0.25">
      <c r="A2378">
        <v>1463.842631</v>
      </c>
      <c r="B2378" s="1">
        <f>DATE(2014,5,3) + TIME(20,13,23)</f>
        <v>41762.842627314814</v>
      </c>
      <c r="C2378">
        <v>80</v>
      </c>
      <c r="D2378">
        <v>79.978637695000003</v>
      </c>
      <c r="E2378">
        <v>50</v>
      </c>
      <c r="F2378">
        <v>49.841384888</v>
      </c>
      <c r="G2378">
        <v>1336.6126709</v>
      </c>
      <c r="H2378">
        <v>1334.7763672000001</v>
      </c>
      <c r="I2378">
        <v>1329.0797118999999</v>
      </c>
      <c r="J2378">
        <v>1328.2850341999999</v>
      </c>
      <c r="K2378">
        <v>2400</v>
      </c>
      <c r="L2378">
        <v>0</v>
      </c>
      <c r="M2378">
        <v>0</v>
      </c>
      <c r="N2378">
        <v>2400</v>
      </c>
    </row>
    <row r="2379" spans="1:14" x14ac:dyDescent="0.25">
      <c r="A2379">
        <v>1463.9506940000001</v>
      </c>
      <c r="B2379" s="1">
        <f>DATE(2014,5,3) + TIME(22,48,59)</f>
        <v>41762.950682870367</v>
      </c>
      <c r="C2379">
        <v>80</v>
      </c>
      <c r="D2379">
        <v>79.980110167999996</v>
      </c>
      <c r="E2379">
        <v>50</v>
      </c>
      <c r="F2379">
        <v>49.836807251000003</v>
      </c>
      <c r="G2379">
        <v>1336.6114502</v>
      </c>
      <c r="H2379">
        <v>1334.7777100000001</v>
      </c>
      <c r="I2379">
        <v>1329.078125</v>
      </c>
      <c r="J2379">
        <v>1328.2828368999999</v>
      </c>
      <c r="K2379">
        <v>2400</v>
      </c>
      <c r="L2379">
        <v>0</v>
      </c>
      <c r="M2379">
        <v>0</v>
      </c>
      <c r="N2379">
        <v>2400</v>
      </c>
    </row>
    <row r="2380" spans="1:14" x14ac:dyDescent="0.25">
      <c r="A2380">
        <v>1464.0642620000001</v>
      </c>
      <c r="B2380" s="1">
        <f>DATE(2014,5,4) + TIME(1,32,32)</f>
        <v>41763.064259259256</v>
      </c>
      <c r="C2380">
        <v>80</v>
      </c>
      <c r="D2380">
        <v>79.981246948000006</v>
      </c>
      <c r="E2380">
        <v>50</v>
      </c>
      <c r="F2380">
        <v>49.832038879000002</v>
      </c>
      <c r="G2380">
        <v>1336.6097411999999</v>
      </c>
      <c r="H2380">
        <v>1334.7790527</v>
      </c>
      <c r="I2380">
        <v>1329.0765381000001</v>
      </c>
      <c r="J2380">
        <v>1328.2803954999999</v>
      </c>
      <c r="K2380">
        <v>2400</v>
      </c>
      <c r="L2380">
        <v>0</v>
      </c>
      <c r="M2380">
        <v>0</v>
      </c>
      <c r="N2380">
        <v>2400</v>
      </c>
    </row>
    <row r="2381" spans="1:14" x14ac:dyDescent="0.25">
      <c r="A2381">
        <v>1464.1841199999999</v>
      </c>
      <c r="B2381" s="1">
        <f>DATE(2014,5,4) + TIME(4,25,7)</f>
        <v>41763.184108796297</v>
      </c>
      <c r="C2381">
        <v>80</v>
      </c>
      <c r="D2381">
        <v>79.982116699000002</v>
      </c>
      <c r="E2381">
        <v>50</v>
      </c>
      <c r="F2381">
        <v>49.827049254999999</v>
      </c>
      <c r="G2381">
        <v>1336.6076660000001</v>
      </c>
      <c r="H2381">
        <v>1334.7801514</v>
      </c>
      <c r="I2381">
        <v>1329.0748291</v>
      </c>
      <c r="J2381">
        <v>1328.2779541</v>
      </c>
      <c r="K2381">
        <v>2400</v>
      </c>
      <c r="L2381">
        <v>0</v>
      </c>
      <c r="M2381">
        <v>0</v>
      </c>
      <c r="N2381">
        <v>2400</v>
      </c>
    </row>
    <row r="2382" spans="1:14" x14ac:dyDescent="0.25">
      <c r="A2382">
        <v>1464.3082280000001</v>
      </c>
      <c r="B2382" s="1">
        <f>DATE(2014,5,4) + TIME(7,23,50)</f>
        <v>41763.308217592596</v>
      </c>
      <c r="C2382">
        <v>80</v>
      </c>
      <c r="D2382">
        <v>79.982772827000005</v>
      </c>
      <c r="E2382">
        <v>50</v>
      </c>
      <c r="F2382">
        <v>49.821918488000001</v>
      </c>
      <c r="G2382">
        <v>1336.6052245999999</v>
      </c>
      <c r="H2382">
        <v>1334.7811279</v>
      </c>
      <c r="I2382">
        <v>1329.072876</v>
      </c>
      <c r="J2382">
        <v>1328.2752685999999</v>
      </c>
      <c r="K2382">
        <v>2400</v>
      </c>
      <c r="L2382">
        <v>0</v>
      </c>
      <c r="M2382">
        <v>0</v>
      </c>
      <c r="N2382">
        <v>2400</v>
      </c>
    </row>
    <row r="2383" spans="1:14" x14ac:dyDescent="0.25">
      <c r="A2383">
        <v>1464.4356359999999</v>
      </c>
      <c r="B2383" s="1">
        <f>DATE(2014,5,4) + TIME(10,27,18)</f>
        <v>41763.435624999998</v>
      </c>
      <c r="C2383">
        <v>80</v>
      </c>
      <c r="D2383">
        <v>79.983253478999998</v>
      </c>
      <c r="E2383">
        <v>50</v>
      </c>
      <c r="F2383">
        <v>49.816680908000002</v>
      </c>
      <c r="G2383">
        <v>1336.6025391000001</v>
      </c>
      <c r="H2383">
        <v>1334.7818603999999</v>
      </c>
      <c r="I2383">
        <v>1329.0710449000001</v>
      </c>
      <c r="J2383">
        <v>1328.2724608999999</v>
      </c>
      <c r="K2383">
        <v>2400</v>
      </c>
      <c r="L2383">
        <v>0</v>
      </c>
      <c r="M2383">
        <v>0</v>
      </c>
      <c r="N2383">
        <v>2400</v>
      </c>
    </row>
    <row r="2384" spans="1:14" x14ac:dyDescent="0.25">
      <c r="A2384">
        <v>1464.5666960000001</v>
      </c>
      <c r="B2384" s="1">
        <f>DATE(2014,5,4) + TIME(13,36,2)</f>
        <v>41763.566689814812</v>
      </c>
      <c r="C2384">
        <v>80</v>
      </c>
      <c r="D2384">
        <v>79.983612061000002</v>
      </c>
      <c r="E2384">
        <v>50</v>
      </c>
      <c r="F2384">
        <v>49.811325072999999</v>
      </c>
      <c r="G2384">
        <v>1336.5994873</v>
      </c>
      <c r="H2384">
        <v>1334.7825928</v>
      </c>
      <c r="I2384">
        <v>1329.0689697</v>
      </c>
      <c r="J2384">
        <v>1328.2696533000001</v>
      </c>
      <c r="K2384">
        <v>2400</v>
      </c>
      <c r="L2384">
        <v>0</v>
      </c>
      <c r="M2384">
        <v>0</v>
      </c>
      <c r="N2384">
        <v>2400</v>
      </c>
    </row>
    <row r="2385" spans="1:14" x14ac:dyDescent="0.25">
      <c r="A2385">
        <v>1464.7017430000001</v>
      </c>
      <c r="B2385" s="1">
        <f>DATE(2014,5,4) + TIME(16,50,30)</f>
        <v>41763.701736111114</v>
      </c>
      <c r="C2385">
        <v>80</v>
      </c>
      <c r="D2385">
        <v>79.983871460000003</v>
      </c>
      <c r="E2385">
        <v>50</v>
      </c>
      <c r="F2385">
        <v>49.805839538999997</v>
      </c>
      <c r="G2385">
        <v>1336.5963135</v>
      </c>
      <c r="H2385">
        <v>1334.7832031</v>
      </c>
      <c r="I2385">
        <v>1329.0670166</v>
      </c>
      <c r="J2385">
        <v>1328.2667236</v>
      </c>
      <c r="K2385">
        <v>2400</v>
      </c>
      <c r="L2385">
        <v>0</v>
      </c>
      <c r="M2385">
        <v>0</v>
      </c>
      <c r="N2385">
        <v>2400</v>
      </c>
    </row>
    <row r="2386" spans="1:14" x14ac:dyDescent="0.25">
      <c r="A2386">
        <v>1464.841152</v>
      </c>
      <c r="B2386" s="1">
        <f>DATE(2014,5,4) + TIME(20,11,15)</f>
        <v>41763.841145833336</v>
      </c>
      <c r="C2386">
        <v>80</v>
      </c>
      <c r="D2386">
        <v>79.984062195000007</v>
      </c>
      <c r="E2386">
        <v>50</v>
      </c>
      <c r="F2386">
        <v>49.800209045000003</v>
      </c>
      <c r="G2386">
        <v>1336.5928954999999</v>
      </c>
      <c r="H2386">
        <v>1334.7838135</v>
      </c>
      <c r="I2386">
        <v>1329.0648193</v>
      </c>
      <c r="J2386">
        <v>1328.2636719</v>
      </c>
      <c r="K2386">
        <v>2400</v>
      </c>
      <c r="L2386">
        <v>0</v>
      </c>
      <c r="M2386">
        <v>0</v>
      </c>
      <c r="N2386">
        <v>2400</v>
      </c>
    </row>
    <row r="2387" spans="1:14" x14ac:dyDescent="0.25">
      <c r="A2387">
        <v>1464.983741</v>
      </c>
      <c r="B2387" s="1">
        <f>DATE(2014,5,4) + TIME(23,36,35)</f>
        <v>41763.983738425923</v>
      </c>
      <c r="C2387">
        <v>80</v>
      </c>
      <c r="D2387">
        <v>79.984199524000005</v>
      </c>
      <c r="E2387">
        <v>50</v>
      </c>
      <c r="F2387">
        <v>49.794479369999998</v>
      </c>
      <c r="G2387">
        <v>1336.5893555</v>
      </c>
      <c r="H2387">
        <v>1334.7841797000001</v>
      </c>
      <c r="I2387">
        <v>1329.0626221</v>
      </c>
      <c r="J2387">
        <v>1328.2604980000001</v>
      </c>
      <c r="K2387">
        <v>2400</v>
      </c>
      <c r="L2387">
        <v>0</v>
      </c>
      <c r="M2387">
        <v>0</v>
      </c>
      <c r="N2387">
        <v>2400</v>
      </c>
    </row>
    <row r="2388" spans="1:14" x14ac:dyDescent="0.25">
      <c r="A2388">
        <v>1465.127056</v>
      </c>
      <c r="B2388" s="1">
        <f>DATE(2014,5,5) + TIME(3,2,57)</f>
        <v>41764.12704861111</v>
      </c>
      <c r="C2388">
        <v>80</v>
      </c>
      <c r="D2388">
        <v>79.984291076999995</v>
      </c>
      <c r="E2388">
        <v>50</v>
      </c>
      <c r="F2388">
        <v>49.788738250999998</v>
      </c>
      <c r="G2388">
        <v>1336.5855713000001</v>
      </c>
      <c r="H2388">
        <v>1334.7845459</v>
      </c>
      <c r="I2388">
        <v>1329.0604248</v>
      </c>
      <c r="J2388">
        <v>1328.2573242000001</v>
      </c>
      <c r="K2388">
        <v>2400</v>
      </c>
      <c r="L2388">
        <v>0</v>
      </c>
      <c r="M2388">
        <v>0</v>
      </c>
      <c r="N2388">
        <v>2400</v>
      </c>
    </row>
    <row r="2389" spans="1:14" x14ac:dyDescent="0.25">
      <c r="A2389">
        <v>1465.271528</v>
      </c>
      <c r="B2389" s="1">
        <f>DATE(2014,5,5) + TIME(6,30,59)</f>
        <v>41764.271516203706</v>
      </c>
      <c r="C2389">
        <v>80</v>
      </c>
      <c r="D2389">
        <v>79.984352111999996</v>
      </c>
      <c r="E2389">
        <v>50</v>
      </c>
      <c r="F2389">
        <v>49.782970427999999</v>
      </c>
      <c r="G2389">
        <v>1336.5817870999999</v>
      </c>
      <c r="H2389">
        <v>1334.7849120999999</v>
      </c>
      <c r="I2389">
        <v>1329.0581055</v>
      </c>
      <c r="J2389">
        <v>1328.2540283000001</v>
      </c>
      <c r="K2389">
        <v>2400</v>
      </c>
      <c r="L2389">
        <v>0</v>
      </c>
      <c r="M2389">
        <v>0</v>
      </c>
      <c r="N2389">
        <v>2400</v>
      </c>
    </row>
    <row r="2390" spans="1:14" x14ac:dyDescent="0.25">
      <c r="A2390">
        <v>1465.417592</v>
      </c>
      <c r="B2390" s="1">
        <f>DATE(2014,5,5) + TIME(10,1,19)</f>
        <v>41764.417581018519</v>
      </c>
      <c r="C2390">
        <v>80</v>
      </c>
      <c r="D2390">
        <v>79.984390258999994</v>
      </c>
      <c r="E2390">
        <v>50</v>
      </c>
      <c r="F2390">
        <v>49.777160645000002</v>
      </c>
      <c r="G2390">
        <v>1336.5778809000001</v>
      </c>
      <c r="H2390">
        <v>1334.7851562000001</v>
      </c>
      <c r="I2390">
        <v>1329.0557861</v>
      </c>
      <c r="J2390">
        <v>1328.2507324000001</v>
      </c>
      <c r="K2390">
        <v>2400</v>
      </c>
      <c r="L2390">
        <v>0</v>
      </c>
      <c r="M2390">
        <v>0</v>
      </c>
      <c r="N2390">
        <v>2400</v>
      </c>
    </row>
    <row r="2391" spans="1:14" x14ac:dyDescent="0.25">
      <c r="A2391">
        <v>1465.5656819999999</v>
      </c>
      <c r="B2391" s="1">
        <f>DATE(2014,5,5) + TIME(13,34,34)</f>
        <v>41764.565671296295</v>
      </c>
      <c r="C2391">
        <v>80</v>
      </c>
      <c r="D2391">
        <v>79.984413146999998</v>
      </c>
      <c r="E2391">
        <v>50</v>
      </c>
      <c r="F2391">
        <v>49.771293640000003</v>
      </c>
      <c r="G2391">
        <v>1336.5740966999999</v>
      </c>
      <c r="H2391">
        <v>1334.7854004000001</v>
      </c>
      <c r="I2391">
        <v>1329.0534668</v>
      </c>
      <c r="J2391">
        <v>1328.2473144999999</v>
      </c>
      <c r="K2391">
        <v>2400</v>
      </c>
      <c r="L2391">
        <v>0</v>
      </c>
      <c r="M2391">
        <v>0</v>
      </c>
      <c r="N2391">
        <v>2400</v>
      </c>
    </row>
    <row r="2392" spans="1:14" x14ac:dyDescent="0.25">
      <c r="A2392">
        <v>1465.7162410000001</v>
      </c>
      <c r="B2392" s="1">
        <f>DATE(2014,5,5) + TIME(17,11,23)</f>
        <v>41764.716238425928</v>
      </c>
      <c r="C2392">
        <v>80</v>
      </c>
      <c r="D2392">
        <v>79.984420775999993</v>
      </c>
      <c r="E2392">
        <v>50</v>
      </c>
      <c r="F2392">
        <v>49.765361786</v>
      </c>
      <c r="G2392">
        <v>1336.5701904</v>
      </c>
      <c r="H2392">
        <v>1334.7856445</v>
      </c>
      <c r="I2392">
        <v>1329.0511475000001</v>
      </c>
      <c r="J2392">
        <v>1328.2440185999999</v>
      </c>
      <c r="K2392">
        <v>2400</v>
      </c>
      <c r="L2392">
        <v>0</v>
      </c>
      <c r="M2392">
        <v>0</v>
      </c>
      <c r="N2392">
        <v>2400</v>
      </c>
    </row>
    <row r="2393" spans="1:14" x14ac:dyDescent="0.25">
      <c r="A2393">
        <v>1465.8697279999999</v>
      </c>
      <c r="B2393" s="1">
        <f>DATE(2014,5,5) + TIME(20,52,24)</f>
        <v>41764.869722222225</v>
      </c>
      <c r="C2393">
        <v>80</v>
      </c>
      <c r="D2393">
        <v>79.984420775999993</v>
      </c>
      <c r="E2393">
        <v>50</v>
      </c>
      <c r="F2393">
        <v>49.759342193999998</v>
      </c>
      <c r="G2393">
        <v>1336.5662841999999</v>
      </c>
      <c r="H2393">
        <v>1334.7858887</v>
      </c>
      <c r="I2393">
        <v>1329.0487060999999</v>
      </c>
      <c r="J2393">
        <v>1328.2404785000001</v>
      </c>
      <c r="K2393">
        <v>2400</v>
      </c>
      <c r="L2393">
        <v>0</v>
      </c>
      <c r="M2393">
        <v>0</v>
      </c>
      <c r="N2393">
        <v>2400</v>
      </c>
    </row>
    <row r="2394" spans="1:14" x14ac:dyDescent="0.25">
      <c r="A2394">
        <v>1466.0266300000001</v>
      </c>
      <c r="B2394" s="1">
        <f>DATE(2014,5,6) + TIME(0,38,20)</f>
        <v>41765.026620370372</v>
      </c>
      <c r="C2394">
        <v>80</v>
      </c>
      <c r="D2394">
        <v>79.984420775999993</v>
      </c>
      <c r="E2394">
        <v>50</v>
      </c>
      <c r="F2394">
        <v>49.753223419000001</v>
      </c>
      <c r="G2394">
        <v>1336.5622559000001</v>
      </c>
      <c r="H2394">
        <v>1334.7861327999999</v>
      </c>
      <c r="I2394">
        <v>1329.0462646000001</v>
      </c>
      <c r="J2394">
        <v>1328.2369385</v>
      </c>
      <c r="K2394">
        <v>2400</v>
      </c>
      <c r="L2394">
        <v>0</v>
      </c>
      <c r="M2394">
        <v>0</v>
      </c>
      <c r="N2394">
        <v>2400</v>
      </c>
    </row>
    <row r="2395" spans="1:14" x14ac:dyDescent="0.25">
      <c r="A2395">
        <v>1466.187492</v>
      </c>
      <c r="B2395" s="1">
        <f>DATE(2014,5,6) + TIME(4,29,59)</f>
        <v>41765.187488425923</v>
      </c>
      <c r="C2395">
        <v>80</v>
      </c>
      <c r="D2395">
        <v>79.984405518000003</v>
      </c>
      <c r="E2395">
        <v>50</v>
      </c>
      <c r="F2395">
        <v>49.746990203999999</v>
      </c>
      <c r="G2395">
        <v>1336.5583495999999</v>
      </c>
      <c r="H2395">
        <v>1334.7863769999999</v>
      </c>
      <c r="I2395">
        <v>1329.0437012</v>
      </c>
      <c r="J2395">
        <v>1328.2332764</v>
      </c>
      <c r="K2395">
        <v>2400</v>
      </c>
      <c r="L2395">
        <v>0</v>
      </c>
      <c r="M2395">
        <v>0</v>
      </c>
      <c r="N2395">
        <v>2400</v>
      </c>
    </row>
    <row r="2396" spans="1:14" x14ac:dyDescent="0.25">
      <c r="A2396">
        <v>1466.3529000000001</v>
      </c>
      <c r="B2396" s="1">
        <f>DATE(2014,5,6) + TIME(8,28,10)</f>
        <v>41765.352893518517</v>
      </c>
      <c r="C2396">
        <v>80</v>
      </c>
      <c r="D2396">
        <v>79.984390258999994</v>
      </c>
      <c r="E2396">
        <v>50</v>
      </c>
      <c r="F2396">
        <v>49.740619658999996</v>
      </c>
      <c r="G2396">
        <v>1336.5543213000001</v>
      </c>
      <c r="H2396">
        <v>1334.786499</v>
      </c>
      <c r="I2396">
        <v>1329.0411377</v>
      </c>
      <c r="J2396">
        <v>1328.2294922000001</v>
      </c>
      <c r="K2396">
        <v>2400</v>
      </c>
      <c r="L2396">
        <v>0</v>
      </c>
      <c r="M2396">
        <v>0</v>
      </c>
      <c r="N2396">
        <v>2400</v>
      </c>
    </row>
    <row r="2397" spans="1:14" x14ac:dyDescent="0.25">
      <c r="A2397">
        <v>1466.523543</v>
      </c>
      <c r="B2397" s="1">
        <f>DATE(2014,5,6) + TIME(12,33,54)</f>
        <v>41765.523541666669</v>
      </c>
      <c r="C2397">
        <v>80</v>
      </c>
      <c r="D2397">
        <v>79.984367371000005</v>
      </c>
      <c r="E2397">
        <v>50</v>
      </c>
      <c r="F2397">
        <v>49.734088898000003</v>
      </c>
      <c r="G2397">
        <v>1336.5501709</v>
      </c>
      <c r="H2397">
        <v>1334.7867432</v>
      </c>
      <c r="I2397">
        <v>1329.0384521000001</v>
      </c>
      <c r="J2397">
        <v>1328.2257079999999</v>
      </c>
      <c r="K2397">
        <v>2400</v>
      </c>
      <c r="L2397">
        <v>0</v>
      </c>
      <c r="M2397">
        <v>0</v>
      </c>
      <c r="N2397">
        <v>2400</v>
      </c>
    </row>
    <row r="2398" spans="1:14" x14ac:dyDescent="0.25">
      <c r="A2398">
        <v>1466.700151</v>
      </c>
      <c r="B2398" s="1">
        <f>DATE(2014,5,6) + TIME(16,48,13)</f>
        <v>41765.700150462966</v>
      </c>
      <c r="C2398">
        <v>80</v>
      </c>
      <c r="D2398">
        <v>79.984344481999997</v>
      </c>
      <c r="E2398">
        <v>50</v>
      </c>
      <c r="F2398">
        <v>49.727378844999997</v>
      </c>
      <c r="G2398">
        <v>1336.5461425999999</v>
      </c>
      <c r="H2398">
        <v>1334.7869873</v>
      </c>
      <c r="I2398">
        <v>1329.0356445</v>
      </c>
      <c r="J2398">
        <v>1328.2216797000001</v>
      </c>
      <c r="K2398">
        <v>2400</v>
      </c>
      <c r="L2398">
        <v>0</v>
      </c>
      <c r="M2398">
        <v>0</v>
      </c>
      <c r="N2398">
        <v>2400</v>
      </c>
    </row>
    <row r="2399" spans="1:14" x14ac:dyDescent="0.25">
      <c r="A2399">
        <v>1466.8843119999999</v>
      </c>
      <c r="B2399" s="1">
        <f>DATE(2014,5,6) + TIME(21,13,24)</f>
        <v>41765.884305555555</v>
      </c>
      <c r="C2399">
        <v>80</v>
      </c>
      <c r="D2399">
        <v>79.984313964999998</v>
      </c>
      <c r="E2399">
        <v>50</v>
      </c>
      <c r="F2399">
        <v>49.720436096</v>
      </c>
      <c r="G2399">
        <v>1336.5419922000001</v>
      </c>
      <c r="H2399">
        <v>1334.7872314000001</v>
      </c>
      <c r="I2399">
        <v>1329.0328368999999</v>
      </c>
      <c r="J2399">
        <v>1328.2175293</v>
      </c>
      <c r="K2399">
        <v>2400</v>
      </c>
      <c r="L2399">
        <v>0</v>
      </c>
      <c r="M2399">
        <v>0</v>
      </c>
      <c r="N2399">
        <v>2400</v>
      </c>
    </row>
    <row r="2400" spans="1:14" x14ac:dyDescent="0.25">
      <c r="A2400">
        <v>1467.076971</v>
      </c>
      <c r="B2400" s="1">
        <f>DATE(2014,5,7) + TIME(1,50,50)</f>
        <v>41766.076967592591</v>
      </c>
      <c r="C2400">
        <v>80</v>
      </c>
      <c r="D2400">
        <v>79.984283446999996</v>
      </c>
      <c r="E2400">
        <v>50</v>
      </c>
      <c r="F2400">
        <v>49.713237761999999</v>
      </c>
      <c r="G2400">
        <v>1336.5377197</v>
      </c>
      <c r="H2400">
        <v>1334.7874756000001</v>
      </c>
      <c r="I2400">
        <v>1329.0297852000001</v>
      </c>
      <c r="J2400">
        <v>1328.2132568</v>
      </c>
      <c r="K2400">
        <v>2400</v>
      </c>
      <c r="L2400">
        <v>0</v>
      </c>
      <c r="M2400">
        <v>0</v>
      </c>
      <c r="N2400">
        <v>2400</v>
      </c>
    </row>
    <row r="2401" spans="1:14" x14ac:dyDescent="0.25">
      <c r="A2401">
        <v>1467.276253</v>
      </c>
      <c r="B2401" s="1">
        <f>DATE(2014,5,7) + TIME(6,37,48)</f>
        <v>41766.276250000003</v>
      </c>
      <c r="C2401">
        <v>80</v>
      </c>
      <c r="D2401">
        <v>79.984252929999997</v>
      </c>
      <c r="E2401">
        <v>50</v>
      </c>
      <c r="F2401">
        <v>49.705833435000002</v>
      </c>
      <c r="G2401">
        <v>1336.5334473</v>
      </c>
      <c r="H2401">
        <v>1334.7877197</v>
      </c>
      <c r="I2401">
        <v>1329.0267334</v>
      </c>
      <c r="J2401">
        <v>1328.2088623</v>
      </c>
      <c r="K2401">
        <v>2400</v>
      </c>
      <c r="L2401">
        <v>0</v>
      </c>
      <c r="M2401">
        <v>0</v>
      </c>
      <c r="N2401">
        <v>2400</v>
      </c>
    </row>
    <row r="2402" spans="1:14" x14ac:dyDescent="0.25">
      <c r="A2402">
        <v>1467.485216</v>
      </c>
      <c r="B2402" s="1">
        <f>DATE(2014,5,7) + TIME(11,38,42)</f>
        <v>41766.485208333332</v>
      </c>
      <c r="C2402">
        <v>80</v>
      </c>
      <c r="D2402">
        <v>79.984214782999999</v>
      </c>
      <c r="E2402">
        <v>50</v>
      </c>
      <c r="F2402">
        <v>49.698139191000003</v>
      </c>
      <c r="G2402">
        <v>1336.5290527</v>
      </c>
      <c r="H2402">
        <v>1334.7879639</v>
      </c>
      <c r="I2402">
        <v>1329.0234375</v>
      </c>
      <c r="J2402">
        <v>1328.2041016000001</v>
      </c>
      <c r="K2402">
        <v>2400</v>
      </c>
      <c r="L2402">
        <v>0</v>
      </c>
      <c r="M2402">
        <v>0</v>
      </c>
      <c r="N2402">
        <v>2400</v>
      </c>
    </row>
    <row r="2403" spans="1:14" x14ac:dyDescent="0.25">
      <c r="A2403">
        <v>1467.705152</v>
      </c>
      <c r="B2403" s="1">
        <f>DATE(2014,5,7) + TIME(16,55,25)</f>
        <v>41766.705150462964</v>
      </c>
      <c r="C2403">
        <v>80</v>
      </c>
      <c r="D2403">
        <v>79.984176636000001</v>
      </c>
      <c r="E2403">
        <v>50</v>
      </c>
      <c r="F2403">
        <v>49.690116881999998</v>
      </c>
      <c r="G2403">
        <v>1336.5246582</v>
      </c>
      <c r="H2403">
        <v>1334.7882079999999</v>
      </c>
      <c r="I2403">
        <v>1329.0201416</v>
      </c>
      <c r="J2403">
        <v>1328.1993408000001</v>
      </c>
      <c r="K2403">
        <v>2400</v>
      </c>
      <c r="L2403">
        <v>0</v>
      </c>
      <c r="M2403">
        <v>0</v>
      </c>
      <c r="N2403">
        <v>2400</v>
      </c>
    </row>
    <row r="2404" spans="1:14" x14ac:dyDescent="0.25">
      <c r="A2404">
        <v>1467.936054</v>
      </c>
      <c r="B2404" s="1">
        <f>DATE(2014,5,7) + TIME(22,27,55)</f>
        <v>41766.936053240737</v>
      </c>
      <c r="C2404">
        <v>80</v>
      </c>
      <c r="D2404">
        <v>79.984138489000003</v>
      </c>
      <c r="E2404">
        <v>50</v>
      </c>
      <c r="F2404">
        <v>49.681762695000003</v>
      </c>
      <c r="G2404">
        <v>1336.5201416</v>
      </c>
      <c r="H2404">
        <v>1334.7885742000001</v>
      </c>
      <c r="I2404">
        <v>1329.0166016000001</v>
      </c>
      <c r="J2404">
        <v>1328.1942139</v>
      </c>
      <c r="K2404">
        <v>2400</v>
      </c>
      <c r="L2404">
        <v>0</v>
      </c>
      <c r="M2404">
        <v>0</v>
      </c>
      <c r="N2404">
        <v>2400</v>
      </c>
    </row>
    <row r="2405" spans="1:14" x14ac:dyDescent="0.25">
      <c r="A2405">
        <v>1468.169695</v>
      </c>
      <c r="B2405" s="1">
        <f>DATE(2014,5,8) + TIME(4,4,21)</f>
        <v>41767.169687499998</v>
      </c>
      <c r="C2405">
        <v>80</v>
      </c>
      <c r="D2405">
        <v>79.984092712000006</v>
      </c>
      <c r="E2405">
        <v>50</v>
      </c>
      <c r="F2405">
        <v>49.673316956000001</v>
      </c>
      <c r="G2405">
        <v>1336.5155029</v>
      </c>
      <c r="H2405">
        <v>1334.7889404</v>
      </c>
      <c r="I2405">
        <v>1329.0128173999999</v>
      </c>
      <c r="J2405">
        <v>1328.1888428</v>
      </c>
      <c r="K2405">
        <v>2400</v>
      </c>
      <c r="L2405">
        <v>0</v>
      </c>
      <c r="M2405">
        <v>0</v>
      </c>
      <c r="N2405">
        <v>2400</v>
      </c>
    </row>
    <row r="2406" spans="1:14" x14ac:dyDescent="0.25">
      <c r="A2406">
        <v>1468.406774</v>
      </c>
      <c r="B2406" s="1">
        <f>DATE(2014,5,8) + TIME(9,45,45)</f>
        <v>41767.406770833331</v>
      </c>
      <c r="C2406">
        <v>80</v>
      </c>
      <c r="D2406">
        <v>79.984054564999994</v>
      </c>
      <c r="E2406">
        <v>50</v>
      </c>
      <c r="F2406">
        <v>49.664768219000003</v>
      </c>
      <c r="G2406">
        <v>1336.5111084</v>
      </c>
      <c r="H2406">
        <v>1334.7894286999999</v>
      </c>
      <c r="I2406">
        <v>1329.0090332</v>
      </c>
      <c r="J2406">
        <v>1328.1834716999999</v>
      </c>
      <c r="K2406">
        <v>2400</v>
      </c>
      <c r="L2406">
        <v>0</v>
      </c>
      <c r="M2406">
        <v>0</v>
      </c>
      <c r="N2406">
        <v>2400</v>
      </c>
    </row>
    <row r="2407" spans="1:14" x14ac:dyDescent="0.25">
      <c r="A2407">
        <v>1468.647686</v>
      </c>
      <c r="B2407" s="1">
        <f>DATE(2014,5,8) + TIME(15,32,40)</f>
        <v>41767.647685185184</v>
      </c>
      <c r="C2407">
        <v>80</v>
      </c>
      <c r="D2407">
        <v>79.984008789000001</v>
      </c>
      <c r="E2407">
        <v>50</v>
      </c>
      <c r="F2407">
        <v>49.656112671000002</v>
      </c>
      <c r="G2407">
        <v>1336.5065918</v>
      </c>
      <c r="H2407">
        <v>1334.7897949000001</v>
      </c>
      <c r="I2407">
        <v>1329.005249</v>
      </c>
      <c r="J2407">
        <v>1328.1779785000001</v>
      </c>
      <c r="K2407">
        <v>2400</v>
      </c>
      <c r="L2407">
        <v>0</v>
      </c>
      <c r="M2407">
        <v>0</v>
      </c>
      <c r="N2407">
        <v>2400</v>
      </c>
    </row>
    <row r="2408" spans="1:14" x14ac:dyDescent="0.25">
      <c r="A2408">
        <v>1468.889232</v>
      </c>
      <c r="B2408" s="1">
        <f>DATE(2014,5,8) + TIME(21,20,29)</f>
        <v>41767.889224537037</v>
      </c>
      <c r="C2408">
        <v>80</v>
      </c>
      <c r="D2408">
        <v>79.983970642000003</v>
      </c>
      <c r="E2408">
        <v>50</v>
      </c>
      <c r="F2408">
        <v>49.647441864000001</v>
      </c>
      <c r="G2408">
        <v>1336.5023193</v>
      </c>
      <c r="H2408">
        <v>1334.7902832</v>
      </c>
      <c r="I2408">
        <v>1329.0013428</v>
      </c>
      <c r="J2408">
        <v>1328.1723632999999</v>
      </c>
      <c r="K2408">
        <v>2400</v>
      </c>
      <c r="L2408">
        <v>0</v>
      </c>
      <c r="M2408">
        <v>0</v>
      </c>
      <c r="N2408">
        <v>2400</v>
      </c>
    </row>
    <row r="2409" spans="1:14" x14ac:dyDescent="0.25">
      <c r="A2409">
        <v>1469.1323030000001</v>
      </c>
      <c r="B2409" s="1">
        <f>DATE(2014,5,9) + TIME(3,10,30)</f>
        <v>41768.132291666669</v>
      </c>
      <c r="C2409">
        <v>80</v>
      </c>
      <c r="D2409">
        <v>79.983924865999995</v>
      </c>
      <c r="E2409">
        <v>50</v>
      </c>
      <c r="F2409">
        <v>49.638748169000003</v>
      </c>
      <c r="G2409">
        <v>1336.4981689000001</v>
      </c>
      <c r="H2409">
        <v>1334.7907714999999</v>
      </c>
      <c r="I2409">
        <v>1328.9974365</v>
      </c>
      <c r="J2409">
        <v>1328.1667480000001</v>
      </c>
      <c r="K2409">
        <v>2400</v>
      </c>
      <c r="L2409">
        <v>0</v>
      </c>
      <c r="M2409">
        <v>0</v>
      </c>
      <c r="N2409">
        <v>2400</v>
      </c>
    </row>
    <row r="2410" spans="1:14" x14ac:dyDescent="0.25">
      <c r="A2410">
        <v>1469.377792</v>
      </c>
      <c r="B2410" s="1">
        <f>DATE(2014,5,9) + TIME(9,4,1)</f>
        <v>41768.377789351849</v>
      </c>
      <c r="C2410">
        <v>80</v>
      </c>
      <c r="D2410">
        <v>79.983886718999997</v>
      </c>
      <c r="E2410">
        <v>50</v>
      </c>
      <c r="F2410">
        <v>49.630001067999999</v>
      </c>
      <c r="G2410">
        <v>1336.4941406</v>
      </c>
      <c r="H2410">
        <v>1334.7912598</v>
      </c>
      <c r="I2410">
        <v>1328.9935303</v>
      </c>
      <c r="J2410">
        <v>1328.1611327999999</v>
      </c>
      <c r="K2410">
        <v>2400</v>
      </c>
      <c r="L2410">
        <v>0</v>
      </c>
      <c r="M2410">
        <v>0</v>
      </c>
      <c r="N2410">
        <v>2400</v>
      </c>
    </row>
    <row r="2411" spans="1:14" x14ac:dyDescent="0.25">
      <c r="A2411">
        <v>1469.626585</v>
      </c>
      <c r="B2411" s="1">
        <f>DATE(2014,5,9) + TIME(15,2,16)</f>
        <v>41768.626574074071</v>
      </c>
      <c r="C2411">
        <v>80</v>
      </c>
      <c r="D2411">
        <v>79.983840942</v>
      </c>
      <c r="E2411">
        <v>50</v>
      </c>
      <c r="F2411">
        <v>49.621181487999998</v>
      </c>
      <c r="G2411">
        <v>1336.4901123</v>
      </c>
      <c r="H2411">
        <v>1334.7918701000001</v>
      </c>
      <c r="I2411">
        <v>1328.989624</v>
      </c>
      <c r="J2411">
        <v>1328.1553954999999</v>
      </c>
      <c r="K2411">
        <v>2400</v>
      </c>
      <c r="L2411">
        <v>0</v>
      </c>
      <c r="M2411">
        <v>0</v>
      </c>
      <c r="N2411">
        <v>2400</v>
      </c>
    </row>
    <row r="2412" spans="1:14" x14ac:dyDescent="0.25">
      <c r="A2412">
        <v>1469.879608</v>
      </c>
      <c r="B2412" s="1">
        <f>DATE(2014,5,9) + TIME(21,6,38)</f>
        <v>41768.879606481481</v>
      </c>
      <c r="C2412">
        <v>80</v>
      </c>
      <c r="D2412">
        <v>79.983802795000003</v>
      </c>
      <c r="E2412">
        <v>50</v>
      </c>
      <c r="F2412">
        <v>49.612270355</v>
      </c>
      <c r="G2412">
        <v>1336.4862060999999</v>
      </c>
      <c r="H2412">
        <v>1334.7923584</v>
      </c>
      <c r="I2412">
        <v>1328.9855957</v>
      </c>
      <c r="J2412">
        <v>1328.1496582</v>
      </c>
      <c r="K2412">
        <v>2400</v>
      </c>
      <c r="L2412">
        <v>0</v>
      </c>
      <c r="M2412">
        <v>0</v>
      </c>
      <c r="N2412">
        <v>2400</v>
      </c>
    </row>
    <row r="2413" spans="1:14" x14ac:dyDescent="0.25">
      <c r="A2413">
        <v>1470.1378159999999</v>
      </c>
      <c r="B2413" s="1">
        <f>DATE(2014,5,10) + TIME(3,18,27)</f>
        <v>41769.137812499997</v>
      </c>
      <c r="C2413">
        <v>80</v>
      </c>
      <c r="D2413">
        <v>79.983757018999995</v>
      </c>
      <c r="E2413">
        <v>50</v>
      </c>
      <c r="F2413">
        <v>49.603240966999998</v>
      </c>
      <c r="G2413">
        <v>1336.4822998</v>
      </c>
      <c r="H2413">
        <v>1334.7929687999999</v>
      </c>
      <c r="I2413">
        <v>1328.9815673999999</v>
      </c>
      <c r="J2413">
        <v>1328.1436768000001</v>
      </c>
      <c r="K2413">
        <v>2400</v>
      </c>
      <c r="L2413">
        <v>0</v>
      </c>
      <c r="M2413">
        <v>0</v>
      </c>
      <c r="N2413">
        <v>2400</v>
      </c>
    </row>
    <row r="2414" spans="1:14" x14ac:dyDescent="0.25">
      <c r="A2414">
        <v>1470.402216</v>
      </c>
      <c r="B2414" s="1">
        <f>DATE(2014,5,10) + TIME(9,39,11)</f>
        <v>41769.40221064815</v>
      </c>
      <c r="C2414">
        <v>80</v>
      </c>
      <c r="D2414">
        <v>79.983718871999997</v>
      </c>
      <c r="E2414">
        <v>50</v>
      </c>
      <c r="F2414">
        <v>49.594062805</v>
      </c>
      <c r="G2414">
        <v>1336.4785156</v>
      </c>
      <c r="H2414">
        <v>1334.7935791</v>
      </c>
      <c r="I2414">
        <v>1328.9774170000001</v>
      </c>
      <c r="J2414">
        <v>1328.1376952999999</v>
      </c>
      <c r="K2414">
        <v>2400</v>
      </c>
      <c r="L2414">
        <v>0</v>
      </c>
      <c r="M2414">
        <v>0</v>
      </c>
      <c r="N2414">
        <v>2400</v>
      </c>
    </row>
    <row r="2415" spans="1:14" x14ac:dyDescent="0.25">
      <c r="A2415">
        <v>1470.673957</v>
      </c>
      <c r="B2415" s="1">
        <f>DATE(2014,5,10) + TIME(16,10,29)</f>
        <v>41769.673946759256</v>
      </c>
      <c r="C2415">
        <v>80</v>
      </c>
      <c r="D2415">
        <v>79.983680724999999</v>
      </c>
      <c r="E2415">
        <v>50</v>
      </c>
      <c r="F2415">
        <v>49.584709167</v>
      </c>
      <c r="G2415">
        <v>1336.4747314000001</v>
      </c>
      <c r="H2415">
        <v>1334.7941894999999</v>
      </c>
      <c r="I2415">
        <v>1328.9731445</v>
      </c>
      <c r="J2415">
        <v>1328.1315918</v>
      </c>
      <c r="K2415">
        <v>2400</v>
      </c>
      <c r="L2415">
        <v>0</v>
      </c>
      <c r="M2415">
        <v>0</v>
      </c>
      <c r="N2415">
        <v>2400</v>
      </c>
    </row>
    <row r="2416" spans="1:14" x14ac:dyDescent="0.25">
      <c r="A2416">
        <v>1470.954315</v>
      </c>
      <c r="B2416" s="1">
        <f>DATE(2014,5,10) + TIME(22,54,12)</f>
        <v>41769.954305555555</v>
      </c>
      <c r="C2416">
        <v>80</v>
      </c>
      <c r="D2416">
        <v>79.983634949000006</v>
      </c>
      <c r="E2416">
        <v>50</v>
      </c>
      <c r="F2416">
        <v>49.575141907000003</v>
      </c>
      <c r="G2416">
        <v>1336.4710693</v>
      </c>
      <c r="H2416">
        <v>1334.7947998</v>
      </c>
      <c r="I2416">
        <v>1328.96875</v>
      </c>
      <c r="J2416">
        <v>1328.1253661999999</v>
      </c>
      <c r="K2416">
        <v>2400</v>
      </c>
      <c r="L2416">
        <v>0</v>
      </c>
      <c r="M2416">
        <v>0</v>
      </c>
      <c r="N2416">
        <v>2400</v>
      </c>
    </row>
    <row r="2417" spans="1:14" x14ac:dyDescent="0.25">
      <c r="A2417">
        <v>1471.2448810000001</v>
      </c>
      <c r="B2417" s="1">
        <f>DATE(2014,5,11) + TIME(5,52,37)</f>
        <v>41770.244872685187</v>
      </c>
      <c r="C2417">
        <v>80</v>
      </c>
      <c r="D2417">
        <v>79.983596801999994</v>
      </c>
      <c r="E2417">
        <v>50</v>
      </c>
      <c r="F2417">
        <v>49.565319060999997</v>
      </c>
      <c r="G2417">
        <v>1336.4672852000001</v>
      </c>
      <c r="H2417">
        <v>1334.7954102000001</v>
      </c>
      <c r="I2417">
        <v>1328.9642334</v>
      </c>
      <c r="J2417">
        <v>1328.1188964999999</v>
      </c>
      <c r="K2417">
        <v>2400</v>
      </c>
      <c r="L2417">
        <v>0</v>
      </c>
      <c r="M2417">
        <v>0</v>
      </c>
      <c r="N2417">
        <v>2400</v>
      </c>
    </row>
    <row r="2418" spans="1:14" x14ac:dyDescent="0.25">
      <c r="A2418">
        <v>1471.549352</v>
      </c>
      <c r="B2418" s="1">
        <f>DATE(2014,5,11) + TIME(13,11,4)</f>
        <v>41770.549351851849</v>
      </c>
      <c r="C2418">
        <v>80</v>
      </c>
      <c r="D2418">
        <v>79.983551024999997</v>
      </c>
      <c r="E2418">
        <v>50</v>
      </c>
      <c r="F2418">
        <v>49.555145263999997</v>
      </c>
      <c r="G2418">
        <v>1336.4636230000001</v>
      </c>
      <c r="H2418">
        <v>1334.7961425999999</v>
      </c>
      <c r="I2418">
        <v>1328.9597168</v>
      </c>
      <c r="J2418">
        <v>1328.1123047000001</v>
      </c>
      <c r="K2418">
        <v>2400</v>
      </c>
      <c r="L2418">
        <v>0</v>
      </c>
      <c r="M2418">
        <v>0</v>
      </c>
      <c r="N2418">
        <v>2400</v>
      </c>
    </row>
    <row r="2419" spans="1:14" x14ac:dyDescent="0.25">
      <c r="A2419">
        <v>1471.8637180000001</v>
      </c>
      <c r="B2419" s="1">
        <f>DATE(2014,5,11) + TIME(20,43,45)</f>
        <v>41770.863715277781</v>
      </c>
      <c r="C2419">
        <v>80</v>
      </c>
      <c r="D2419">
        <v>79.983512877999999</v>
      </c>
      <c r="E2419">
        <v>50</v>
      </c>
      <c r="F2419">
        <v>49.544715881000002</v>
      </c>
      <c r="G2419">
        <v>1336.4598389</v>
      </c>
      <c r="H2419">
        <v>1334.796875</v>
      </c>
      <c r="I2419">
        <v>1328.9548339999999</v>
      </c>
      <c r="J2419">
        <v>1328.1053466999999</v>
      </c>
      <c r="K2419">
        <v>2400</v>
      </c>
      <c r="L2419">
        <v>0</v>
      </c>
      <c r="M2419">
        <v>0</v>
      </c>
      <c r="N2419">
        <v>2400</v>
      </c>
    </row>
    <row r="2420" spans="1:14" x14ac:dyDescent="0.25">
      <c r="A2420">
        <v>1472.19389</v>
      </c>
      <c r="B2420" s="1">
        <f>DATE(2014,5,12) + TIME(4,39,12)</f>
        <v>41771.193888888891</v>
      </c>
      <c r="C2420">
        <v>80</v>
      </c>
      <c r="D2420">
        <v>79.983467102000006</v>
      </c>
      <c r="E2420">
        <v>50</v>
      </c>
      <c r="F2420">
        <v>49.533889770999998</v>
      </c>
      <c r="G2420">
        <v>1336.4560547000001</v>
      </c>
      <c r="H2420">
        <v>1334.7976074000001</v>
      </c>
      <c r="I2420">
        <v>1328.9498291</v>
      </c>
      <c r="J2420">
        <v>1328.0981445</v>
      </c>
      <c r="K2420">
        <v>2400</v>
      </c>
      <c r="L2420">
        <v>0</v>
      </c>
      <c r="M2420">
        <v>0</v>
      </c>
      <c r="N2420">
        <v>2400</v>
      </c>
    </row>
    <row r="2421" spans="1:14" x14ac:dyDescent="0.25">
      <c r="A2421">
        <v>1472.5403650000001</v>
      </c>
      <c r="B2421" s="1">
        <f>DATE(2014,5,12) + TIME(12,58,7)</f>
        <v>41771.540358796294</v>
      </c>
      <c r="C2421">
        <v>80</v>
      </c>
      <c r="D2421">
        <v>79.983421325999998</v>
      </c>
      <c r="E2421">
        <v>50</v>
      </c>
      <c r="F2421">
        <v>49.522651672000002</v>
      </c>
      <c r="G2421">
        <v>1336.4522704999999</v>
      </c>
      <c r="H2421">
        <v>1334.7983397999999</v>
      </c>
      <c r="I2421">
        <v>1328.9447021000001</v>
      </c>
      <c r="J2421">
        <v>1328.0906981999999</v>
      </c>
      <c r="K2421">
        <v>2400</v>
      </c>
      <c r="L2421">
        <v>0</v>
      </c>
      <c r="M2421">
        <v>0</v>
      </c>
      <c r="N2421">
        <v>2400</v>
      </c>
    </row>
    <row r="2422" spans="1:14" x14ac:dyDescent="0.25">
      <c r="A2422">
        <v>1472.897774</v>
      </c>
      <c r="B2422" s="1">
        <f>DATE(2014,5,12) + TIME(21,32,47)</f>
        <v>41771.897766203707</v>
      </c>
      <c r="C2422">
        <v>80</v>
      </c>
      <c r="D2422">
        <v>79.983375549000002</v>
      </c>
      <c r="E2422">
        <v>50</v>
      </c>
      <c r="F2422">
        <v>49.511116028000004</v>
      </c>
      <c r="G2422">
        <v>1336.4483643000001</v>
      </c>
      <c r="H2422">
        <v>1334.7990723</v>
      </c>
      <c r="I2422">
        <v>1328.9393310999999</v>
      </c>
      <c r="J2422">
        <v>1328.0830077999999</v>
      </c>
      <c r="K2422">
        <v>2400</v>
      </c>
      <c r="L2422">
        <v>0</v>
      </c>
      <c r="M2422">
        <v>0</v>
      </c>
      <c r="N2422">
        <v>2400</v>
      </c>
    </row>
    <row r="2423" spans="1:14" x14ac:dyDescent="0.25">
      <c r="A2423">
        <v>1473.0792240000001</v>
      </c>
      <c r="B2423" s="1">
        <f>DATE(2014,5,13) + TIME(1,54,4)</f>
        <v>41772.079212962963</v>
      </c>
      <c r="C2423">
        <v>80</v>
      </c>
      <c r="D2423">
        <v>79.983345032000003</v>
      </c>
      <c r="E2423">
        <v>50</v>
      </c>
      <c r="F2423">
        <v>49.504322051999999</v>
      </c>
      <c r="G2423">
        <v>1336.4445800999999</v>
      </c>
      <c r="H2423">
        <v>1334.7999268000001</v>
      </c>
      <c r="I2423">
        <v>1328.9342041</v>
      </c>
      <c r="J2423">
        <v>1328.0758057</v>
      </c>
      <c r="K2423">
        <v>2400</v>
      </c>
      <c r="L2423">
        <v>0</v>
      </c>
      <c r="M2423">
        <v>0</v>
      </c>
      <c r="N2423">
        <v>2400</v>
      </c>
    </row>
    <row r="2424" spans="1:14" x14ac:dyDescent="0.25">
      <c r="A2424">
        <v>1473.2606740000001</v>
      </c>
      <c r="B2424" s="1">
        <f>DATE(2014,5,13) + TIME(6,15,22)</f>
        <v>41772.260671296295</v>
      </c>
      <c r="C2424">
        <v>80</v>
      </c>
      <c r="D2424">
        <v>79.983314514</v>
      </c>
      <c r="E2424">
        <v>50</v>
      </c>
      <c r="F2424">
        <v>49.497680664000001</v>
      </c>
      <c r="G2424">
        <v>1336.4426269999999</v>
      </c>
      <c r="H2424">
        <v>1334.8004149999999</v>
      </c>
      <c r="I2424">
        <v>1328.9311522999999</v>
      </c>
      <c r="J2424">
        <v>1328.0712891000001</v>
      </c>
      <c r="K2424">
        <v>2400</v>
      </c>
      <c r="L2424">
        <v>0</v>
      </c>
      <c r="M2424">
        <v>0</v>
      </c>
      <c r="N2424">
        <v>2400</v>
      </c>
    </row>
    <row r="2425" spans="1:14" x14ac:dyDescent="0.25">
      <c r="A2425">
        <v>1473.623574</v>
      </c>
      <c r="B2425" s="1">
        <f>DATE(2014,5,13) + TIME(14,57,56)</f>
        <v>41772.623564814814</v>
      </c>
      <c r="C2425">
        <v>80</v>
      </c>
      <c r="D2425">
        <v>79.983283997000001</v>
      </c>
      <c r="E2425">
        <v>50</v>
      </c>
      <c r="F2425">
        <v>49.486465453999998</v>
      </c>
      <c r="G2425">
        <v>1336.4407959</v>
      </c>
      <c r="H2425">
        <v>1334.8007812000001</v>
      </c>
      <c r="I2425">
        <v>1328.9276123</v>
      </c>
      <c r="J2425">
        <v>1328.0661620999999</v>
      </c>
      <c r="K2425">
        <v>2400</v>
      </c>
      <c r="L2425">
        <v>0</v>
      </c>
      <c r="M2425">
        <v>0</v>
      </c>
      <c r="N2425">
        <v>2400</v>
      </c>
    </row>
    <row r="2426" spans="1:14" x14ac:dyDescent="0.25">
      <c r="A2426">
        <v>1473.9868590000001</v>
      </c>
      <c r="B2426" s="1">
        <f>DATE(2014,5,13) + TIME(23,41,4)</f>
        <v>41772.986851851849</v>
      </c>
      <c r="C2426">
        <v>80</v>
      </c>
      <c r="D2426">
        <v>79.983238220000004</v>
      </c>
      <c r="E2426">
        <v>50</v>
      </c>
      <c r="F2426">
        <v>49.475124358999999</v>
      </c>
      <c r="G2426">
        <v>1336.4371338000001</v>
      </c>
      <c r="H2426">
        <v>1334.8016356999999</v>
      </c>
      <c r="I2426">
        <v>1328.9222411999999</v>
      </c>
      <c r="J2426">
        <v>1328.0583495999999</v>
      </c>
      <c r="K2426">
        <v>2400</v>
      </c>
      <c r="L2426">
        <v>0</v>
      </c>
      <c r="M2426">
        <v>0</v>
      </c>
      <c r="N2426">
        <v>2400</v>
      </c>
    </row>
    <row r="2427" spans="1:14" x14ac:dyDescent="0.25">
      <c r="A2427">
        <v>1474.353034</v>
      </c>
      <c r="B2427" s="1">
        <f>DATE(2014,5,14) + TIME(8,28,22)</f>
        <v>41773.353032407409</v>
      </c>
      <c r="C2427">
        <v>80</v>
      </c>
      <c r="D2427">
        <v>79.983200073000006</v>
      </c>
      <c r="E2427">
        <v>50</v>
      </c>
      <c r="F2427">
        <v>49.463649750000002</v>
      </c>
      <c r="G2427">
        <v>1336.4337158000001</v>
      </c>
      <c r="H2427">
        <v>1334.8024902</v>
      </c>
      <c r="I2427">
        <v>1328.916626</v>
      </c>
      <c r="J2427">
        <v>1328.0504149999999</v>
      </c>
      <c r="K2427">
        <v>2400</v>
      </c>
      <c r="L2427">
        <v>0</v>
      </c>
      <c r="M2427">
        <v>0</v>
      </c>
      <c r="N2427">
        <v>2400</v>
      </c>
    </row>
    <row r="2428" spans="1:14" x14ac:dyDescent="0.25">
      <c r="A2428">
        <v>1474.723806</v>
      </c>
      <c r="B2428" s="1">
        <f>DATE(2014,5,14) + TIME(17,22,16)</f>
        <v>41773.723796296297</v>
      </c>
      <c r="C2428">
        <v>80</v>
      </c>
      <c r="D2428">
        <v>79.983161925999994</v>
      </c>
      <c r="E2428">
        <v>50</v>
      </c>
      <c r="F2428">
        <v>49.452045441000003</v>
      </c>
      <c r="G2428">
        <v>1336.4302978999999</v>
      </c>
      <c r="H2428">
        <v>1334.8033447</v>
      </c>
      <c r="I2428">
        <v>1328.9111327999999</v>
      </c>
      <c r="J2428">
        <v>1328.0423584</v>
      </c>
      <c r="K2428">
        <v>2400</v>
      </c>
      <c r="L2428">
        <v>0</v>
      </c>
      <c r="M2428">
        <v>0</v>
      </c>
      <c r="N2428">
        <v>2400</v>
      </c>
    </row>
    <row r="2429" spans="1:14" x14ac:dyDescent="0.25">
      <c r="A2429">
        <v>1475.1009180000001</v>
      </c>
      <c r="B2429" s="1">
        <f>DATE(2014,5,15) + TIME(2,25,19)</f>
        <v>41774.100914351853</v>
      </c>
      <c r="C2429">
        <v>80</v>
      </c>
      <c r="D2429">
        <v>79.983116150000001</v>
      </c>
      <c r="E2429">
        <v>50</v>
      </c>
      <c r="F2429">
        <v>49.440288543999998</v>
      </c>
      <c r="G2429">
        <v>1336.4268798999999</v>
      </c>
      <c r="H2429">
        <v>1334.8040771000001</v>
      </c>
      <c r="I2429">
        <v>1328.9053954999999</v>
      </c>
      <c r="J2429">
        <v>1328.0343018000001</v>
      </c>
      <c r="K2429">
        <v>2400</v>
      </c>
      <c r="L2429">
        <v>0</v>
      </c>
      <c r="M2429">
        <v>0</v>
      </c>
      <c r="N2429">
        <v>2400</v>
      </c>
    </row>
    <row r="2430" spans="1:14" x14ac:dyDescent="0.25">
      <c r="A2430">
        <v>1475.486392</v>
      </c>
      <c r="B2430" s="1">
        <f>DATE(2014,5,15) + TIME(11,40,24)</f>
        <v>41774.486388888887</v>
      </c>
      <c r="C2430">
        <v>80</v>
      </c>
      <c r="D2430">
        <v>79.983078003000003</v>
      </c>
      <c r="E2430">
        <v>50</v>
      </c>
      <c r="F2430">
        <v>49.428348540999998</v>
      </c>
      <c r="G2430">
        <v>1336.4235839999999</v>
      </c>
      <c r="H2430">
        <v>1334.8049315999999</v>
      </c>
      <c r="I2430">
        <v>1328.8996582</v>
      </c>
      <c r="J2430">
        <v>1328.026001</v>
      </c>
      <c r="K2430">
        <v>2400</v>
      </c>
      <c r="L2430">
        <v>0</v>
      </c>
      <c r="M2430">
        <v>0</v>
      </c>
      <c r="N2430">
        <v>2400</v>
      </c>
    </row>
    <row r="2431" spans="1:14" x14ac:dyDescent="0.25">
      <c r="A2431">
        <v>1475.8822809999999</v>
      </c>
      <c r="B2431" s="1">
        <f>DATE(2014,5,15) + TIME(21,10,29)</f>
        <v>41774.882280092592</v>
      </c>
      <c r="C2431">
        <v>80</v>
      </c>
      <c r="D2431">
        <v>79.983039856000005</v>
      </c>
      <c r="E2431">
        <v>50</v>
      </c>
      <c r="F2431">
        <v>49.416191101000003</v>
      </c>
      <c r="G2431">
        <v>1336.4204102000001</v>
      </c>
      <c r="H2431">
        <v>1334.8057861</v>
      </c>
      <c r="I2431">
        <v>1328.8937988</v>
      </c>
      <c r="J2431">
        <v>1328.0175781</v>
      </c>
      <c r="K2431">
        <v>2400</v>
      </c>
      <c r="L2431">
        <v>0</v>
      </c>
      <c r="M2431">
        <v>0</v>
      </c>
      <c r="N2431">
        <v>2400</v>
      </c>
    </row>
    <row r="2432" spans="1:14" x14ac:dyDescent="0.25">
      <c r="A2432">
        <v>1476.290704</v>
      </c>
      <c r="B2432" s="1">
        <f>DATE(2014,5,16) + TIME(6,58,36)</f>
        <v>41775.290694444448</v>
      </c>
      <c r="C2432">
        <v>80</v>
      </c>
      <c r="D2432">
        <v>79.983001709000007</v>
      </c>
      <c r="E2432">
        <v>50</v>
      </c>
      <c r="F2432">
        <v>49.403766632</v>
      </c>
      <c r="G2432">
        <v>1336.4171143000001</v>
      </c>
      <c r="H2432">
        <v>1334.8065185999999</v>
      </c>
      <c r="I2432">
        <v>1328.8878173999999</v>
      </c>
      <c r="J2432">
        <v>1328.0090332</v>
      </c>
      <c r="K2432">
        <v>2400</v>
      </c>
      <c r="L2432">
        <v>0</v>
      </c>
      <c r="M2432">
        <v>0</v>
      </c>
      <c r="N2432">
        <v>2400</v>
      </c>
    </row>
    <row r="2433" spans="1:14" x14ac:dyDescent="0.25">
      <c r="A2433">
        <v>1476.7140429999999</v>
      </c>
      <c r="B2433" s="1">
        <f>DATE(2014,5,16) + TIME(17,8,13)</f>
        <v>41775.714039351849</v>
      </c>
      <c r="C2433">
        <v>80</v>
      </c>
      <c r="D2433">
        <v>79.982955933</v>
      </c>
      <c r="E2433">
        <v>50</v>
      </c>
      <c r="F2433">
        <v>49.391029357999997</v>
      </c>
      <c r="G2433">
        <v>1336.4139404</v>
      </c>
      <c r="H2433">
        <v>1334.8073730000001</v>
      </c>
      <c r="I2433">
        <v>1328.8817139</v>
      </c>
      <c r="J2433">
        <v>1328.0001221</v>
      </c>
      <c r="K2433">
        <v>2400</v>
      </c>
      <c r="L2433">
        <v>0</v>
      </c>
      <c r="M2433">
        <v>0</v>
      </c>
      <c r="N2433">
        <v>2400</v>
      </c>
    </row>
    <row r="2434" spans="1:14" x14ac:dyDescent="0.25">
      <c r="A2434">
        <v>1477.1575009999999</v>
      </c>
      <c r="B2434" s="1">
        <f>DATE(2014,5,17) + TIME(3,46,48)</f>
        <v>41776.157500000001</v>
      </c>
      <c r="C2434">
        <v>80</v>
      </c>
      <c r="D2434">
        <v>79.982917786000002</v>
      </c>
      <c r="E2434">
        <v>50</v>
      </c>
      <c r="F2434">
        <v>49.377864838000001</v>
      </c>
      <c r="G2434">
        <v>1336.4106445</v>
      </c>
      <c r="H2434">
        <v>1334.8082274999999</v>
      </c>
      <c r="I2434">
        <v>1328.8753661999999</v>
      </c>
      <c r="J2434">
        <v>1327.9910889</v>
      </c>
      <c r="K2434">
        <v>2400</v>
      </c>
      <c r="L2434">
        <v>0</v>
      </c>
      <c r="M2434">
        <v>0</v>
      </c>
      <c r="N2434">
        <v>2400</v>
      </c>
    </row>
    <row r="2435" spans="1:14" x14ac:dyDescent="0.25">
      <c r="A2435">
        <v>1477.6162220000001</v>
      </c>
      <c r="B2435" s="1">
        <f>DATE(2014,5,17) + TIME(14,47,21)</f>
        <v>41776.616215277776</v>
      </c>
      <c r="C2435">
        <v>80</v>
      </c>
      <c r="D2435">
        <v>79.982879639000004</v>
      </c>
      <c r="E2435">
        <v>50</v>
      </c>
      <c r="F2435">
        <v>49.364360808999997</v>
      </c>
      <c r="G2435">
        <v>1336.4073486</v>
      </c>
      <c r="H2435">
        <v>1334.809082</v>
      </c>
      <c r="I2435">
        <v>1328.8687743999999</v>
      </c>
      <c r="J2435">
        <v>1327.9816894999999</v>
      </c>
      <c r="K2435">
        <v>2400</v>
      </c>
      <c r="L2435">
        <v>0</v>
      </c>
      <c r="M2435">
        <v>0</v>
      </c>
      <c r="N2435">
        <v>2400</v>
      </c>
    </row>
    <row r="2436" spans="1:14" x14ac:dyDescent="0.25">
      <c r="A2436">
        <v>1478.0991409999999</v>
      </c>
      <c r="B2436" s="1">
        <f>DATE(2014,5,18) + TIME(2,22,45)</f>
        <v>41777.099131944444</v>
      </c>
      <c r="C2436">
        <v>80</v>
      </c>
      <c r="D2436">
        <v>79.982833862000007</v>
      </c>
      <c r="E2436">
        <v>50</v>
      </c>
      <c r="F2436">
        <v>49.350345611999998</v>
      </c>
      <c r="G2436">
        <v>1336.4040527</v>
      </c>
      <c r="H2436">
        <v>1334.8099365</v>
      </c>
      <c r="I2436">
        <v>1328.8620605000001</v>
      </c>
      <c r="J2436">
        <v>1327.9719238</v>
      </c>
      <c r="K2436">
        <v>2400</v>
      </c>
      <c r="L2436">
        <v>0</v>
      </c>
      <c r="M2436">
        <v>0</v>
      </c>
      <c r="N2436">
        <v>2400</v>
      </c>
    </row>
    <row r="2437" spans="1:14" x14ac:dyDescent="0.25">
      <c r="A2437">
        <v>1478.596965</v>
      </c>
      <c r="B2437" s="1">
        <f>DATE(2014,5,18) + TIME(14,19,37)</f>
        <v>41777.596956018519</v>
      </c>
      <c r="C2437">
        <v>80</v>
      </c>
      <c r="D2437">
        <v>79.982795714999995</v>
      </c>
      <c r="E2437">
        <v>50</v>
      </c>
      <c r="F2437">
        <v>49.335979461999997</v>
      </c>
      <c r="G2437">
        <v>1336.4007568</v>
      </c>
      <c r="H2437">
        <v>1334.8109131000001</v>
      </c>
      <c r="I2437">
        <v>1328.8549805</v>
      </c>
      <c r="J2437">
        <v>1327.9617920000001</v>
      </c>
      <c r="K2437">
        <v>2400</v>
      </c>
      <c r="L2437">
        <v>0</v>
      </c>
      <c r="M2437">
        <v>0</v>
      </c>
      <c r="N2437">
        <v>2400</v>
      </c>
    </row>
    <row r="2438" spans="1:14" x14ac:dyDescent="0.25">
      <c r="A2438">
        <v>1479.100101</v>
      </c>
      <c r="B2438" s="1">
        <f>DATE(2014,5,19) + TIME(2,24,8)</f>
        <v>41778.100092592591</v>
      </c>
      <c r="C2438">
        <v>80</v>
      </c>
      <c r="D2438">
        <v>79.982757567999997</v>
      </c>
      <c r="E2438">
        <v>50</v>
      </c>
      <c r="F2438">
        <v>49.321453093999999</v>
      </c>
      <c r="G2438">
        <v>1336.3974608999999</v>
      </c>
      <c r="H2438">
        <v>1334.8117675999999</v>
      </c>
      <c r="I2438">
        <v>1328.8477783000001</v>
      </c>
      <c r="J2438">
        <v>1327.9514160000001</v>
      </c>
      <c r="K2438">
        <v>2400</v>
      </c>
      <c r="L2438">
        <v>0</v>
      </c>
      <c r="M2438">
        <v>0</v>
      </c>
      <c r="N2438">
        <v>2400</v>
      </c>
    </row>
    <row r="2439" spans="1:14" x14ac:dyDescent="0.25">
      <c r="A2439">
        <v>1479.610289</v>
      </c>
      <c r="B2439" s="1">
        <f>DATE(2014,5,19) + TIME(14,38,48)</f>
        <v>41778.610277777778</v>
      </c>
      <c r="C2439">
        <v>80</v>
      </c>
      <c r="D2439">
        <v>79.982711792000003</v>
      </c>
      <c r="E2439">
        <v>50</v>
      </c>
      <c r="F2439">
        <v>49.306789397999999</v>
      </c>
      <c r="G2439">
        <v>1336.3942870999999</v>
      </c>
      <c r="H2439">
        <v>1334.8127440999999</v>
      </c>
      <c r="I2439">
        <v>1328.8404541</v>
      </c>
      <c r="J2439">
        <v>1327.9410399999999</v>
      </c>
      <c r="K2439">
        <v>2400</v>
      </c>
      <c r="L2439">
        <v>0</v>
      </c>
      <c r="M2439">
        <v>0</v>
      </c>
      <c r="N2439">
        <v>2400</v>
      </c>
    </row>
    <row r="2440" spans="1:14" x14ac:dyDescent="0.25">
      <c r="A2440">
        <v>1480.129545</v>
      </c>
      <c r="B2440" s="1">
        <f>DATE(2014,5,20) + TIME(3,6,32)</f>
        <v>41779.129537037035</v>
      </c>
      <c r="C2440">
        <v>80</v>
      </c>
      <c r="D2440">
        <v>79.982673645000006</v>
      </c>
      <c r="E2440">
        <v>50</v>
      </c>
      <c r="F2440">
        <v>49.291973114000001</v>
      </c>
      <c r="G2440">
        <v>1336.3911132999999</v>
      </c>
      <c r="H2440">
        <v>1334.8135986</v>
      </c>
      <c r="I2440">
        <v>1328.8331298999999</v>
      </c>
      <c r="J2440">
        <v>1327.9304199000001</v>
      </c>
      <c r="K2440">
        <v>2400</v>
      </c>
      <c r="L2440">
        <v>0</v>
      </c>
      <c r="M2440">
        <v>0</v>
      </c>
      <c r="N2440">
        <v>2400</v>
      </c>
    </row>
    <row r="2441" spans="1:14" x14ac:dyDescent="0.25">
      <c r="A2441">
        <v>1480.6649580000001</v>
      </c>
      <c r="B2441" s="1">
        <f>DATE(2014,5,20) + TIME(15,57,32)</f>
        <v>41779.664953703701</v>
      </c>
      <c r="C2441">
        <v>80</v>
      </c>
      <c r="D2441">
        <v>79.982635497999993</v>
      </c>
      <c r="E2441">
        <v>50</v>
      </c>
      <c r="F2441">
        <v>49.276897429999998</v>
      </c>
      <c r="G2441">
        <v>1336.3879394999999</v>
      </c>
      <c r="H2441">
        <v>1334.8144531</v>
      </c>
      <c r="I2441">
        <v>1328.8256836</v>
      </c>
      <c r="J2441">
        <v>1327.9196777</v>
      </c>
      <c r="K2441">
        <v>2400</v>
      </c>
      <c r="L2441">
        <v>0</v>
      </c>
      <c r="M2441">
        <v>0</v>
      </c>
      <c r="N2441">
        <v>2400</v>
      </c>
    </row>
    <row r="2442" spans="1:14" x14ac:dyDescent="0.25">
      <c r="A2442">
        <v>1481.2102930000001</v>
      </c>
      <c r="B2442" s="1">
        <f>DATE(2014,5,21) + TIME(5,2,49)</f>
        <v>41780.210289351853</v>
      </c>
      <c r="C2442">
        <v>80</v>
      </c>
      <c r="D2442">
        <v>79.982597350999995</v>
      </c>
      <c r="E2442">
        <v>50</v>
      </c>
      <c r="F2442">
        <v>49.261650084999999</v>
      </c>
      <c r="G2442">
        <v>1336.3848877</v>
      </c>
      <c r="H2442">
        <v>1334.8153076000001</v>
      </c>
      <c r="I2442">
        <v>1328.8179932</v>
      </c>
      <c r="J2442">
        <v>1327.9088135</v>
      </c>
      <c r="K2442">
        <v>2400</v>
      </c>
      <c r="L2442">
        <v>0</v>
      </c>
      <c r="M2442">
        <v>0</v>
      </c>
      <c r="N2442">
        <v>2400</v>
      </c>
    </row>
    <row r="2443" spans="1:14" x14ac:dyDescent="0.25">
      <c r="A2443">
        <v>1481.76144</v>
      </c>
      <c r="B2443" s="1">
        <f>DATE(2014,5,21) + TIME(18,16,28)</f>
        <v>41780.761435185188</v>
      </c>
      <c r="C2443">
        <v>80</v>
      </c>
      <c r="D2443">
        <v>79.982559203999998</v>
      </c>
      <c r="E2443">
        <v>50</v>
      </c>
      <c r="F2443">
        <v>49.246322632000002</v>
      </c>
      <c r="G2443">
        <v>1336.3818358999999</v>
      </c>
      <c r="H2443">
        <v>1334.8161620999999</v>
      </c>
      <c r="I2443">
        <v>1328.8103027</v>
      </c>
      <c r="J2443">
        <v>1327.8977050999999</v>
      </c>
      <c r="K2443">
        <v>2400</v>
      </c>
      <c r="L2443">
        <v>0</v>
      </c>
      <c r="M2443">
        <v>0</v>
      </c>
      <c r="N2443">
        <v>2400</v>
      </c>
    </row>
    <row r="2444" spans="1:14" x14ac:dyDescent="0.25">
      <c r="A2444">
        <v>1482.3216620000001</v>
      </c>
      <c r="B2444" s="1">
        <f>DATE(2014,5,22) + TIME(7,43,11)</f>
        <v>41781.321655092594</v>
      </c>
      <c r="C2444">
        <v>80</v>
      </c>
      <c r="D2444">
        <v>79.982521057</v>
      </c>
      <c r="E2444">
        <v>50</v>
      </c>
      <c r="F2444">
        <v>49.230880737</v>
      </c>
      <c r="G2444">
        <v>1336.3789062000001</v>
      </c>
      <c r="H2444">
        <v>1334.8170166</v>
      </c>
      <c r="I2444">
        <v>1328.8026123</v>
      </c>
      <c r="J2444">
        <v>1327.8865966999999</v>
      </c>
      <c r="K2444">
        <v>2400</v>
      </c>
      <c r="L2444">
        <v>0</v>
      </c>
      <c r="M2444">
        <v>0</v>
      </c>
      <c r="N2444">
        <v>2400</v>
      </c>
    </row>
    <row r="2445" spans="1:14" x14ac:dyDescent="0.25">
      <c r="A2445">
        <v>1482.894149</v>
      </c>
      <c r="B2445" s="1">
        <f>DATE(2014,5,22) + TIME(21,27,34)</f>
        <v>41781.894143518519</v>
      </c>
      <c r="C2445">
        <v>80</v>
      </c>
      <c r="D2445">
        <v>79.982482910000002</v>
      </c>
      <c r="E2445">
        <v>50</v>
      </c>
      <c r="F2445">
        <v>49.215282440000003</v>
      </c>
      <c r="G2445">
        <v>1336.3759766000001</v>
      </c>
      <c r="H2445">
        <v>1334.8178711</v>
      </c>
      <c r="I2445">
        <v>1328.7946777</v>
      </c>
      <c r="J2445">
        <v>1327.8753661999999</v>
      </c>
      <c r="K2445">
        <v>2400</v>
      </c>
      <c r="L2445">
        <v>0</v>
      </c>
      <c r="M2445">
        <v>0</v>
      </c>
      <c r="N2445">
        <v>2400</v>
      </c>
    </row>
    <row r="2446" spans="1:14" x14ac:dyDescent="0.25">
      <c r="A2446">
        <v>1483.482303</v>
      </c>
      <c r="B2446" s="1">
        <f>DATE(2014,5,23) + TIME(11,34,31)</f>
        <v>41782.482303240744</v>
      </c>
      <c r="C2446">
        <v>80</v>
      </c>
      <c r="D2446">
        <v>79.982444763000004</v>
      </c>
      <c r="E2446">
        <v>50</v>
      </c>
      <c r="F2446">
        <v>49.199466704999999</v>
      </c>
      <c r="G2446">
        <v>1336.3730469</v>
      </c>
      <c r="H2446">
        <v>1334.8187256000001</v>
      </c>
      <c r="I2446">
        <v>1328.7867432</v>
      </c>
      <c r="J2446">
        <v>1327.8640137</v>
      </c>
      <c r="K2446">
        <v>2400</v>
      </c>
      <c r="L2446">
        <v>0</v>
      </c>
      <c r="M2446">
        <v>0</v>
      </c>
      <c r="N2446">
        <v>2400</v>
      </c>
    </row>
    <row r="2447" spans="1:14" x14ac:dyDescent="0.25">
      <c r="A2447">
        <v>1484.0898609999999</v>
      </c>
      <c r="B2447" s="1">
        <f>DATE(2014,5,24) + TIME(2,9,23)</f>
        <v>41783.089849537035</v>
      </c>
      <c r="C2447">
        <v>80</v>
      </c>
      <c r="D2447">
        <v>79.982414246000005</v>
      </c>
      <c r="E2447">
        <v>50</v>
      </c>
      <c r="F2447">
        <v>49.183357239000003</v>
      </c>
      <c r="G2447">
        <v>1336.3702393000001</v>
      </c>
      <c r="H2447">
        <v>1334.8194579999999</v>
      </c>
      <c r="I2447">
        <v>1328.7786865</v>
      </c>
      <c r="J2447">
        <v>1327.8524170000001</v>
      </c>
      <c r="K2447">
        <v>2400</v>
      </c>
      <c r="L2447">
        <v>0</v>
      </c>
      <c r="M2447">
        <v>0</v>
      </c>
      <c r="N2447">
        <v>2400</v>
      </c>
    </row>
    <row r="2448" spans="1:14" x14ac:dyDescent="0.25">
      <c r="A2448">
        <v>1484.7224289999999</v>
      </c>
      <c r="B2448" s="1">
        <f>DATE(2014,5,24) + TIME(17,20,17)</f>
        <v>41783.722418981481</v>
      </c>
      <c r="C2448">
        <v>80</v>
      </c>
      <c r="D2448">
        <v>79.982376099000007</v>
      </c>
      <c r="E2448">
        <v>50</v>
      </c>
      <c r="F2448">
        <v>49.166851043999998</v>
      </c>
      <c r="G2448">
        <v>1336.3673096</v>
      </c>
      <c r="H2448">
        <v>1334.8203125</v>
      </c>
      <c r="I2448">
        <v>1328.7703856999999</v>
      </c>
      <c r="J2448">
        <v>1327.8404541</v>
      </c>
      <c r="K2448">
        <v>2400</v>
      </c>
      <c r="L2448">
        <v>0</v>
      </c>
      <c r="M2448">
        <v>0</v>
      </c>
      <c r="N2448">
        <v>2400</v>
      </c>
    </row>
    <row r="2449" spans="1:14" x14ac:dyDescent="0.25">
      <c r="A2449">
        <v>1485.3978219999999</v>
      </c>
      <c r="B2449" s="1">
        <f>DATE(2014,5,25) + TIME(9,32,51)</f>
        <v>41784.397812499999</v>
      </c>
      <c r="C2449">
        <v>80</v>
      </c>
      <c r="D2449">
        <v>79.982337951999995</v>
      </c>
      <c r="E2449">
        <v>50</v>
      </c>
      <c r="F2449">
        <v>49.149658203000001</v>
      </c>
      <c r="G2449">
        <v>1336.3645019999999</v>
      </c>
      <c r="H2449">
        <v>1334.8211670000001</v>
      </c>
      <c r="I2449">
        <v>1328.7618408000001</v>
      </c>
      <c r="J2449">
        <v>1327.8282471</v>
      </c>
      <c r="K2449">
        <v>2400</v>
      </c>
      <c r="L2449">
        <v>0</v>
      </c>
      <c r="M2449">
        <v>0</v>
      </c>
      <c r="N2449">
        <v>2400</v>
      </c>
    </row>
    <row r="2450" spans="1:14" x14ac:dyDescent="0.25">
      <c r="A2450">
        <v>1486.096959</v>
      </c>
      <c r="B2450" s="1">
        <f>DATE(2014,5,26) + TIME(2,19,37)</f>
        <v>41785.096956018519</v>
      </c>
      <c r="C2450">
        <v>80</v>
      </c>
      <c r="D2450">
        <v>79.982307434000006</v>
      </c>
      <c r="E2450">
        <v>50</v>
      </c>
      <c r="F2450">
        <v>49.131958007999998</v>
      </c>
      <c r="G2450">
        <v>1336.3614502</v>
      </c>
      <c r="H2450">
        <v>1334.8220214999999</v>
      </c>
      <c r="I2450">
        <v>1328.7528076000001</v>
      </c>
      <c r="J2450">
        <v>1327.8154297000001</v>
      </c>
      <c r="K2450">
        <v>2400</v>
      </c>
      <c r="L2450">
        <v>0</v>
      </c>
      <c r="M2450">
        <v>0</v>
      </c>
      <c r="N2450">
        <v>2400</v>
      </c>
    </row>
    <row r="2451" spans="1:14" x14ac:dyDescent="0.25">
      <c r="A2451">
        <v>1486.8197290000001</v>
      </c>
      <c r="B2451" s="1">
        <f>DATE(2014,5,26) + TIME(19,40,24)</f>
        <v>41785.819722222222</v>
      </c>
      <c r="C2451">
        <v>80</v>
      </c>
      <c r="D2451">
        <v>79.982269286999994</v>
      </c>
      <c r="E2451">
        <v>50</v>
      </c>
      <c r="F2451">
        <v>49.113796233999999</v>
      </c>
      <c r="G2451">
        <v>1336.3585204999999</v>
      </c>
      <c r="H2451">
        <v>1334.822876</v>
      </c>
      <c r="I2451">
        <v>1328.7436522999999</v>
      </c>
      <c r="J2451">
        <v>1327.802124</v>
      </c>
      <c r="K2451">
        <v>2400</v>
      </c>
      <c r="L2451">
        <v>0</v>
      </c>
      <c r="M2451">
        <v>0</v>
      </c>
      <c r="N2451">
        <v>2400</v>
      </c>
    </row>
    <row r="2452" spans="1:14" x14ac:dyDescent="0.25">
      <c r="A2452">
        <v>1487.5865020000001</v>
      </c>
      <c r="B2452" s="1">
        <f>DATE(2014,5,27) + TIME(14,4,33)</f>
        <v>41786.586493055554</v>
      </c>
      <c r="C2452">
        <v>80</v>
      </c>
      <c r="D2452">
        <v>79.982231139999996</v>
      </c>
      <c r="E2452">
        <v>50</v>
      </c>
      <c r="F2452">
        <v>49.094936371000003</v>
      </c>
      <c r="G2452">
        <v>1336.3555908000001</v>
      </c>
      <c r="H2452">
        <v>1334.8237305</v>
      </c>
      <c r="I2452">
        <v>1328.7341309000001</v>
      </c>
      <c r="J2452">
        <v>1327.7885742000001</v>
      </c>
      <c r="K2452">
        <v>2400</v>
      </c>
      <c r="L2452">
        <v>0</v>
      </c>
      <c r="M2452">
        <v>0</v>
      </c>
      <c r="N2452">
        <v>2400</v>
      </c>
    </row>
    <row r="2453" spans="1:14" x14ac:dyDescent="0.25">
      <c r="A2453">
        <v>1487.974346</v>
      </c>
      <c r="B2453" s="1">
        <f>DATE(2014,5,27) + TIME(23,23,3)</f>
        <v>41786.974340277775</v>
      </c>
      <c r="C2453">
        <v>80</v>
      </c>
      <c r="D2453">
        <v>79.982200622999997</v>
      </c>
      <c r="E2453">
        <v>50</v>
      </c>
      <c r="F2453">
        <v>49.082359314000001</v>
      </c>
      <c r="G2453">
        <v>1336.3521728999999</v>
      </c>
      <c r="H2453">
        <v>1334.8243408000001</v>
      </c>
      <c r="I2453">
        <v>1328.7248535000001</v>
      </c>
      <c r="J2453">
        <v>1327.7755127</v>
      </c>
      <c r="K2453">
        <v>2400</v>
      </c>
      <c r="L2453">
        <v>0</v>
      </c>
      <c r="M2453">
        <v>0</v>
      </c>
      <c r="N2453">
        <v>2400</v>
      </c>
    </row>
    <row r="2454" spans="1:14" x14ac:dyDescent="0.25">
      <c r="A2454">
        <v>1488.3621889999999</v>
      </c>
      <c r="B2454" s="1">
        <f>DATE(2014,5,28) + TIME(8,41,33)</f>
        <v>41787.362187500003</v>
      </c>
      <c r="C2454">
        <v>80</v>
      </c>
      <c r="D2454">
        <v>79.982177734000004</v>
      </c>
      <c r="E2454">
        <v>50</v>
      </c>
      <c r="F2454">
        <v>49.070682525999999</v>
      </c>
      <c r="G2454">
        <v>1336.3504639</v>
      </c>
      <c r="H2454">
        <v>1334.8245850000001</v>
      </c>
      <c r="I2454">
        <v>1328.7189940999999</v>
      </c>
      <c r="J2454">
        <v>1327.7669678</v>
      </c>
      <c r="K2454">
        <v>2400</v>
      </c>
      <c r="L2454">
        <v>0</v>
      </c>
      <c r="M2454">
        <v>0</v>
      </c>
      <c r="N2454">
        <v>2400</v>
      </c>
    </row>
    <row r="2455" spans="1:14" x14ac:dyDescent="0.25">
      <c r="A2455">
        <v>1489.1378769999999</v>
      </c>
      <c r="B2455" s="1">
        <f>DATE(2014,5,29) + TIME(3,18,32)</f>
        <v>41788.137870370374</v>
      </c>
      <c r="C2455">
        <v>80</v>
      </c>
      <c r="D2455">
        <v>79.982154846</v>
      </c>
      <c r="E2455">
        <v>50</v>
      </c>
      <c r="F2455">
        <v>49.053867339999996</v>
      </c>
      <c r="G2455">
        <v>1336.3487548999999</v>
      </c>
      <c r="H2455">
        <v>1334.8248291</v>
      </c>
      <c r="I2455">
        <v>1328.7128906</v>
      </c>
      <c r="J2455">
        <v>1327.7579346</v>
      </c>
      <c r="K2455">
        <v>2400</v>
      </c>
      <c r="L2455">
        <v>0</v>
      </c>
      <c r="M2455">
        <v>0</v>
      </c>
      <c r="N2455">
        <v>2400</v>
      </c>
    </row>
    <row r="2456" spans="1:14" x14ac:dyDescent="0.25">
      <c r="A2456">
        <v>1489.9144100000001</v>
      </c>
      <c r="B2456" s="1">
        <f>DATE(2014,5,29) + TIME(21,56,45)</f>
        <v>41788.914409722223</v>
      </c>
      <c r="C2456">
        <v>80</v>
      </c>
      <c r="D2456">
        <v>79.982124329000001</v>
      </c>
      <c r="E2456">
        <v>50</v>
      </c>
      <c r="F2456">
        <v>49.035961151000002</v>
      </c>
      <c r="G2456">
        <v>1336.3454589999999</v>
      </c>
      <c r="H2456">
        <v>1334.8253173999999</v>
      </c>
      <c r="I2456">
        <v>1328.7036132999999</v>
      </c>
      <c r="J2456">
        <v>1327.744751</v>
      </c>
      <c r="K2456">
        <v>2400</v>
      </c>
      <c r="L2456">
        <v>0</v>
      </c>
      <c r="M2456">
        <v>0</v>
      </c>
      <c r="N2456">
        <v>2400</v>
      </c>
    </row>
    <row r="2457" spans="1:14" x14ac:dyDescent="0.25">
      <c r="A2457">
        <v>1490.7002649999999</v>
      </c>
      <c r="B2457" s="1">
        <f>DATE(2014,5,30) + TIME(16,48,22)</f>
        <v>41789.700254629628</v>
      </c>
      <c r="C2457">
        <v>80</v>
      </c>
      <c r="D2457">
        <v>79.982086182000003</v>
      </c>
      <c r="E2457">
        <v>50</v>
      </c>
      <c r="F2457">
        <v>49.017467498999999</v>
      </c>
      <c r="G2457">
        <v>1336.3422852000001</v>
      </c>
      <c r="H2457">
        <v>1334.8258057</v>
      </c>
      <c r="I2457">
        <v>1328.6939697</v>
      </c>
      <c r="J2457">
        <v>1327.7310791</v>
      </c>
      <c r="K2457">
        <v>2400</v>
      </c>
      <c r="L2457">
        <v>0</v>
      </c>
      <c r="M2457">
        <v>0</v>
      </c>
      <c r="N2457">
        <v>2400</v>
      </c>
    </row>
    <row r="2458" spans="1:14" x14ac:dyDescent="0.25">
      <c r="A2458">
        <v>1491.500894</v>
      </c>
      <c r="B2458" s="1">
        <f>DATE(2014,5,31) + TIME(12,1,17)</f>
        <v>41790.500891203701</v>
      </c>
      <c r="C2458">
        <v>80</v>
      </c>
      <c r="D2458">
        <v>79.982055664000001</v>
      </c>
      <c r="E2458">
        <v>50</v>
      </c>
      <c r="F2458">
        <v>48.998596190999997</v>
      </c>
      <c r="G2458">
        <v>1336.3392334</v>
      </c>
      <c r="H2458">
        <v>1334.8262939000001</v>
      </c>
      <c r="I2458">
        <v>1328.6842041</v>
      </c>
      <c r="J2458">
        <v>1327.7171631000001</v>
      </c>
      <c r="K2458">
        <v>2400</v>
      </c>
      <c r="L2458">
        <v>0</v>
      </c>
      <c r="M2458">
        <v>0</v>
      </c>
      <c r="N2458">
        <v>2400</v>
      </c>
    </row>
    <row r="2459" spans="1:14" x14ac:dyDescent="0.25">
      <c r="A2459">
        <v>1492</v>
      </c>
      <c r="B2459" s="1">
        <f>DATE(2014,6,1) + TIME(0,0,0)</f>
        <v>41791</v>
      </c>
      <c r="C2459">
        <v>80</v>
      </c>
      <c r="D2459">
        <v>79.982025145999998</v>
      </c>
      <c r="E2459">
        <v>50</v>
      </c>
      <c r="F2459">
        <v>48.984115600999999</v>
      </c>
      <c r="G2459">
        <v>1336.3364257999999</v>
      </c>
      <c r="H2459">
        <v>1334.8269043</v>
      </c>
      <c r="I2459">
        <v>1328.6748047000001</v>
      </c>
      <c r="J2459">
        <v>1327.7038574000001</v>
      </c>
      <c r="K2459">
        <v>2400</v>
      </c>
      <c r="L2459">
        <v>0</v>
      </c>
      <c r="M2459">
        <v>0</v>
      </c>
      <c r="N2459">
        <v>2400</v>
      </c>
    </row>
    <row r="2460" spans="1:14" x14ac:dyDescent="0.25">
      <c r="A2460">
        <v>1492.8209300000001</v>
      </c>
      <c r="B2460" s="1">
        <f>DATE(2014,6,1) + TIME(19,42,8)</f>
        <v>41791.820925925924</v>
      </c>
      <c r="C2460">
        <v>80</v>
      </c>
      <c r="D2460">
        <v>79.982002257999994</v>
      </c>
      <c r="E2460">
        <v>50</v>
      </c>
      <c r="F2460">
        <v>48.966255187999998</v>
      </c>
      <c r="G2460">
        <v>1336.3347168</v>
      </c>
      <c r="H2460">
        <v>1334.8272704999999</v>
      </c>
      <c r="I2460">
        <v>1328.6674805</v>
      </c>
      <c r="J2460">
        <v>1327.6929932</v>
      </c>
      <c r="K2460">
        <v>2400</v>
      </c>
      <c r="L2460">
        <v>0</v>
      </c>
      <c r="M2460">
        <v>0</v>
      </c>
      <c r="N2460">
        <v>2400</v>
      </c>
    </row>
    <row r="2461" spans="1:14" x14ac:dyDescent="0.25">
      <c r="A2461">
        <v>1493.692697</v>
      </c>
      <c r="B2461" s="1">
        <f>DATE(2014,6,2) + TIME(16,37,28)</f>
        <v>41792.692685185182</v>
      </c>
      <c r="C2461">
        <v>80</v>
      </c>
      <c r="D2461">
        <v>79.981971740999995</v>
      </c>
      <c r="E2461">
        <v>50</v>
      </c>
      <c r="F2461">
        <v>48.947174072000003</v>
      </c>
      <c r="G2461">
        <v>1336.3319091999999</v>
      </c>
      <c r="H2461">
        <v>1334.8278809000001</v>
      </c>
      <c r="I2461">
        <v>1328.6577147999999</v>
      </c>
      <c r="J2461">
        <v>1327.6791992000001</v>
      </c>
      <c r="K2461">
        <v>2400</v>
      </c>
      <c r="L2461">
        <v>0</v>
      </c>
      <c r="M2461">
        <v>0</v>
      </c>
      <c r="N2461">
        <v>2400</v>
      </c>
    </row>
    <row r="2462" spans="1:14" x14ac:dyDescent="0.25">
      <c r="A2462">
        <v>1494.597301</v>
      </c>
      <c r="B2462" s="1">
        <f>DATE(2014,6,3) + TIME(14,20,6)</f>
        <v>41793.597291666665</v>
      </c>
      <c r="C2462">
        <v>80</v>
      </c>
      <c r="D2462">
        <v>79.981948853000006</v>
      </c>
      <c r="E2462">
        <v>50</v>
      </c>
      <c r="F2462">
        <v>48.927185059000003</v>
      </c>
      <c r="G2462">
        <v>1336.3291016000001</v>
      </c>
      <c r="H2462">
        <v>1334.8283690999999</v>
      </c>
      <c r="I2462">
        <v>1328.6474608999999</v>
      </c>
      <c r="J2462">
        <v>1327.6645507999999</v>
      </c>
      <c r="K2462">
        <v>2400</v>
      </c>
      <c r="L2462">
        <v>0</v>
      </c>
      <c r="M2462">
        <v>0</v>
      </c>
      <c r="N2462">
        <v>2400</v>
      </c>
    </row>
    <row r="2463" spans="1:14" x14ac:dyDescent="0.25">
      <c r="A2463">
        <v>1495.5572669999999</v>
      </c>
      <c r="B2463" s="1">
        <f>DATE(2014,6,4) + TIME(13,22,27)</f>
        <v>41794.557256944441</v>
      </c>
      <c r="C2463">
        <v>80</v>
      </c>
      <c r="D2463">
        <v>79.981918335000003</v>
      </c>
      <c r="E2463">
        <v>50</v>
      </c>
      <c r="F2463">
        <v>48.90625</v>
      </c>
      <c r="G2463">
        <v>1336.3262939000001</v>
      </c>
      <c r="H2463">
        <v>1334.8289795000001</v>
      </c>
      <c r="I2463">
        <v>1328.6367187999999</v>
      </c>
      <c r="J2463">
        <v>1327.6492920000001</v>
      </c>
      <c r="K2463">
        <v>2400</v>
      </c>
      <c r="L2463">
        <v>0</v>
      </c>
      <c r="M2463">
        <v>0</v>
      </c>
      <c r="N2463">
        <v>2400</v>
      </c>
    </row>
    <row r="2464" spans="1:14" x14ac:dyDescent="0.25">
      <c r="A2464">
        <v>1496.586933</v>
      </c>
      <c r="B2464" s="1">
        <f>DATE(2014,6,5) + TIME(14,5,10)</f>
        <v>41795.586921296293</v>
      </c>
      <c r="C2464">
        <v>80</v>
      </c>
      <c r="D2464">
        <v>79.981887817</v>
      </c>
      <c r="E2464">
        <v>50</v>
      </c>
      <c r="F2464">
        <v>48.884212494000003</v>
      </c>
      <c r="G2464">
        <v>1336.3234863</v>
      </c>
      <c r="H2464">
        <v>1334.8295897999999</v>
      </c>
      <c r="I2464">
        <v>1328.6256103999999</v>
      </c>
      <c r="J2464">
        <v>1327.6333007999999</v>
      </c>
      <c r="K2464">
        <v>2400</v>
      </c>
      <c r="L2464">
        <v>0</v>
      </c>
      <c r="M2464">
        <v>0</v>
      </c>
      <c r="N2464">
        <v>2400</v>
      </c>
    </row>
    <row r="2465" spans="1:14" x14ac:dyDescent="0.25">
      <c r="A2465">
        <v>1497.649656</v>
      </c>
      <c r="B2465" s="1">
        <f>DATE(2014,6,6) + TIME(15,35,30)</f>
        <v>41796.649652777778</v>
      </c>
      <c r="C2465">
        <v>80</v>
      </c>
      <c r="D2465">
        <v>79.981857300000001</v>
      </c>
      <c r="E2465">
        <v>50</v>
      </c>
      <c r="F2465">
        <v>48.861320495999998</v>
      </c>
      <c r="G2465">
        <v>1336.3205565999999</v>
      </c>
      <c r="H2465">
        <v>1334.8303223</v>
      </c>
      <c r="I2465">
        <v>1328.6137695</v>
      </c>
      <c r="J2465">
        <v>1327.6164550999999</v>
      </c>
      <c r="K2465">
        <v>2400</v>
      </c>
      <c r="L2465">
        <v>0</v>
      </c>
      <c r="M2465">
        <v>0</v>
      </c>
      <c r="N2465">
        <v>2400</v>
      </c>
    </row>
    <row r="2466" spans="1:14" x14ac:dyDescent="0.25">
      <c r="A2466">
        <v>1498.7242699999999</v>
      </c>
      <c r="B2466" s="1">
        <f>DATE(2014,6,7) + TIME(17,22,56)</f>
        <v>41797.724259259259</v>
      </c>
      <c r="C2466">
        <v>80</v>
      </c>
      <c r="D2466">
        <v>79.981826781999999</v>
      </c>
      <c r="E2466">
        <v>50</v>
      </c>
      <c r="F2466">
        <v>48.837997436999999</v>
      </c>
      <c r="G2466">
        <v>1336.317749</v>
      </c>
      <c r="H2466">
        <v>1334.8309326000001</v>
      </c>
      <c r="I2466">
        <v>1328.6016846</v>
      </c>
      <c r="J2466">
        <v>1327.5991211</v>
      </c>
      <c r="K2466">
        <v>2400</v>
      </c>
      <c r="L2466">
        <v>0</v>
      </c>
      <c r="M2466">
        <v>0</v>
      </c>
      <c r="N2466">
        <v>2400</v>
      </c>
    </row>
    <row r="2467" spans="1:14" x14ac:dyDescent="0.25">
      <c r="A2467">
        <v>1499.8026809999999</v>
      </c>
      <c r="B2467" s="1">
        <f>DATE(2014,6,8) + TIME(19,15,51)</f>
        <v>41798.802673611113</v>
      </c>
      <c r="C2467">
        <v>80</v>
      </c>
      <c r="D2467">
        <v>79.981796265</v>
      </c>
      <c r="E2467">
        <v>50</v>
      </c>
      <c r="F2467">
        <v>48.814571381</v>
      </c>
      <c r="G2467">
        <v>1336.3150635</v>
      </c>
      <c r="H2467">
        <v>1334.8316649999999</v>
      </c>
      <c r="I2467">
        <v>1328.5894774999999</v>
      </c>
      <c r="J2467">
        <v>1327.5816649999999</v>
      </c>
      <c r="K2467">
        <v>2400</v>
      </c>
      <c r="L2467">
        <v>0</v>
      </c>
      <c r="M2467">
        <v>0</v>
      </c>
      <c r="N2467">
        <v>2400</v>
      </c>
    </row>
    <row r="2468" spans="1:14" x14ac:dyDescent="0.25">
      <c r="A2468">
        <v>1500.897698</v>
      </c>
      <c r="B2468" s="1">
        <f>DATE(2014,6,9) + TIME(21,32,41)</f>
        <v>41799.897696759261</v>
      </c>
      <c r="C2468">
        <v>80</v>
      </c>
      <c r="D2468">
        <v>79.981773376000007</v>
      </c>
      <c r="E2468">
        <v>50</v>
      </c>
      <c r="F2468">
        <v>48.791088104000004</v>
      </c>
      <c r="G2468">
        <v>1336.3123779</v>
      </c>
      <c r="H2468">
        <v>1334.8322754000001</v>
      </c>
      <c r="I2468">
        <v>1328.5773925999999</v>
      </c>
      <c r="J2468">
        <v>1327.5643310999999</v>
      </c>
      <c r="K2468">
        <v>2400</v>
      </c>
      <c r="L2468">
        <v>0</v>
      </c>
      <c r="M2468">
        <v>0</v>
      </c>
      <c r="N2468">
        <v>2400</v>
      </c>
    </row>
    <row r="2469" spans="1:14" x14ac:dyDescent="0.25">
      <c r="A2469">
        <v>1502.011293</v>
      </c>
      <c r="B2469" s="1">
        <f>DATE(2014,6,11) + TIME(0,16,15)</f>
        <v>41801.011284722219</v>
      </c>
      <c r="C2469">
        <v>80</v>
      </c>
      <c r="D2469">
        <v>79.981750488000003</v>
      </c>
      <c r="E2469">
        <v>50</v>
      </c>
      <c r="F2469">
        <v>48.767520904999998</v>
      </c>
      <c r="G2469">
        <v>1336.3098144999999</v>
      </c>
      <c r="H2469">
        <v>1334.8328856999999</v>
      </c>
      <c r="I2469">
        <v>1328.5651855000001</v>
      </c>
      <c r="J2469">
        <v>1327.546875</v>
      </c>
      <c r="K2469">
        <v>2400</v>
      </c>
      <c r="L2469">
        <v>0</v>
      </c>
      <c r="M2469">
        <v>0</v>
      </c>
      <c r="N2469">
        <v>2400</v>
      </c>
    </row>
    <row r="2470" spans="1:14" x14ac:dyDescent="0.25">
      <c r="A2470">
        <v>1503.140171</v>
      </c>
      <c r="B2470" s="1">
        <f>DATE(2014,6,12) + TIME(3,21,50)</f>
        <v>41802.140162037038</v>
      </c>
      <c r="C2470">
        <v>80</v>
      </c>
      <c r="D2470">
        <v>79.981719971000004</v>
      </c>
      <c r="E2470">
        <v>50</v>
      </c>
      <c r="F2470">
        <v>48.743865966999998</v>
      </c>
      <c r="G2470">
        <v>1336.3073730000001</v>
      </c>
      <c r="H2470">
        <v>1334.8334961</v>
      </c>
      <c r="I2470">
        <v>1328.5529785000001</v>
      </c>
      <c r="J2470">
        <v>1327.5294189000001</v>
      </c>
      <c r="K2470">
        <v>2400</v>
      </c>
      <c r="L2470">
        <v>0</v>
      </c>
      <c r="M2470">
        <v>0</v>
      </c>
      <c r="N2470">
        <v>2400</v>
      </c>
    </row>
    <row r="2471" spans="1:14" x14ac:dyDescent="0.25">
      <c r="A2471">
        <v>1504.2742459999999</v>
      </c>
      <c r="B2471" s="1">
        <f>DATE(2014,6,13) + TIME(6,34,54)</f>
        <v>41803.274236111109</v>
      </c>
      <c r="C2471">
        <v>80</v>
      </c>
      <c r="D2471">
        <v>79.981697083</v>
      </c>
      <c r="E2471">
        <v>50</v>
      </c>
      <c r="F2471">
        <v>48.720226287999999</v>
      </c>
      <c r="G2471">
        <v>1336.3049315999999</v>
      </c>
      <c r="H2471">
        <v>1334.8341064000001</v>
      </c>
      <c r="I2471">
        <v>1328.5408935999999</v>
      </c>
      <c r="J2471">
        <v>1327.5119629000001</v>
      </c>
      <c r="K2471">
        <v>2400</v>
      </c>
      <c r="L2471">
        <v>0</v>
      </c>
      <c r="M2471">
        <v>0</v>
      </c>
      <c r="N2471">
        <v>2400</v>
      </c>
    </row>
    <row r="2472" spans="1:14" x14ac:dyDescent="0.25">
      <c r="A2472">
        <v>1505.415913</v>
      </c>
      <c r="B2472" s="1">
        <f>DATE(2014,6,14) + TIME(9,58,54)</f>
        <v>41804.415902777779</v>
      </c>
      <c r="C2472">
        <v>80</v>
      </c>
      <c r="D2472">
        <v>79.981674193999993</v>
      </c>
      <c r="E2472">
        <v>50</v>
      </c>
      <c r="F2472">
        <v>48.696655272999998</v>
      </c>
      <c r="G2472">
        <v>1336.3026123</v>
      </c>
      <c r="H2472">
        <v>1334.8345947</v>
      </c>
      <c r="I2472">
        <v>1328.5288086</v>
      </c>
      <c r="J2472">
        <v>1327.4946289</v>
      </c>
      <c r="K2472">
        <v>2400</v>
      </c>
      <c r="L2472">
        <v>0</v>
      </c>
      <c r="M2472">
        <v>0</v>
      </c>
      <c r="N2472">
        <v>2400</v>
      </c>
    </row>
    <row r="2473" spans="1:14" x14ac:dyDescent="0.25">
      <c r="A2473">
        <v>1506.5747429999999</v>
      </c>
      <c r="B2473" s="1">
        <f>DATE(2014,6,15) + TIME(13,47,37)</f>
        <v>41805.574733796297</v>
      </c>
      <c r="C2473">
        <v>80</v>
      </c>
      <c r="D2473">
        <v>79.981658936000002</v>
      </c>
      <c r="E2473">
        <v>50</v>
      </c>
      <c r="F2473">
        <v>48.673076629999997</v>
      </c>
      <c r="G2473">
        <v>1336.300293</v>
      </c>
      <c r="H2473">
        <v>1334.8352050999999</v>
      </c>
      <c r="I2473">
        <v>1328.5167236</v>
      </c>
      <c r="J2473">
        <v>1327.4774170000001</v>
      </c>
      <c r="K2473">
        <v>2400</v>
      </c>
      <c r="L2473">
        <v>0</v>
      </c>
      <c r="M2473">
        <v>0</v>
      </c>
      <c r="N2473">
        <v>2400</v>
      </c>
    </row>
    <row r="2474" spans="1:14" x14ac:dyDescent="0.25">
      <c r="A2474">
        <v>1507.755733</v>
      </c>
      <c r="B2474" s="1">
        <f>DATE(2014,6,16) + TIME(18,8,15)</f>
        <v>41806.755729166667</v>
      </c>
      <c r="C2474">
        <v>80</v>
      </c>
      <c r="D2474">
        <v>79.981636046999995</v>
      </c>
      <c r="E2474">
        <v>50</v>
      </c>
      <c r="F2474">
        <v>48.649387359999999</v>
      </c>
      <c r="G2474">
        <v>1336.2980957</v>
      </c>
      <c r="H2474">
        <v>1334.8356934000001</v>
      </c>
      <c r="I2474">
        <v>1328.5047606999999</v>
      </c>
      <c r="J2474">
        <v>1327.4602050999999</v>
      </c>
      <c r="K2474">
        <v>2400</v>
      </c>
      <c r="L2474">
        <v>0</v>
      </c>
      <c r="M2474">
        <v>0</v>
      </c>
      <c r="N2474">
        <v>2400</v>
      </c>
    </row>
    <row r="2475" spans="1:14" x14ac:dyDescent="0.25">
      <c r="A2475">
        <v>1508.354531</v>
      </c>
      <c r="B2475" s="1">
        <f>DATE(2014,6,17) + TIME(8,30,31)</f>
        <v>41807.354525462964</v>
      </c>
      <c r="C2475">
        <v>80</v>
      </c>
      <c r="D2475">
        <v>79.981613159000005</v>
      </c>
      <c r="E2475">
        <v>50</v>
      </c>
      <c r="F2475">
        <v>48.632324218999997</v>
      </c>
      <c r="G2475">
        <v>1336.2958983999999</v>
      </c>
      <c r="H2475">
        <v>1334.8361815999999</v>
      </c>
      <c r="I2475">
        <v>1328.4934082</v>
      </c>
      <c r="J2475">
        <v>1327.4439697</v>
      </c>
      <c r="K2475">
        <v>2400</v>
      </c>
      <c r="L2475">
        <v>0</v>
      </c>
      <c r="M2475">
        <v>0</v>
      </c>
      <c r="N2475">
        <v>2400</v>
      </c>
    </row>
    <row r="2476" spans="1:14" x14ac:dyDescent="0.25">
      <c r="A2476">
        <v>1508.9533289999999</v>
      </c>
      <c r="B2476" s="1">
        <f>DATE(2014,6,17) + TIME(22,52,47)</f>
        <v>41807.953321759262</v>
      </c>
      <c r="C2476">
        <v>80</v>
      </c>
      <c r="D2476">
        <v>79.981605529999996</v>
      </c>
      <c r="E2476">
        <v>50</v>
      </c>
      <c r="F2476">
        <v>48.617485045999999</v>
      </c>
      <c r="G2476">
        <v>1336.2947998</v>
      </c>
      <c r="H2476">
        <v>1334.8364257999999</v>
      </c>
      <c r="I2476">
        <v>1328.4860839999999</v>
      </c>
      <c r="J2476">
        <v>1327.4331055</v>
      </c>
      <c r="K2476">
        <v>2400</v>
      </c>
      <c r="L2476">
        <v>0</v>
      </c>
      <c r="M2476">
        <v>0</v>
      </c>
      <c r="N2476">
        <v>2400</v>
      </c>
    </row>
    <row r="2477" spans="1:14" x14ac:dyDescent="0.25">
      <c r="A2477">
        <v>1509.5521269999999</v>
      </c>
      <c r="B2477" s="1">
        <f>DATE(2014,6,18) + TIME(13,15,3)</f>
        <v>41808.552118055559</v>
      </c>
      <c r="C2477">
        <v>80</v>
      </c>
      <c r="D2477">
        <v>79.981590271000002</v>
      </c>
      <c r="E2477">
        <v>50</v>
      </c>
      <c r="F2477">
        <v>48.603935241999999</v>
      </c>
      <c r="G2477">
        <v>1336.2938231999999</v>
      </c>
      <c r="H2477">
        <v>1334.8366699000001</v>
      </c>
      <c r="I2477">
        <v>1328.4793701000001</v>
      </c>
      <c r="J2477">
        <v>1327.4232178</v>
      </c>
      <c r="K2477">
        <v>2400</v>
      </c>
      <c r="L2477">
        <v>0</v>
      </c>
      <c r="M2477">
        <v>0</v>
      </c>
      <c r="N2477">
        <v>2400</v>
      </c>
    </row>
    <row r="2478" spans="1:14" x14ac:dyDescent="0.25">
      <c r="A2478">
        <v>1510.1509249999999</v>
      </c>
      <c r="B2478" s="1">
        <f>DATE(2014,6,19) + TIME(3,37,19)</f>
        <v>41809.150914351849</v>
      </c>
      <c r="C2478">
        <v>80</v>
      </c>
      <c r="D2478">
        <v>79.981582642000006</v>
      </c>
      <c r="E2478">
        <v>50</v>
      </c>
      <c r="F2478">
        <v>48.591136931999998</v>
      </c>
      <c r="G2478">
        <v>1336.2927245999999</v>
      </c>
      <c r="H2478">
        <v>1334.8369141000001</v>
      </c>
      <c r="I2478">
        <v>1328.4730225000001</v>
      </c>
      <c r="J2478">
        <v>1327.4139404</v>
      </c>
      <c r="K2478">
        <v>2400</v>
      </c>
      <c r="L2478">
        <v>0</v>
      </c>
      <c r="M2478">
        <v>0</v>
      </c>
      <c r="N2478">
        <v>2400</v>
      </c>
    </row>
    <row r="2479" spans="1:14" x14ac:dyDescent="0.25">
      <c r="A2479">
        <v>1511.3485209999999</v>
      </c>
      <c r="B2479" s="1">
        <f>DATE(2014,6,20) + TIME(8,21,52)</f>
        <v>41810.34851851852</v>
      </c>
      <c r="C2479">
        <v>80</v>
      </c>
      <c r="D2479">
        <v>79.981582642000006</v>
      </c>
      <c r="E2479">
        <v>50</v>
      </c>
      <c r="F2479">
        <v>48.573928832999997</v>
      </c>
      <c r="G2479">
        <v>1336.2917480000001</v>
      </c>
      <c r="H2479">
        <v>1334.8371582</v>
      </c>
      <c r="I2479">
        <v>1328.4664307</v>
      </c>
      <c r="J2479">
        <v>1327.4042969</v>
      </c>
      <c r="K2479">
        <v>2400</v>
      </c>
      <c r="L2479">
        <v>0</v>
      </c>
      <c r="M2479">
        <v>0</v>
      </c>
      <c r="N2479">
        <v>2400</v>
      </c>
    </row>
    <row r="2480" spans="1:14" x14ac:dyDescent="0.25">
      <c r="A2480">
        <v>1512.5488210000001</v>
      </c>
      <c r="B2480" s="1">
        <f>DATE(2014,6,21) + TIME(13,10,18)</f>
        <v>41811.548819444448</v>
      </c>
      <c r="C2480">
        <v>80</v>
      </c>
      <c r="D2480">
        <v>79.981567382999998</v>
      </c>
      <c r="E2480">
        <v>50</v>
      </c>
      <c r="F2480">
        <v>48.552951813</v>
      </c>
      <c r="G2480">
        <v>1336.2896728999999</v>
      </c>
      <c r="H2480">
        <v>1334.8375243999999</v>
      </c>
      <c r="I2480">
        <v>1328.4564209</v>
      </c>
      <c r="J2480">
        <v>1327.3901367000001</v>
      </c>
      <c r="K2480">
        <v>2400</v>
      </c>
      <c r="L2480">
        <v>0</v>
      </c>
      <c r="M2480">
        <v>0</v>
      </c>
      <c r="N2480">
        <v>2400</v>
      </c>
    </row>
    <row r="2481" spans="1:14" x14ac:dyDescent="0.25">
      <c r="A2481">
        <v>1513.8008749999999</v>
      </c>
      <c r="B2481" s="1">
        <f>DATE(2014,6,22) + TIME(19,13,15)</f>
        <v>41812.800868055558</v>
      </c>
      <c r="C2481">
        <v>80</v>
      </c>
      <c r="D2481">
        <v>79.981552124000004</v>
      </c>
      <c r="E2481">
        <v>50</v>
      </c>
      <c r="F2481">
        <v>48.530231475999997</v>
      </c>
      <c r="G2481">
        <v>1336.2875977000001</v>
      </c>
      <c r="H2481">
        <v>1334.8380127</v>
      </c>
      <c r="I2481">
        <v>1328.4455565999999</v>
      </c>
      <c r="J2481">
        <v>1327.3746338000001</v>
      </c>
      <c r="K2481">
        <v>2400</v>
      </c>
      <c r="L2481">
        <v>0</v>
      </c>
      <c r="M2481">
        <v>0</v>
      </c>
      <c r="N2481">
        <v>2400</v>
      </c>
    </row>
    <row r="2482" spans="1:14" x14ac:dyDescent="0.25">
      <c r="A2482">
        <v>1515.0780589999999</v>
      </c>
      <c r="B2482" s="1">
        <f>DATE(2014,6,24) + TIME(1,52,24)</f>
        <v>41814.078055555554</v>
      </c>
      <c r="C2482">
        <v>80</v>
      </c>
      <c r="D2482">
        <v>79.981536864999995</v>
      </c>
      <c r="E2482">
        <v>50</v>
      </c>
      <c r="F2482">
        <v>48.506515503000003</v>
      </c>
      <c r="G2482">
        <v>1336.2855225000001</v>
      </c>
      <c r="H2482">
        <v>1334.8383789</v>
      </c>
      <c r="I2482">
        <v>1328.4342041</v>
      </c>
      <c r="J2482">
        <v>1327.3582764</v>
      </c>
      <c r="K2482">
        <v>2400</v>
      </c>
      <c r="L2482">
        <v>0</v>
      </c>
      <c r="M2482">
        <v>0</v>
      </c>
      <c r="N2482">
        <v>2400</v>
      </c>
    </row>
    <row r="2483" spans="1:14" x14ac:dyDescent="0.25">
      <c r="A2483">
        <v>1516.361232</v>
      </c>
      <c r="B2483" s="1">
        <f>DATE(2014,6,25) + TIME(8,40,10)</f>
        <v>41815.361226851855</v>
      </c>
      <c r="C2483">
        <v>80</v>
      </c>
      <c r="D2483">
        <v>79.981521606000001</v>
      </c>
      <c r="E2483">
        <v>50</v>
      </c>
      <c r="F2483">
        <v>48.482387543000002</v>
      </c>
      <c r="G2483">
        <v>1336.2835693</v>
      </c>
      <c r="H2483">
        <v>1334.8387451000001</v>
      </c>
      <c r="I2483">
        <v>1328.4226074000001</v>
      </c>
      <c r="J2483">
        <v>1327.3415527</v>
      </c>
      <c r="K2483">
        <v>2400</v>
      </c>
      <c r="L2483">
        <v>0</v>
      </c>
      <c r="M2483">
        <v>0</v>
      </c>
      <c r="N2483">
        <v>2400</v>
      </c>
    </row>
    <row r="2484" spans="1:14" x14ac:dyDescent="0.25">
      <c r="A2484">
        <v>1517.645964</v>
      </c>
      <c r="B2484" s="1">
        <f>DATE(2014,6,26) + TIME(15,30,11)</f>
        <v>41816.645960648151</v>
      </c>
      <c r="C2484">
        <v>80</v>
      </c>
      <c r="D2484">
        <v>79.981513977000006</v>
      </c>
      <c r="E2484">
        <v>50</v>
      </c>
      <c r="F2484">
        <v>48.458198547000002</v>
      </c>
      <c r="G2484">
        <v>1336.2816161999999</v>
      </c>
      <c r="H2484">
        <v>1334.8391113</v>
      </c>
      <c r="I2484">
        <v>1328.4110106999999</v>
      </c>
      <c r="J2484">
        <v>1327.3248291</v>
      </c>
      <c r="K2484">
        <v>2400</v>
      </c>
      <c r="L2484">
        <v>0</v>
      </c>
      <c r="M2484">
        <v>0</v>
      </c>
      <c r="N2484">
        <v>2400</v>
      </c>
    </row>
    <row r="2485" spans="1:14" x14ac:dyDescent="0.25">
      <c r="A2485">
        <v>1518.950525</v>
      </c>
      <c r="B2485" s="1">
        <f>DATE(2014,6,27) + TIME(22,48,45)</f>
        <v>41817.950520833336</v>
      </c>
      <c r="C2485">
        <v>80</v>
      </c>
      <c r="D2485">
        <v>79.981498717999997</v>
      </c>
      <c r="E2485">
        <v>50</v>
      </c>
      <c r="F2485">
        <v>48.433982849000003</v>
      </c>
      <c r="G2485">
        <v>1336.2796631000001</v>
      </c>
      <c r="H2485">
        <v>1334.8393555</v>
      </c>
      <c r="I2485">
        <v>1328.3996582</v>
      </c>
      <c r="J2485">
        <v>1327.3082274999999</v>
      </c>
      <c r="K2485">
        <v>2400</v>
      </c>
      <c r="L2485">
        <v>0</v>
      </c>
      <c r="M2485">
        <v>0</v>
      </c>
      <c r="N2485">
        <v>2400</v>
      </c>
    </row>
    <row r="2486" spans="1:14" x14ac:dyDescent="0.25">
      <c r="A2486">
        <v>1520.2729899999999</v>
      </c>
      <c r="B2486" s="1">
        <f>DATE(2014,6,29) + TIME(6,33,6)</f>
        <v>41819.272986111115</v>
      </c>
      <c r="C2486">
        <v>80</v>
      </c>
      <c r="D2486">
        <v>79.981483459000003</v>
      </c>
      <c r="E2486">
        <v>50</v>
      </c>
      <c r="F2486">
        <v>48.409694672000001</v>
      </c>
      <c r="G2486">
        <v>1336.277832</v>
      </c>
      <c r="H2486">
        <v>1334.8397216999999</v>
      </c>
      <c r="I2486">
        <v>1328.3883057</v>
      </c>
      <c r="J2486">
        <v>1327.2917480000001</v>
      </c>
      <c r="K2486">
        <v>2400</v>
      </c>
      <c r="L2486">
        <v>0</v>
      </c>
      <c r="M2486">
        <v>0</v>
      </c>
      <c r="N2486">
        <v>2400</v>
      </c>
    </row>
    <row r="2487" spans="1:14" x14ac:dyDescent="0.25">
      <c r="A2487">
        <v>1521.6094820000001</v>
      </c>
      <c r="B2487" s="1">
        <f>DATE(2014,6,30) + TIME(14,37,39)</f>
        <v>41820.609479166669</v>
      </c>
      <c r="C2487">
        <v>80</v>
      </c>
      <c r="D2487">
        <v>79.981475829999994</v>
      </c>
      <c r="E2487">
        <v>50</v>
      </c>
      <c r="F2487">
        <v>48.385368346999996</v>
      </c>
      <c r="G2487">
        <v>1336.276001</v>
      </c>
      <c r="H2487">
        <v>1334.8399658000001</v>
      </c>
      <c r="I2487">
        <v>1328.3770752</v>
      </c>
      <c r="J2487">
        <v>1327.2753906</v>
      </c>
      <c r="K2487">
        <v>2400</v>
      </c>
      <c r="L2487">
        <v>0</v>
      </c>
      <c r="M2487">
        <v>0</v>
      </c>
      <c r="N2487">
        <v>2400</v>
      </c>
    </row>
    <row r="2488" spans="1:14" x14ac:dyDescent="0.25">
      <c r="A2488">
        <v>1522</v>
      </c>
      <c r="B2488" s="1">
        <f>DATE(2014,7,1) + TIME(0,0,0)</f>
        <v>41821</v>
      </c>
      <c r="C2488">
        <v>80</v>
      </c>
      <c r="D2488">
        <v>79.981460571</v>
      </c>
      <c r="E2488">
        <v>50</v>
      </c>
      <c r="F2488">
        <v>48.372413635000001</v>
      </c>
      <c r="G2488">
        <v>1336.2741699000001</v>
      </c>
      <c r="H2488">
        <v>1334.8402100000001</v>
      </c>
      <c r="I2488">
        <v>1328.3668213000001</v>
      </c>
      <c r="J2488">
        <v>1327.2607422000001</v>
      </c>
      <c r="K2488">
        <v>2400</v>
      </c>
      <c r="L2488">
        <v>0</v>
      </c>
      <c r="M2488">
        <v>0</v>
      </c>
      <c r="N2488">
        <v>2400</v>
      </c>
    </row>
    <row r="2489" spans="1:14" x14ac:dyDescent="0.25">
      <c r="A2489">
        <v>1523.3412840000001</v>
      </c>
      <c r="B2489" s="1">
        <f>DATE(2014,7,2) + TIME(8,11,26)</f>
        <v>41822.341273148151</v>
      </c>
      <c r="C2489">
        <v>80</v>
      </c>
      <c r="D2489">
        <v>79.981460571</v>
      </c>
      <c r="E2489">
        <v>50</v>
      </c>
      <c r="F2489">
        <v>48.352016448999997</v>
      </c>
      <c r="G2489">
        <v>1336.2735596</v>
      </c>
      <c r="H2489">
        <v>1334.840332</v>
      </c>
      <c r="I2489">
        <v>1328.3614502</v>
      </c>
      <c r="J2489">
        <v>1327.2521973</v>
      </c>
      <c r="K2489">
        <v>2400</v>
      </c>
      <c r="L2489">
        <v>0</v>
      </c>
      <c r="M2489">
        <v>0</v>
      </c>
      <c r="N2489">
        <v>2400</v>
      </c>
    </row>
    <row r="2490" spans="1:14" x14ac:dyDescent="0.25">
      <c r="A2490">
        <v>1524.7026949999999</v>
      </c>
      <c r="B2490" s="1">
        <f>DATE(2014,7,3) + TIME(16,51,52)</f>
        <v>41823.702685185184</v>
      </c>
      <c r="C2490">
        <v>80</v>
      </c>
      <c r="D2490">
        <v>79.981452942000004</v>
      </c>
      <c r="E2490">
        <v>50</v>
      </c>
      <c r="F2490">
        <v>48.329338073999999</v>
      </c>
      <c r="G2490">
        <v>1336.2718506000001</v>
      </c>
      <c r="H2490">
        <v>1334.8405762</v>
      </c>
      <c r="I2490">
        <v>1328.3513184000001</v>
      </c>
      <c r="J2490">
        <v>1327.2375488</v>
      </c>
      <c r="K2490">
        <v>2400</v>
      </c>
      <c r="L2490">
        <v>0</v>
      </c>
      <c r="M2490">
        <v>0</v>
      </c>
      <c r="N2490">
        <v>2400</v>
      </c>
    </row>
    <row r="2491" spans="1:14" x14ac:dyDescent="0.25">
      <c r="A2491">
        <v>1526.0844950000001</v>
      </c>
      <c r="B2491" s="1">
        <f>DATE(2014,7,5) + TIME(2,1,40)</f>
        <v>41825.084490740737</v>
      </c>
      <c r="C2491">
        <v>80</v>
      </c>
      <c r="D2491">
        <v>79.981445312000005</v>
      </c>
      <c r="E2491">
        <v>50</v>
      </c>
      <c r="F2491">
        <v>48.305892944</v>
      </c>
      <c r="G2491">
        <v>1336.2700195</v>
      </c>
      <c r="H2491">
        <v>1334.8408202999999</v>
      </c>
      <c r="I2491">
        <v>1328.3408202999999</v>
      </c>
      <c r="J2491">
        <v>1327.222168</v>
      </c>
      <c r="K2491">
        <v>2400</v>
      </c>
      <c r="L2491">
        <v>0</v>
      </c>
      <c r="M2491">
        <v>0</v>
      </c>
      <c r="N2491">
        <v>2400</v>
      </c>
    </row>
    <row r="2492" spans="1:14" x14ac:dyDescent="0.25">
      <c r="A2492">
        <v>1527.4815619999999</v>
      </c>
      <c r="B2492" s="1">
        <f>DATE(2014,7,6) + TIME(11,33,26)</f>
        <v>41826.481550925928</v>
      </c>
      <c r="C2492">
        <v>80</v>
      </c>
      <c r="D2492">
        <v>79.981437682999996</v>
      </c>
      <c r="E2492">
        <v>50</v>
      </c>
      <c r="F2492">
        <v>48.282337189000003</v>
      </c>
      <c r="G2492">
        <v>1336.2681885</v>
      </c>
      <c r="H2492">
        <v>1334.8409423999999</v>
      </c>
      <c r="I2492">
        <v>1328.3302002</v>
      </c>
      <c r="J2492">
        <v>1327.206543</v>
      </c>
      <c r="K2492">
        <v>2400</v>
      </c>
      <c r="L2492">
        <v>0</v>
      </c>
      <c r="M2492">
        <v>0</v>
      </c>
      <c r="N2492">
        <v>2400</v>
      </c>
    </row>
    <row r="2493" spans="1:14" x14ac:dyDescent="0.25">
      <c r="A2493">
        <v>1528.8811499999999</v>
      </c>
      <c r="B2493" s="1">
        <f>DATE(2014,7,7) + TIME(21,8,51)</f>
        <v>41827.881145833337</v>
      </c>
      <c r="C2493">
        <v>80</v>
      </c>
      <c r="D2493">
        <v>79.981430054</v>
      </c>
      <c r="E2493">
        <v>50</v>
      </c>
      <c r="F2493">
        <v>48.259101868000002</v>
      </c>
      <c r="G2493">
        <v>1336.2664795000001</v>
      </c>
      <c r="H2493">
        <v>1334.8410644999999</v>
      </c>
      <c r="I2493">
        <v>1328.3197021000001</v>
      </c>
      <c r="J2493">
        <v>1327.190918</v>
      </c>
      <c r="K2493">
        <v>2400</v>
      </c>
      <c r="L2493">
        <v>0</v>
      </c>
      <c r="M2493">
        <v>0</v>
      </c>
      <c r="N2493">
        <v>2400</v>
      </c>
    </row>
    <row r="2494" spans="1:14" x14ac:dyDescent="0.25">
      <c r="A2494">
        <v>1530.2955139999999</v>
      </c>
      <c r="B2494" s="1">
        <f>DATE(2014,7,9) + TIME(7,5,32)</f>
        <v>41829.29550925926</v>
      </c>
      <c r="C2494">
        <v>80</v>
      </c>
      <c r="D2494">
        <v>79.981422424000002</v>
      </c>
      <c r="E2494">
        <v>50</v>
      </c>
      <c r="F2494">
        <v>48.236454010000003</v>
      </c>
      <c r="G2494">
        <v>1336.2647704999999</v>
      </c>
      <c r="H2494">
        <v>1334.8413086</v>
      </c>
      <c r="I2494">
        <v>1328.3093262</v>
      </c>
      <c r="J2494">
        <v>1327.1754149999999</v>
      </c>
      <c r="K2494">
        <v>2400</v>
      </c>
      <c r="L2494">
        <v>0</v>
      </c>
      <c r="M2494">
        <v>0</v>
      </c>
      <c r="N2494">
        <v>2400</v>
      </c>
    </row>
    <row r="2495" spans="1:14" x14ac:dyDescent="0.25">
      <c r="A2495">
        <v>1531.7330919999999</v>
      </c>
      <c r="B2495" s="1">
        <f>DATE(2014,7,10) + TIME(17,35,39)</f>
        <v>41830.733090277776</v>
      </c>
      <c r="C2495">
        <v>80</v>
      </c>
      <c r="D2495">
        <v>79.981414795000006</v>
      </c>
      <c r="E2495">
        <v>50</v>
      </c>
      <c r="F2495">
        <v>48.214546204000001</v>
      </c>
      <c r="G2495">
        <v>1336.2630615</v>
      </c>
      <c r="H2495">
        <v>1334.8414307</v>
      </c>
      <c r="I2495">
        <v>1328.2991943</v>
      </c>
      <c r="J2495">
        <v>1327.1601562000001</v>
      </c>
      <c r="K2495">
        <v>2400</v>
      </c>
      <c r="L2495">
        <v>0</v>
      </c>
      <c r="M2495">
        <v>0</v>
      </c>
      <c r="N2495">
        <v>2400</v>
      </c>
    </row>
    <row r="2496" spans="1:14" x14ac:dyDescent="0.25">
      <c r="A2496">
        <v>1532.462489</v>
      </c>
      <c r="B2496" s="1">
        <f>DATE(2014,7,11) + TIME(11,5,59)</f>
        <v>41831.462488425925</v>
      </c>
      <c r="C2496">
        <v>80</v>
      </c>
      <c r="D2496">
        <v>79.981407165999997</v>
      </c>
      <c r="E2496">
        <v>50</v>
      </c>
      <c r="F2496">
        <v>48.198856354</v>
      </c>
      <c r="G2496">
        <v>1336.2613524999999</v>
      </c>
      <c r="H2496">
        <v>1334.8415527</v>
      </c>
      <c r="I2496">
        <v>1328.2895507999999</v>
      </c>
      <c r="J2496">
        <v>1327.145874</v>
      </c>
      <c r="K2496">
        <v>2400</v>
      </c>
      <c r="L2496">
        <v>0</v>
      </c>
      <c r="M2496">
        <v>0</v>
      </c>
      <c r="N2496">
        <v>2400</v>
      </c>
    </row>
    <row r="2497" spans="1:14" x14ac:dyDescent="0.25">
      <c r="A2497">
        <v>1533.1918860000001</v>
      </c>
      <c r="B2497" s="1">
        <f>DATE(2014,7,12) + TIME(4,36,18)</f>
        <v>41832.191874999997</v>
      </c>
      <c r="C2497">
        <v>80</v>
      </c>
      <c r="D2497">
        <v>79.981399535999998</v>
      </c>
      <c r="E2497">
        <v>50</v>
      </c>
      <c r="F2497">
        <v>48.186347961000003</v>
      </c>
      <c r="G2497">
        <v>1336.2604980000001</v>
      </c>
      <c r="H2497">
        <v>1334.8415527</v>
      </c>
      <c r="I2497">
        <v>1328.2833252</v>
      </c>
      <c r="J2497">
        <v>1327.1361084</v>
      </c>
      <c r="K2497">
        <v>2400</v>
      </c>
      <c r="L2497">
        <v>0</v>
      </c>
      <c r="M2497">
        <v>0</v>
      </c>
      <c r="N2497">
        <v>2400</v>
      </c>
    </row>
    <row r="2498" spans="1:14" x14ac:dyDescent="0.25">
      <c r="A2498">
        <v>1533.921282</v>
      </c>
      <c r="B2498" s="1">
        <f>DATE(2014,7,12) + TIME(22,6,38)</f>
        <v>41832.921273148146</v>
      </c>
      <c r="C2498">
        <v>80</v>
      </c>
      <c r="D2498">
        <v>79.981399535999998</v>
      </c>
      <c r="E2498">
        <v>50</v>
      </c>
      <c r="F2498">
        <v>48.175731659</v>
      </c>
      <c r="G2498">
        <v>1336.2596435999999</v>
      </c>
      <c r="H2498">
        <v>1334.8415527</v>
      </c>
      <c r="I2498">
        <v>1328.2777100000001</v>
      </c>
      <c r="J2498">
        <v>1327.1274414</v>
      </c>
      <c r="K2498">
        <v>2400</v>
      </c>
      <c r="L2498">
        <v>0</v>
      </c>
      <c r="M2498">
        <v>0</v>
      </c>
      <c r="N2498">
        <v>2400</v>
      </c>
    </row>
    <row r="2499" spans="1:14" x14ac:dyDescent="0.25">
      <c r="A2499">
        <v>1534.6506790000001</v>
      </c>
      <c r="B2499" s="1">
        <f>DATE(2014,7,13) + TIME(15,36,58)</f>
        <v>41833.650671296295</v>
      </c>
      <c r="C2499">
        <v>80</v>
      </c>
      <c r="D2499">
        <v>79.981399535999998</v>
      </c>
      <c r="E2499">
        <v>50</v>
      </c>
      <c r="F2499">
        <v>48.166412354000002</v>
      </c>
      <c r="G2499">
        <v>1336.2587891000001</v>
      </c>
      <c r="H2499">
        <v>1334.8416748</v>
      </c>
      <c r="I2499">
        <v>1328.2725829999999</v>
      </c>
      <c r="J2499">
        <v>1327.1195068</v>
      </c>
      <c r="K2499">
        <v>2400</v>
      </c>
      <c r="L2499">
        <v>0</v>
      </c>
      <c r="M2499">
        <v>0</v>
      </c>
      <c r="N2499">
        <v>2400</v>
      </c>
    </row>
    <row r="2500" spans="1:14" x14ac:dyDescent="0.25">
      <c r="A2500">
        <v>1535.380075</v>
      </c>
      <c r="B2500" s="1">
        <f>DATE(2014,7,14) + TIME(9,7,18)</f>
        <v>41834.380069444444</v>
      </c>
      <c r="C2500">
        <v>80</v>
      </c>
      <c r="D2500">
        <v>79.981391907000003</v>
      </c>
      <c r="E2500">
        <v>50</v>
      </c>
      <c r="F2500">
        <v>48.158126830999997</v>
      </c>
      <c r="G2500">
        <v>1336.2580565999999</v>
      </c>
      <c r="H2500">
        <v>1334.8416748</v>
      </c>
      <c r="I2500">
        <v>1328.2675781</v>
      </c>
      <c r="J2500">
        <v>1327.1119385</v>
      </c>
      <c r="K2500">
        <v>2400</v>
      </c>
      <c r="L2500">
        <v>0</v>
      </c>
      <c r="M2500">
        <v>0</v>
      </c>
      <c r="N2500">
        <v>2400</v>
      </c>
    </row>
    <row r="2501" spans="1:14" x14ac:dyDescent="0.25">
      <c r="A2501">
        <v>1536.8388689999999</v>
      </c>
      <c r="B2501" s="1">
        <f>DATE(2014,7,15) + TIME(20,7,58)</f>
        <v>41835.838865740741</v>
      </c>
      <c r="C2501">
        <v>80</v>
      </c>
      <c r="D2501">
        <v>79.981399535999998</v>
      </c>
      <c r="E2501">
        <v>50</v>
      </c>
      <c r="F2501">
        <v>48.148384094000001</v>
      </c>
      <c r="G2501">
        <v>1336.2572021000001</v>
      </c>
      <c r="H2501">
        <v>1334.8416748</v>
      </c>
      <c r="I2501">
        <v>1328.2625731999999</v>
      </c>
      <c r="J2501">
        <v>1327.1040039</v>
      </c>
      <c r="K2501">
        <v>2400</v>
      </c>
      <c r="L2501">
        <v>0</v>
      </c>
      <c r="M2501">
        <v>0</v>
      </c>
      <c r="N2501">
        <v>2400</v>
      </c>
    </row>
    <row r="2502" spans="1:14" x14ac:dyDescent="0.25">
      <c r="A2502">
        <v>1538.3100219999999</v>
      </c>
      <c r="B2502" s="1">
        <f>DATE(2014,7,17) + TIME(7,26,25)</f>
        <v>41837.310011574074</v>
      </c>
      <c r="C2502">
        <v>80</v>
      </c>
      <c r="D2502">
        <v>79.981399535999998</v>
      </c>
      <c r="E2502">
        <v>50</v>
      </c>
      <c r="F2502">
        <v>48.137954712000003</v>
      </c>
      <c r="G2502">
        <v>1336.2554932</v>
      </c>
      <c r="H2502">
        <v>1334.8416748</v>
      </c>
      <c r="I2502">
        <v>1328.2548827999999</v>
      </c>
      <c r="J2502">
        <v>1327.0925293</v>
      </c>
      <c r="K2502">
        <v>2400</v>
      </c>
      <c r="L2502">
        <v>0</v>
      </c>
      <c r="M2502">
        <v>0</v>
      </c>
      <c r="N2502">
        <v>2400</v>
      </c>
    </row>
    <row r="2503" spans="1:14" x14ac:dyDescent="0.25">
      <c r="A2503">
        <v>1539.0845280000001</v>
      </c>
      <c r="B2503" s="1">
        <f>DATE(2014,7,18) + TIME(2,1,43)</f>
        <v>41838.08452546296</v>
      </c>
      <c r="C2503">
        <v>80</v>
      </c>
      <c r="D2503">
        <v>79.981391907000003</v>
      </c>
      <c r="E2503">
        <v>50</v>
      </c>
      <c r="F2503">
        <v>48.132061004999997</v>
      </c>
      <c r="G2503">
        <v>1336.2537841999999</v>
      </c>
      <c r="H2503">
        <v>1334.8416748</v>
      </c>
      <c r="I2503">
        <v>1328.2469481999999</v>
      </c>
      <c r="J2503">
        <v>1327.0802002</v>
      </c>
      <c r="K2503">
        <v>2400</v>
      </c>
      <c r="L2503">
        <v>0</v>
      </c>
      <c r="M2503">
        <v>0</v>
      </c>
      <c r="N2503">
        <v>2400</v>
      </c>
    </row>
    <row r="2504" spans="1:14" x14ac:dyDescent="0.25">
      <c r="A2504">
        <v>1539.8590340000001</v>
      </c>
      <c r="B2504" s="1">
        <f>DATE(2014,7,18) + TIME(20,37,0)</f>
        <v>41838.859027777777</v>
      </c>
      <c r="C2504">
        <v>80</v>
      </c>
      <c r="D2504">
        <v>79.981384277000004</v>
      </c>
      <c r="E2504">
        <v>50</v>
      </c>
      <c r="F2504">
        <v>48.129081726000003</v>
      </c>
      <c r="G2504">
        <v>1336.2530518000001</v>
      </c>
      <c r="H2504">
        <v>1334.8416748</v>
      </c>
      <c r="I2504">
        <v>1328.2414550999999</v>
      </c>
      <c r="J2504">
        <v>1327.0712891000001</v>
      </c>
      <c r="K2504">
        <v>2400</v>
      </c>
      <c r="L2504">
        <v>0</v>
      </c>
      <c r="M2504">
        <v>0</v>
      </c>
      <c r="N2504">
        <v>2400</v>
      </c>
    </row>
    <row r="2505" spans="1:14" x14ac:dyDescent="0.25">
      <c r="A2505">
        <v>1540.6335389999999</v>
      </c>
      <c r="B2505" s="1">
        <f>DATE(2014,7,19) + TIME(15,12,17)</f>
        <v>41839.633530092593</v>
      </c>
      <c r="C2505">
        <v>80</v>
      </c>
      <c r="D2505">
        <v>79.981384277000004</v>
      </c>
      <c r="E2505">
        <v>50</v>
      </c>
      <c r="F2505">
        <v>48.128532409999998</v>
      </c>
      <c r="G2505">
        <v>1336.2521973</v>
      </c>
      <c r="H2505">
        <v>1334.8416748</v>
      </c>
      <c r="I2505">
        <v>1328.2365723</v>
      </c>
      <c r="J2505">
        <v>1327.0634766000001</v>
      </c>
      <c r="K2505">
        <v>2400</v>
      </c>
      <c r="L2505">
        <v>0</v>
      </c>
      <c r="M2505">
        <v>0</v>
      </c>
      <c r="N2505">
        <v>2400</v>
      </c>
    </row>
    <row r="2506" spans="1:14" x14ac:dyDescent="0.25">
      <c r="A2506">
        <v>1541.4080449999999</v>
      </c>
      <c r="B2506" s="1">
        <f>DATE(2014,7,20) + TIME(9,47,35)</f>
        <v>41840.408043981479</v>
      </c>
      <c r="C2506">
        <v>80</v>
      </c>
      <c r="D2506">
        <v>79.981384277000004</v>
      </c>
      <c r="E2506">
        <v>50</v>
      </c>
      <c r="F2506">
        <v>48.130298615000001</v>
      </c>
      <c r="G2506">
        <v>1336.2513428</v>
      </c>
      <c r="H2506">
        <v>1334.8416748</v>
      </c>
      <c r="I2506">
        <v>1328.2319336</v>
      </c>
      <c r="J2506">
        <v>1327.0561522999999</v>
      </c>
      <c r="K2506">
        <v>2400</v>
      </c>
      <c r="L2506">
        <v>0</v>
      </c>
      <c r="M2506">
        <v>0</v>
      </c>
      <c r="N2506">
        <v>2400</v>
      </c>
    </row>
    <row r="2507" spans="1:14" x14ac:dyDescent="0.25">
      <c r="A2507">
        <v>1542.18255</v>
      </c>
      <c r="B2507" s="1">
        <f>DATE(2014,7,21) + TIME(4,22,52)</f>
        <v>41841.182546296295</v>
      </c>
      <c r="C2507">
        <v>80</v>
      </c>
      <c r="D2507">
        <v>79.981384277000004</v>
      </c>
      <c r="E2507">
        <v>50</v>
      </c>
      <c r="F2507">
        <v>48.134460449000002</v>
      </c>
      <c r="G2507">
        <v>1336.2506103999999</v>
      </c>
      <c r="H2507">
        <v>1334.8416748</v>
      </c>
      <c r="I2507">
        <v>1328.2276611</v>
      </c>
      <c r="J2507">
        <v>1327.0491943</v>
      </c>
      <c r="K2507">
        <v>2400</v>
      </c>
      <c r="L2507">
        <v>0</v>
      </c>
      <c r="M2507">
        <v>0</v>
      </c>
      <c r="N2507">
        <v>2400</v>
      </c>
    </row>
    <row r="2508" spans="1:14" x14ac:dyDescent="0.25">
      <c r="A2508">
        <v>1542.957056</v>
      </c>
      <c r="B2508" s="1">
        <f>DATE(2014,7,21) + TIME(22,58,9)</f>
        <v>41841.957048611112</v>
      </c>
      <c r="C2508">
        <v>80</v>
      </c>
      <c r="D2508">
        <v>79.981384277000004</v>
      </c>
      <c r="E2508">
        <v>50</v>
      </c>
      <c r="F2508">
        <v>48.141204834</v>
      </c>
      <c r="G2508">
        <v>1336.2497559000001</v>
      </c>
      <c r="H2508">
        <v>1334.8415527</v>
      </c>
      <c r="I2508">
        <v>1328.2235106999999</v>
      </c>
      <c r="J2508">
        <v>1327.0424805</v>
      </c>
      <c r="K2508">
        <v>2400</v>
      </c>
      <c r="L2508">
        <v>0</v>
      </c>
      <c r="M2508">
        <v>0</v>
      </c>
      <c r="N2508">
        <v>2400</v>
      </c>
    </row>
    <row r="2509" spans="1:14" x14ac:dyDescent="0.25">
      <c r="A2509">
        <v>1543.7315619999999</v>
      </c>
      <c r="B2509" s="1">
        <f>DATE(2014,7,22) + TIME(17,33,26)</f>
        <v>41842.731550925928</v>
      </c>
      <c r="C2509">
        <v>80</v>
      </c>
      <c r="D2509">
        <v>79.981384277000004</v>
      </c>
      <c r="E2509">
        <v>50</v>
      </c>
      <c r="F2509">
        <v>48.150779724000003</v>
      </c>
      <c r="G2509">
        <v>1336.2489014</v>
      </c>
      <c r="H2509">
        <v>1334.8415527</v>
      </c>
      <c r="I2509">
        <v>1328.2194824000001</v>
      </c>
      <c r="J2509">
        <v>1327.0358887</v>
      </c>
      <c r="K2509">
        <v>2400</v>
      </c>
      <c r="L2509">
        <v>0</v>
      </c>
      <c r="M2509">
        <v>0</v>
      </c>
      <c r="N2509">
        <v>2400</v>
      </c>
    </row>
    <row r="2510" spans="1:14" x14ac:dyDescent="0.25">
      <c r="A2510">
        <v>1545.280573</v>
      </c>
      <c r="B2510" s="1">
        <f>DATE(2014,7,24) + TIME(6,44,1)</f>
        <v>41844.28056712963</v>
      </c>
      <c r="C2510">
        <v>80</v>
      </c>
      <c r="D2510">
        <v>79.981391907000003</v>
      </c>
      <c r="E2510">
        <v>50</v>
      </c>
      <c r="F2510">
        <v>48.167415619000003</v>
      </c>
      <c r="G2510">
        <v>1336.2480469</v>
      </c>
      <c r="H2510">
        <v>1334.8414307</v>
      </c>
      <c r="I2510">
        <v>1328.215332</v>
      </c>
      <c r="J2510">
        <v>1327.0290527</v>
      </c>
      <c r="K2510">
        <v>2400</v>
      </c>
      <c r="L2510">
        <v>0</v>
      </c>
      <c r="M2510">
        <v>0</v>
      </c>
      <c r="N2510">
        <v>2400</v>
      </c>
    </row>
    <row r="2511" spans="1:14" x14ac:dyDescent="0.25">
      <c r="A2511">
        <v>1546.8509730000001</v>
      </c>
      <c r="B2511" s="1">
        <f>DATE(2014,7,25) + TIME(20,25,24)</f>
        <v>41845.850972222222</v>
      </c>
      <c r="C2511">
        <v>80</v>
      </c>
      <c r="D2511">
        <v>79.981391907000003</v>
      </c>
      <c r="E2511">
        <v>50</v>
      </c>
      <c r="F2511">
        <v>48.199146270999996</v>
      </c>
      <c r="G2511">
        <v>1336.2464600000001</v>
      </c>
      <c r="H2511">
        <v>1334.8413086</v>
      </c>
      <c r="I2511">
        <v>1328.2093506000001</v>
      </c>
      <c r="J2511">
        <v>1327.0191649999999</v>
      </c>
      <c r="K2511">
        <v>2400</v>
      </c>
      <c r="L2511">
        <v>0</v>
      </c>
      <c r="M2511">
        <v>0</v>
      </c>
      <c r="N2511">
        <v>2400</v>
      </c>
    </row>
    <row r="2512" spans="1:14" x14ac:dyDescent="0.25">
      <c r="A2512">
        <v>1548.4867039999999</v>
      </c>
      <c r="B2512" s="1">
        <f>DATE(2014,7,27) + TIME(11,40,51)</f>
        <v>41847.486701388887</v>
      </c>
      <c r="C2512">
        <v>80</v>
      </c>
      <c r="D2512">
        <v>79.981391907000003</v>
      </c>
      <c r="E2512">
        <v>50</v>
      </c>
      <c r="F2512">
        <v>48.247810364000003</v>
      </c>
      <c r="G2512">
        <v>1336.244751</v>
      </c>
      <c r="H2512">
        <v>1334.8411865</v>
      </c>
      <c r="I2512">
        <v>1328.2027588000001</v>
      </c>
      <c r="J2512">
        <v>1327.0079346</v>
      </c>
      <c r="K2512">
        <v>2400</v>
      </c>
      <c r="L2512">
        <v>0</v>
      </c>
      <c r="M2512">
        <v>0</v>
      </c>
      <c r="N2512">
        <v>2400</v>
      </c>
    </row>
    <row r="2513" spans="1:14" x14ac:dyDescent="0.25">
      <c r="A2513">
        <v>1549.3163030000001</v>
      </c>
      <c r="B2513" s="1">
        <f>DATE(2014,7,28) + TIME(7,35,28)</f>
        <v>41848.316296296296</v>
      </c>
      <c r="C2513">
        <v>80</v>
      </c>
      <c r="D2513">
        <v>79.981384277000004</v>
      </c>
      <c r="E2513">
        <v>50</v>
      </c>
      <c r="F2513">
        <v>48.301708220999998</v>
      </c>
      <c r="G2513">
        <v>1336.2431641000001</v>
      </c>
      <c r="H2513">
        <v>1334.8410644999999</v>
      </c>
      <c r="I2513">
        <v>1328.1966553</v>
      </c>
      <c r="J2513">
        <v>1326.9971923999999</v>
      </c>
      <c r="K2513">
        <v>2400</v>
      </c>
      <c r="L2513">
        <v>0</v>
      </c>
      <c r="M2513">
        <v>0</v>
      </c>
      <c r="N2513">
        <v>2400</v>
      </c>
    </row>
    <row r="2514" spans="1:14" x14ac:dyDescent="0.25">
      <c r="A2514">
        <v>1550.9022990000001</v>
      </c>
      <c r="B2514" s="1">
        <f>DATE(2014,7,29) + TIME(21,39,18)</f>
        <v>41849.902291666665</v>
      </c>
      <c r="C2514">
        <v>80</v>
      </c>
      <c r="D2514">
        <v>79.981391907000003</v>
      </c>
      <c r="E2514">
        <v>50</v>
      </c>
      <c r="F2514">
        <v>48.369262695000003</v>
      </c>
      <c r="G2514">
        <v>1336.2423096</v>
      </c>
      <c r="H2514">
        <v>1334.8409423999999</v>
      </c>
      <c r="I2514">
        <v>1328.1918945</v>
      </c>
      <c r="J2514">
        <v>1326.9892577999999</v>
      </c>
      <c r="K2514">
        <v>2400</v>
      </c>
      <c r="L2514">
        <v>0</v>
      </c>
      <c r="M2514">
        <v>0</v>
      </c>
      <c r="N2514">
        <v>2400</v>
      </c>
    </row>
    <row r="2515" spans="1:14" x14ac:dyDescent="0.25">
      <c r="A2515">
        <v>1552.519106</v>
      </c>
      <c r="B2515" s="1">
        <f>DATE(2014,7,31) + TIME(12,27,30)</f>
        <v>41851.519097222219</v>
      </c>
      <c r="C2515">
        <v>80</v>
      </c>
      <c r="D2515">
        <v>79.981391907000003</v>
      </c>
      <c r="E2515">
        <v>50</v>
      </c>
      <c r="F2515">
        <v>48.469558716000002</v>
      </c>
      <c r="G2515">
        <v>1336.2407227000001</v>
      </c>
      <c r="H2515">
        <v>1334.8408202999999</v>
      </c>
      <c r="I2515">
        <v>1328.1866454999999</v>
      </c>
      <c r="J2515">
        <v>1326.9798584</v>
      </c>
      <c r="K2515">
        <v>2400</v>
      </c>
      <c r="L2515">
        <v>0</v>
      </c>
      <c r="M2515">
        <v>0</v>
      </c>
      <c r="N2515">
        <v>2400</v>
      </c>
    </row>
    <row r="2516" spans="1:14" x14ac:dyDescent="0.25">
      <c r="A2516">
        <v>1553</v>
      </c>
      <c r="B2516" s="1">
        <f>DATE(2014,8,1) + TIME(0,0,0)</f>
        <v>41852</v>
      </c>
      <c r="C2516">
        <v>80</v>
      </c>
      <c r="D2516">
        <v>79.981384277000004</v>
      </c>
      <c r="E2516">
        <v>50</v>
      </c>
      <c r="F2516">
        <v>48.547042847</v>
      </c>
      <c r="G2516">
        <v>1336.2391356999999</v>
      </c>
      <c r="H2516">
        <v>1334.8405762</v>
      </c>
      <c r="I2516">
        <v>1328.1826172000001</v>
      </c>
      <c r="J2516">
        <v>1326.9714355000001</v>
      </c>
      <c r="K2516">
        <v>2400</v>
      </c>
      <c r="L2516">
        <v>0</v>
      </c>
      <c r="M2516">
        <v>0</v>
      </c>
      <c r="N2516">
        <v>2400</v>
      </c>
    </row>
    <row r="2517" spans="1:14" x14ac:dyDescent="0.25">
      <c r="A2517">
        <v>1554.6511419999999</v>
      </c>
      <c r="B2517" s="1">
        <f>DATE(2014,8,2) + TIME(15,37,38)</f>
        <v>41853.651134259257</v>
      </c>
      <c r="C2517">
        <v>80</v>
      </c>
      <c r="D2517">
        <v>79.981391907000003</v>
      </c>
      <c r="E2517">
        <v>50</v>
      </c>
      <c r="F2517">
        <v>48.662147521999998</v>
      </c>
      <c r="G2517">
        <v>1336.2386475000001</v>
      </c>
      <c r="H2517">
        <v>1334.8404541</v>
      </c>
      <c r="I2517">
        <v>1328.1790771000001</v>
      </c>
      <c r="J2517">
        <v>1326.9664307</v>
      </c>
      <c r="K2517">
        <v>2400</v>
      </c>
      <c r="L2517">
        <v>0</v>
      </c>
      <c r="M2517">
        <v>0</v>
      </c>
      <c r="N2517">
        <v>2400</v>
      </c>
    </row>
    <row r="2518" spans="1:14" x14ac:dyDescent="0.25">
      <c r="A2518">
        <v>1555.504036</v>
      </c>
      <c r="B2518" s="1">
        <f>DATE(2014,8,3) + TIME(12,5,48)</f>
        <v>41854.504027777781</v>
      </c>
      <c r="C2518">
        <v>80</v>
      </c>
      <c r="D2518">
        <v>79.981384277000004</v>
      </c>
      <c r="E2518">
        <v>50</v>
      </c>
      <c r="F2518">
        <v>48.796188354000002</v>
      </c>
      <c r="G2518">
        <v>1336.2370605000001</v>
      </c>
      <c r="H2518">
        <v>1334.8402100000001</v>
      </c>
      <c r="I2518">
        <v>1328.1757812000001</v>
      </c>
      <c r="J2518">
        <v>1326.9591064000001</v>
      </c>
      <c r="K2518">
        <v>2400</v>
      </c>
      <c r="L2518">
        <v>0</v>
      </c>
      <c r="M2518">
        <v>0</v>
      </c>
      <c r="N2518">
        <v>2400</v>
      </c>
    </row>
    <row r="2519" spans="1:14" x14ac:dyDescent="0.25">
      <c r="A2519">
        <v>1557.047577</v>
      </c>
      <c r="B2519" s="1">
        <f>DATE(2014,8,5) + TIME(1,8,30)</f>
        <v>41856.047569444447</v>
      </c>
      <c r="C2519">
        <v>80</v>
      </c>
      <c r="D2519">
        <v>79.981391907000003</v>
      </c>
      <c r="E2519">
        <v>50</v>
      </c>
      <c r="F2519">
        <v>48.951885222999998</v>
      </c>
      <c r="G2519">
        <v>1336.2362060999999</v>
      </c>
      <c r="H2519">
        <v>1334.8400879000001</v>
      </c>
      <c r="I2519">
        <v>1328.1722411999999</v>
      </c>
      <c r="J2519">
        <v>1326.9536132999999</v>
      </c>
      <c r="K2519">
        <v>2400</v>
      </c>
      <c r="L2519">
        <v>0</v>
      </c>
      <c r="M2519">
        <v>0</v>
      </c>
      <c r="N2519">
        <v>2400</v>
      </c>
    </row>
    <row r="2520" spans="1:14" x14ac:dyDescent="0.25">
      <c r="A2520">
        <v>1558.7023549999999</v>
      </c>
      <c r="B2520" s="1">
        <f>DATE(2014,8,6) + TIME(16,51,23)</f>
        <v>41857.702349537038</v>
      </c>
      <c r="C2520">
        <v>80</v>
      </c>
      <c r="D2520">
        <v>79.981399535999998</v>
      </c>
      <c r="E2520">
        <v>50</v>
      </c>
      <c r="F2520">
        <v>49.164447783999996</v>
      </c>
      <c r="G2520">
        <v>1336.2347411999999</v>
      </c>
      <c r="H2520">
        <v>1334.8398437999999</v>
      </c>
      <c r="I2520">
        <v>1328.1690673999999</v>
      </c>
      <c r="J2520">
        <v>1326.9472656</v>
      </c>
      <c r="K2520">
        <v>2400</v>
      </c>
      <c r="L2520">
        <v>0</v>
      </c>
      <c r="M2520">
        <v>0</v>
      </c>
      <c r="N2520">
        <v>2400</v>
      </c>
    </row>
    <row r="2521" spans="1:14" x14ac:dyDescent="0.25">
      <c r="A2521">
        <v>1560.414614</v>
      </c>
      <c r="B2521" s="1">
        <f>DATE(2014,8,8) + TIME(9,57,2)</f>
        <v>41859.414606481485</v>
      </c>
      <c r="C2521">
        <v>80</v>
      </c>
      <c r="D2521">
        <v>79.981399535999998</v>
      </c>
      <c r="E2521">
        <v>50</v>
      </c>
      <c r="F2521">
        <v>49.434459685999997</v>
      </c>
      <c r="G2521">
        <v>1336.2331543</v>
      </c>
      <c r="H2521">
        <v>1334.8394774999999</v>
      </c>
      <c r="I2521">
        <v>1328.1658935999999</v>
      </c>
      <c r="J2521">
        <v>1326.9410399999999</v>
      </c>
      <c r="K2521">
        <v>2400</v>
      </c>
      <c r="L2521">
        <v>0</v>
      </c>
      <c r="M2521">
        <v>0</v>
      </c>
      <c r="N2521">
        <v>2400</v>
      </c>
    </row>
    <row r="2522" spans="1:14" x14ac:dyDescent="0.25">
      <c r="A2522">
        <v>1562.166491</v>
      </c>
      <c r="B2522" s="1">
        <f>DATE(2014,8,10) + TIME(3,59,44)</f>
        <v>41861.166481481479</v>
      </c>
      <c r="C2522">
        <v>80</v>
      </c>
      <c r="D2522">
        <v>79.981407165999997</v>
      </c>
      <c r="E2522">
        <v>50</v>
      </c>
      <c r="F2522">
        <v>49.747539519999997</v>
      </c>
      <c r="G2522">
        <v>1336.2315673999999</v>
      </c>
      <c r="H2522">
        <v>1334.8392334</v>
      </c>
      <c r="I2522">
        <v>1328.1630858999999</v>
      </c>
      <c r="J2522">
        <v>1326.9353027</v>
      </c>
      <c r="K2522">
        <v>2400</v>
      </c>
      <c r="L2522">
        <v>0</v>
      </c>
      <c r="M2522">
        <v>0</v>
      </c>
      <c r="N2522">
        <v>2400</v>
      </c>
    </row>
    <row r="2523" spans="1:14" x14ac:dyDescent="0.25">
      <c r="A2523">
        <v>1563.9374519999999</v>
      </c>
      <c r="B2523" s="1">
        <f>DATE(2014,8,11) + TIME(22,29,55)</f>
        <v>41862.937442129631</v>
      </c>
      <c r="C2523">
        <v>80</v>
      </c>
      <c r="D2523">
        <v>79.981407165999997</v>
      </c>
      <c r="E2523">
        <v>50</v>
      </c>
      <c r="F2523">
        <v>50.103214264000002</v>
      </c>
      <c r="G2523">
        <v>1336.2298584</v>
      </c>
      <c r="H2523">
        <v>1334.8388672000001</v>
      </c>
      <c r="I2523">
        <v>1328.1606445</v>
      </c>
      <c r="J2523">
        <v>1326.9304199000001</v>
      </c>
      <c r="K2523">
        <v>2400</v>
      </c>
      <c r="L2523">
        <v>0</v>
      </c>
      <c r="M2523">
        <v>0</v>
      </c>
      <c r="N2523">
        <v>2400</v>
      </c>
    </row>
    <row r="2524" spans="1:14" x14ac:dyDescent="0.25">
      <c r="A2524">
        <v>1565.7869599999999</v>
      </c>
      <c r="B2524" s="1">
        <f>DATE(2014,8,13) + TIME(18,53,13)</f>
        <v>41864.786956018521</v>
      </c>
      <c r="C2524">
        <v>80</v>
      </c>
      <c r="D2524">
        <v>79.981414795000006</v>
      </c>
      <c r="E2524">
        <v>50</v>
      </c>
      <c r="F2524">
        <v>50.503551483000003</v>
      </c>
      <c r="G2524">
        <v>1336.2282714999999</v>
      </c>
      <c r="H2524">
        <v>1334.838501</v>
      </c>
      <c r="I2524">
        <v>1328.1585693</v>
      </c>
      <c r="J2524">
        <v>1326.9262695</v>
      </c>
      <c r="K2524">
        <v>2400</v>
      </c>
      <c r="L2524">
        <v>0</v>
      </c>
      <c r="M2524">
        <v>0</v>
      </c>
      <c r="N2524">
        <v>2400</v>
      </c>
    </row>
    <row r="2525" spans="1:14" x14ac:dyDescent="0.25">
      <c r="A2525">
        <v>1567.673509</v>
      </c>
      <c r="B2525" s="1">
        <f>DATE(2014,8,15) + TIME(16,9,51)</f>
        <v>41866.673506944448</v>
      </c>
      <c r="C2525">
        <v>80</v>
      </c>
      <c r="D2525">
        <v>79.981422424000002</v>
      </c>
      <c r="E2525">
        <v>50</v>
      </c>
      <c r="F2525">
        <v>50.950401306000003</v>
      </c>
      <c r="G2525">
        <v>1336.2265625</v>
      </c>
      <c r="H2525">
        <v>1334.8381348</v>
      </c>
      <c r="I2525">
        <v>1328.1568603999999</v>
      </c>
      <c r="J2525">
        <v>1326.9228516000001</v>
      </c>
      <c r="K2525">
        <v>2400</v>
      </c>
      <c r="L2525">
        <v>0</v>
      </c>
      <c r="M2525">
        <v>0</v>
      </c>
      <c r="N2525">
        <v>2400</v>
      </c>
    </row>
    <row r="2526" spans="1:14" x14ac:dyDescent="0.25">
      <c r="A2526">
        <v>1569.644736</v>
      </c>
      <c r="B2526" s="1">
        <f>DATE(2014,8,17) + TIME(15,28,25)</f>
        <v>41868.644733796296</v>
      </c>
      <c r="C2526">
        <v>80</v>
      </c>
      <c r="D2526">
        <v>79.981430054</v>
      </c>
      <c r="E2526">
        <v>50</v>
      </c>
      <c r="F2526">
        <v>51.435916900999999</v>
      </c>
      <c r="G2526">
        <v>1336.2248535000001</v>
      </c>
      <c r="H2526">
        <v>1334.8376464999999</v>
      </c>
      <c r="I2526">
        <v>1328.1555175999999</v>
      </c>
      <c r="J2526">
        <v>1326.9202881000001</v>
      </c>
      <c r="K2526">
        <v>2400</v>
      </c>
      <c r="L2526">
        <v>0</v>
      </c>
      <c r="M2526">
        <v>0</v>
      </c>
      <c r="N2526">
        <v>2400</v>
      </c>
    </row>
    <row r="2527" spans="1:14" x14ac:dyDescent="0.25">
      <c r="A2527">
        <v>1571.6561160000001</v>
      </c>
      <c r="B2527" s="1">
        <f>DATE(2014,8,19) + TIME(15,44,48)</f>
        <v>41870.656111111108</v>
      </c>
      <c r="C2527">
        <v>80</v>
      </c>
      <c r="D2527">
        <v>79.981430054</v>
      </c>
      <c r="E2527">
        <v>50</v>
      </c>
      <c r="F2527">
        <v>51.954956054999997</v>
      </c>
      <c r="G2527">
        <v>1336.2231445</v>
      </c>
      <c r="H2527">
        <v>1334.8372803</v>
      </c>
      <c r="I2527">
        <v>1328.1545410000001</v>
      </c>
      <c r="J2527">
        <v>1326.9183350000001</v>
      </c>
      <c r="K2527">
        <v>2400</v>
      </c>
      <c r="L2527">
        <v>0</v>
      </c>
      <c r="M2527">
        <v>0</v>
      </c>
      <c r="N2527">
        <v>2400</v>
      </c>
    </row>
    <row r="2528" spans="1:14" x14ac:dyDescent="0.25">
      <c r="A2528">
        <v>1573.731</v>
      </c>
      <c r="B2528" s="1">
        <f>DATE(2014,8,21) + TIME(17,32,38)</f>
        <v>41872.730995370373</v>
      </c>
      <c r="C2528">
        <v>80</v>
      </c>
      <c r="D2528">
        <v>79.981437682999996</v>
      </c>
      <c r="E2528">
        <v>50</v>
      </c>
      <c r="F2528">
        <v>52.494426726999997</v>
      </c>
      <c r="G2528">
        <v>1336.2214355000001</v>
      </c>
      <c r="H2528">
        <v>1334.8367920000001</v>
      </c>
      <c r="I2528">
        <v>1328.1538086</v>
      </c>
      <c r="J2528">
        <v>1326.9169922000001</v>
      </c>
      <c r="K2528">
        <v>2400</v>
      </c>
      <c r="L2528">
        <v>0</v>
      </c>
      <c r="M2528">
        <v>0</v>
      </c>
      <c r="N2528">
        <v>2400</v>
      </c>
    </row>
    <row r="2529" spans="1:14" x14ac:dyDescent="0.25">
      <c r="A2529">
        <v>1575.8525770000001</v>
      </c>
      <c r="B2529" s="1">
        <f>DATE(2014,8,23) + TIME(20,27,42)</f>
        <v>41874.852569444447</v>
      </c>
      <c r="C2529">
        <v>80</v>
      </c>
      <c r="D2529">
        <v>79.981445312000005</v>
      </c>
      <c r="E2529">
        <v>50</v>
      </c>
      <c r="F2529">
        <v>53.046852112000003</v>
      </c>
      <c r="G2529">
        <v>1336.2196045000001</v>
      </c>
      <c r="H2529">
        <v>1334.8363036999999</v>
      </c>
      <c r="I2529">
        <v>1328.1533202999999</v>
      </c>
      <c r="J2529">
        <v>1326.9161377</v>
      </c>
      <c r="K2529">
        <v>2400</v>
      </c>
      <c r="L2529">
        <v>0</v>
      </c>
      <c r="M2529">
        <v>0</v>
      </c>
      <c r="N2529">
        <v>2400</v>
      </c>
    </row>
    <row r="2530" spans="1:14" x14ac:dyDescent="0.25">
      <c r="A2530">
        <v>1578.0232140000001</v>
      </c>
      <c r="B2530" s="1">
        <f>DATE(2014,8,26) + TIME(0,33,25)</f>
        <v>41877.023206018515</v>
      </c>
      <c r="C2530">
        <v>80</v>
      </c>
      <c r="D2530">
        <v>79.981452942000004</v>
      </c>
      <c r="E2530">
        <v>50</v>
      </c>
      <c r="F2530">
        <v>53.598640441999997</v>
      </c>
      <c r="G2530">
        <v>1336.2177733999999</v>
      </c>
      <c r="H2530">
        <v>1334.8356934000001</v>
      </c>
      <c r="I2530">
        <v>1328.1530762</v>
      </c>
      <c r="J2530">
        <v>1326.9156493999999</v>
      </c>
      <c r="K2530">
        <v>2400</v>
      </c>
      <c r="L2530">
        <v>0</v>
      </c>
      <c r="M2530">
        <v>0</v>
      </c>
      <c r="N2530">
        <v>2400</v>
      </c>
    </row>
    <row r="2531" spans="1:14" x14ac:dyDescent="0.25">
      <c r="A2531">
        <v>1580.248014</v>
      </c>
      <c r="B2531" s="1">
        <f>DATE(2014,8,28) + TIME(5,57,8)</f>
        <v>41879.24800925926</v>
      </c>
      <c r="C2531">
        <v>80</v>
      </c>
      <c r="D2531">
        <v>79.981468200999998</v>
      </c>
      <c r="E2531">
        <v>50</v>
      </c>
      <c r="F2531">
        <v>54.140178679999998</v>
      </c>
      <c r="G2531">
        <v>1336.2160644999999</v>
      </c>
      <c r="H2531">
        <v>1334.8352050999999</v>
      </c>
      <c r="I2531">
        <v>1328.1529541</v>
      </c>
      <c r="J2531">
        <v>1326.9152832</v>
      </c>
      <c r="K2531">
        <v>2400</v>
      </c>
      <c r="L2531">
        <v>0</v>
      </c>
      <c r="M2531">
        <v>0</v>
      </c>
      <c r="N2531">
        <v>2400</v>
      </c>
    </row>
    <row r="2532" spans="1:14" x14ac:dyDescent="0.25">
      <c r="A2532">
        <v>1582.5254319999999</v>
      </c>
      <c r="B2532" s="1">
        <f>DATE(2014,8,30) + TIME(12,36,37)</f>
        <v>41881.52542824074</v>
      </c>
      <c r="C2532">
        <v>80</v>
      </c>
      <c r="D2532">
        <v>79.981475829999994</v>
      </c>
      <c r="E2532">
        <v>50</v>
      </c>
      <c r="F2532">
        <v>54.669372559000003</v>
      </c>
      <c r="G2532">
        <v>1336.2142334</v>
      </c>
      <c r="H2532">
        <v>1334.8345947</v>
      </c>
      <c r="I2532">
        <v>1328.1530762</v>
      </c>
      <c r="J2532">
        <v>1326.9152832</v>
      </c>
      <c r="K2532">
        <v>2400</v>
      </c>
      <c r="L2532">
        <v>0</v>
      </c>
      <c r="M2532">
        <v>0</v>
      </c>
      <c r="N2532">
        <v>2400</v>
      </c>
    </row>
    <row r="2533" spans="1:14" x14ac:dyDescent="0.25">
      <c r="A2533">
        <v>1584</v>
      </c>
      <c r="B2533" s="1">
        <f>DATE(2014,9,1) + TIME(0,0,0)</f>
        <v>41883</v>
      </c>
      <c r="C2533">
        <v>80</v>
      </c>
      <c r="D2533">
        <v>79.981475829999994</v>
      </c>
      <c r="E2533">
        <v>50</v>
      </c>
      <c r="F2533">
        <v>55.130886078000003</v>
      </c>
      <c r="G2533">
        <v>1336.2124022999999</v>
      </c>
      <c r="H2533">
        <v>1334.8341064000001</v>
      </c>
      <c r="I2533">
        <v>1328.1538086</v>
      </c>
      <c r="J2533">
        <v>1326.9156493999999</v>
      </c>
      <c r="K2533">
        <v>2400</v>
      </c>
      <c r="L2533">
        <v>0</v>
      </c>
      <c r="M2533">
        <v>0</v>
      </c>
      <c r="N2533">
        <v>2400</v>
      </c>
    </row>
    <row r="2534" spans="1:14" x14ac:dyDescent="0.25">
      <c r="A2534">
        <v>1586.3194269999999</v>
      </c>
      <c r="B2534" s="1">
        <f>DATE(2014,9,3) + TIME(7,39,58)</f>
        <v>41885.319421296299</v>
      </c>
      <c r="C2534">
        <v>80</v>
      </c>
      <c r="D2534">
        <v>79.981491089000002</v>
      </c>
      <c r="E2534">
        <v>50</v>
      </c>
      <c r="F2534">
        <v>55.527099608999997</v>
      </c>
      <c r="G2534">
        <v>1336.2113036999999</v>
      </c>
      <c r="H2534">
        <v>1334.8337402</v>
      </c>
      <c r="I2534">
        <v>1328.1534423999999</v>
      </c>
      <c r="J2534">
        <v>1326.9162598</v>
      </c>
      <c r="K2534">
        <v>2400</v>
      </c>
      <c r="L2534">
        <v>0</v>
      </c>
      <c r="M2534">
        <v>0</v>
      </c>
      <c r="N2534">
        <v>2400</v>
      </c>
    </row>
    <row r="2535" spans="1:14" x14ac:dyDescent="0.25">
      <c r="A2535">
        <v>1588.7389310000001</v>
      </c>
      <c r="B2535" s="1">
        <f>DATE(2014,9,5) + TIME(17,44,3)</f>
        <v>41887.738923611112</v>
      </c>
      <c r="C2535">
        <v>80</v>
      </c>
      <c r="D2535">
        <v>79.981506347999996</v>
      </c>
      <c r="E2535">
        <v>50</v>
      </c>
      <c r="F2535">
        <v>55.987617493000002</v>
      </c>
      <c r="G2535">
        <v>1336.2094727000001</v>
      </c>
      <c r="H2535">
        <v>1334.8331298999999</v>
      </c>
      <c r="I2535">
        <v>1328.1539307</v>
      </c>
      <c r="J2535">
        <v>1326.9161377</v>
      </c>
      <c r="K2535">
        <v>2400</v>
      </c>
      <c r="L2535">
        <v>0</v>
      </c>
      <c r="M2535">
        <v>0</v>
      </c>
      <c r="N2535">
        <v>2400</v>
      </c>
    </row>
    <row r="2536" spans="1:14" x14ac:dyDescent="0.25">
      <c r="A2536">
        <v>1591.215369</v>
      </c>
      <c r="B2536" s="1">
        <f>DATE(2014,9,8) + TIME(5,10,7)</f>
        <v>41890.215358796297</v>
      </c>
      <c r="C2536">
        <v>80</v>
      </c>
      <c r="D2536">
        <v>79.981513977000006</v>
      </c>
      <c r="E2536">
        <v>50</v>
      </c>
      <c r="F2536">
        <v>56.453033447000003</v>
      </c>
      <c r="G2536">
        <v>1336.2076416</v>
      </c>
      <c r="H2536">
        <v>1334.8323975000001</v>
      </c>
      <c r="I2536">
        <v>1328.1546631000001</v>
      </c>
      <c r="J2536">
        <v>1326.916626</v>
      </c>
      <c r="K2536">
        <v>2400</v>
      </c>
      <c r="L2536">
        <v>0</v>
      </c>
      <c r="M2536">
        <v>0</v>
      </c>
      <c r="N2536">
        <v>2400</v>
      </c>
    </row>
    <row r="2537" spans="1:14" x14ac:dyDescent="0.25">
      <c r="A2537">
        <v>1593.733606</v>
      </c>
      <c r="B2537" s="1">
        <f>DATE(2014,9,10) + TIME(17,36,23)</f>
        <v>41892.733599537038</v>
      </c>
      <c r="C2537">
        <v>80</v>
      </c>
      <c r="D2537">
        <v>79.981529236</v>
      </c>
      <c r="E2537">
        <v>50</v>
      </c>
      <c r="F2537">
        <v>56.904815673999998</v>
      </c>
      <c r="G2537">
        <v>1336.2058105000001</v>
      </c>
      <c r="H2537">
        <v>1334.8317870999999</v>
      </c>
      <c r="I2537">
        <v>1328.1555175999999</v>
      </c>
      <c r="J2537">
        <v>1326.9173584</v>
      </c>
      <c r="K2537">
        <v>2400</v>
      </c>
      <c r="L2537">
        <v>0</v>
      </c>
      <c r="M2537">
        <v>0</v>
      </c>
      <c r="N2537">
        <v>2400</v>
      </c>
    </row>
    <row r="2538" spans="1:14" x14ac:dyDescent="0.25">
      <c r="A2538">
        <v>1596.333046</v>
      </c>
      <c r="B2538" s="1">
        <f>DATE(2014,9,13) + TIME(7,59,35)</f>
        <v>41895.333043981482</v>
      </c>
      <c r="C2538">
        <v>80</v>
      </c>
      <c r="D2538">
        <v>79.981536864999995</v>
      </c>
      <c r="E2538">
        <v>50</v>
      </c>
      <c r="F2538">
        <v>57.339088439999998</v>
      </c>
      <c r="G2538">
        <v>1336.2039795000001</v>
      </c>
      <c r="H2538">
        <v>1334.8310547000001</v>
      </c>
      <c r="I2538">
        <v>1328.1563721</v>
      </c>
      <c r="J2538">
        <v>1326.9182129000001</v>
      </c>
      <c r="K2538">
        <v>2400</v>
      </c>
      <c r="L2538">
        <v>0</v>
      </c>
      <c r="M2538">
        <v>0</v>
      </c>
      <c r="N2538">
        <v>2400</v>
      </c>
    </row>
    <row r="2539" spans="1:14" x14ac:dyDescent="0.25">
      <c r="A2539">
        <v>1598.979662</v>
      </c>
      <c r="B2539" s="1">
        <f>DATE(2014,9,15) + TIME(23,30,42)</f>
        <v>41897.97965277778</v>
      </c>
      <c r="C2539">
        <v>80</v>
      </c>
      <c r="D2539">
        <v>79.981552124000004</v>
      </c>
      <c r="E2539">
        <v>50</v>
      </c>
      <c r="F2539">
        <v>57.757080078000001</v>
      </c>
      <c r="G2539">
        <v>1336.2020264</v>
      </c>
      <c r="H2539">
        <v>1334.8304443</v>
      </c>
      <c r="I2539">
        <v>1328.1574707</v>
      </c>
      <c r="J2539">
        <v>1326.9191894999999</v>
      </c>
      <c r="K2539">
        <v>2400</v>
      </c>
      <c r="L2539">
        <v>0</v>
      </c>
      <c r="M2539">
        <v>0</v>
      </c>
      <c r="N2539">
        <v>2400</v>
      </c>
    </row>
    <row r="2540" spans="1:14" x14ac:dyDescent="0.25">
      <c r="A2540">
        <v>1601.6816160000001</v>
      </c>
      <c r="B2540" s="1">
        <f>DATE(2014,9,18) + TIME(16,21,31)</f>
        <v>41900.681608796294</v>
      </c>
      <c r="C2540">
        <v>80</v>
      </c>
      <c r="D2540">
        <v>79.981567382999998</v>
      </c>
      <c r="E2540">
        <v>50</v>
      </c>
      <c r="F2540">
        <v>58.162471771</v>
      </c>
      <c r="G2540">
        <v>1336.2001952999999</v>
      </c>
      <c r="H2540">
        <v>1334.8297118999999</v>
      </c>
      <c r="I2540">
        <v>1328.1586914</v>
      </c>
      <c r="J2540">
        <v>1326.9202881000001</v>
      </c>
      <c r="K2540">
        <v>2400</v>
      </c>
      <c r="L2540">
        <v>0</v>
      </c>
      <c r="M2540">
        <v>0</v>
      </c>
      <c r="N2540">
        <v>2400</v>
      </c>
    </row>
    <row r="2541" spans="1:14" x14ac:dyDescent="0.25">
      <c r="A2541">
        <v>1604.485905</v>
      </c>
      <c r="B2541" s="1">
        <f>DATE(2014,9,21) + TIME(11,39,42)</f>
        <v>41903.485902777778</v>
      </c>
      <c r="C2541">
        <v>80</v>
      </c>
      <c r="D2541">
        <v>79.981582642000006</v>
      </c>
      <c r="E2541">
        <v>50</v>
      </c>
      <c r="F2541">
        <v>58.553928374999998</v>
      </c>
      <c r="G2541">
        <v>1336.1982422000001</v>
      </c>
      <c r="H2541">
        <v>1334.8288574000001</v>
      </c>
      <c r="I2541">
        <v>1328.1600341999999</v>
      </c>
      <c r="J2541">
        <v>1326.9216309000001</v>
      </c>
      <c r="K2541">
        <v>2400</v>
      </c>
      <c r="L2541">
        <v>0</v>
      </c>
      <c r="M2541">
        <v>0</v>
      </c>
      <c r="N2541">
        <v>2400</v>
      </c>
    </row>
    <row r="2542" spans="1:14" x14ac:dyDescent="0.25">
      <c r="A2542">
        <v>1607.32341</v>
      </c>
      <c r="B2542" s="1">
        <f>DATE(2014,9,24) + TIME(7,45,42)</f>
        <v>41906.32340277778</v>
      </c>
      <c r="C2542">
        <v>80</v>
      </c>
      <c r="D2542">
        <v>79.981597899999997</v>
      </c>
      <c r="E2542">
        <v>50</v>
      </c>
      <c r="F2542">
        <v>58.936424254999999</v>
      </c>
      <c r="G2542">
        <v>1336.1962891000001</v>
      </c>
      <c r="H2542">
        <v>1334.828125</v>
      </c>
      <c r="I2542">
        <v>1328.1613769999999</v>
      </c>
      <c r="J2542">
        <v>1326.9228516000001</v>
      </c>
      <c r="K2542">
        <v>2400</v>
      </c>
      <c r="L2542">
        <v>0</v>
      </c>
      <c r="M2542">
        <v>0</v>
      </c>
      <c r="N2542">
        <v>2400</v>
      </c>
    </row>
    <row r="2543" spans="1:14" x14ac:dyDescent="0.25">
      <c r="A2543">
        <v>1610.248151</v>
      </c>
      <c r="B2543" s="1">
        <f>DATE(2014,9,27) + TIME(5,57,20)</f>
        <v>41909.248148148145</v>
      </c>
      <c r="C2543">
        <v>80</v>
      </c>
      <c r="D2543">
        <v>79.981613159000005</v>
      </c>
      <c r="E2543">
        <v>50</v>
      </c>
      <c r="F2543">
        <v>59.304859161000003</v>
      </c>
      <c r="G2543">
        <v>1336.1944579999999</v>
      </c>
      <c r="H2543">
        <v>1334.8272704999999</v>
      </c>
      <c r="I2543">
        <v>1328.1627197</v>
      </c>
      <c r="J2543">
        <v>1326.9243164</v>
      </c>
      <c r="K2543">
        <v>2400</v>
      </c>
      <c r="L2543">
        <v>0</v>
      </c>
      <c r="M2543">
        <v>0</v>
      </c>
      <c r="N2543">
        <v>2400</v>
      </c>
    </row>
    <row r="2544" spans="1:14" x14ac:dyDescent="0.25">
      <c r="A2544">
        <v>1613.252405</v>
      </c>
      <c r="B2544" s="1">
        <f>DATE(2014,9,30) + TIME(6,3,27)</f>
        <v>41912.252395833333</v>
      </c>
      <c r="C2544">
        <v>80</v>
      </c>
      <c r="D2544">
        <v>79.981636046999995</v>
      </c>
      <c r="E2544">
        <v>50</v>
      </c>
      <c r="F2544">
        <v>59.661357879999997</v>
      </c>
      <c r="G2544">
        <v>1336.1925048999999</v>
      </c>
      <c r="H2544">
        <v>1334.8264160000001</v>
      </c>
      <c r="I2544">
        <v>1328.1641846</v>
      </c>
      <c r="J2544">
        <v>1326.9256591999999</v>
      </c>
      <c r="K2544">
        <v>2400</v>
      </c>
      <c r="L2544">
        <v>0</v>
      </c>
      <c r="M2544">
        <v>0</v>
      </c>
      <c r="N2544">
        <v>2400</v>
      </c>
    </row>
    <row r="2545" spans="1:14" x14ac:dyDescent="0.25">
      <c r="A2545">
        <v>1614</v>
      </c>
      <c r="B2545" s="1">
        <f>DATE(2014,10,1) + TIME(0,0,0)</f>
        <v>41913</v>
      </c>
      <c r="C2545">
        <v>80</v>
      </c>
      <c r="D2545">
        <v>79.981636046999995</v>
      </c>
      <c r="E2545">
        <v>50</v>
      </c>
      <c r="F2545">
        <v>59.897132874</v>
      </c>
      <c r="G2545">
        <v>1336.1905518000001</v>
      </c>
      <c r="H2545">
        <v>1334.8255615</v>
      </c>
      <c r="I2545">
        <v>1328.1668701000001</v>
      </c>
      <c r="J2545">
        <v>1326.9273682</v>
      </c>
      <c r="K2545">
        <v>2400</v>
      </c>
      <c r="L2545">
        <v>0</v>
      </c>
      <c r="M2545">
        <v>0</v>
      </c>
      <c r="N2545">
        <v>2400</v>
      </c>
    </row>
    <row r="2546" spans="1:14" x14ac:dyDescent="0.25">
      <c r="A2546">
        <v>1617.077288</v>
      </c>
      <c r="B2546" s="1">
        <f>DATE(2014,10,4) + TIME(1,51,17)</f>
        <v>41916.077280092592</v>
      </c>
      <c r="C2546">
        <v>80</v>
      </c>
      <c r="D2546">
        <v>79.981658936000002</v>
      </c>
      <c r="E2546">
        <v>50</v>
      </c>
      <c r="F2546">
        <v>60.112426757999998</v>
      </c>
      <c r="G2546">
        <v>1336.1900635</v>
      </c>
      <c r="H2546">
        <v>1334.8253173999999</v>
      </c>
      <c r="I2546">
        <v>1328.1663818</v>
      </c>
      <c r="J2546">
        <v>1326.9289550999999</v>
      </c>
      <c r="K2546">
        <v>2400</v>
      </c>
      <c r="L2546">
        <v>0</v>
      </c>
      <c r="M2546">
        <v>0</v>
      </c>
      <c r="N2546">
        <v>2400</v>
      </c>
    </row>
    <row r="2547" spans="1:14" x14ac:dyDescent="0.25">
      <c r="A2547">
        <v>1620.2372869999999</v>
      </c>
      <c r="B2547" s="1">
        <f>DATE(2014,10,7) + TIME(5,41,41)</f>
        <v>41919.237280092595</v>
      </c>
      <c r="C2547">
        <v>80</v>
      </c>
      <c r="D2547">
        <v>79.981681824000006</v>
      </c>
      <c r="E2547">
        <v>50</v>
      </c>
      <c r="F2547">
        <v>60.424991607999999</v>
      </c>
      <c r="G2547">
        <v>1336.1881103999999</v>
      </c>
      <c r="H2547">
        <v>1334.8244629000001</v>
      </c>
      <c r="I2547">
        <v>1328.1674805</v>
      </c>
      <c r="J2547">
        <v>1326.9288329999999</v>
      </c>
      <c r="K2547">
        <v>2400</v>
      </c>
      <c r="L2547">
        <v>0</v>
      </c>
      <c r="M2547">
        <v>0</v>
      </c>
      <c r="N2547">
        <v>2400</v>
      </c>
    </row>
    <row r="2548" spans="1:14" x14ac:dyDescent="0.25">
      <c r="A2548">
        <v>1623.5175609999999</v>
      </c>
      <c r="B2548" s="1">
        <f>DATE(2014,10,10) + TIME(12,25,17)</f>
        <v>41922.517557870371</v>
      </c>
      <c r="C2548">
        <v>80</v>
      </c>
      <c r="D2548">
        <v>79.981689453000001</v>
      </c>
      <c r="E2548">
        <v>50</v>
      </c>
      <c r="F2548">
        <v>60.739723206000001</v>
      </c>
      <c r="G2548">
        <v>1336.1860352000001</v>
      </c>
      <c r="H2548">
        <v>1334.8234863</v>
      </c>
      <c r="I2548">
        <v>1328.1688231999999</v>
      </c>
      <c r="J2548">
        <v>1326.9299315999999</v>
      </c>
      <c r="K2548">
        <v>2400</v>
      </c>
      <c r="L2548">
        <v>0</v>
      </c>
      <c r="M2548">
        <v>0</v>
      </c>
      <c r="N2548">
        <v>2400</v>
      </c>
    </row>
    <row r="2549" spans="1:14" x14ac:dyDescent="0.25">
      <c r="A2549">
        <v>1626.838988</v>
      </c>
      <c r="B2549" s="1">
        <f>DATE(2014,10,13) + TIME(20,8,8)</f>
        <v>41925.83898148148</v>
      </c>
      <c r="C2549">
        <v>80</v>
      </c>
      <c r="D2549">
        <v>79.981727599999999</v>
      </c>
      <c r="E2549">
        <v>50</v>
      </c>
      <c r="F2549">
        <v>61.055892944</v>
      </c>
      <c r="G2549">
        <v>1336.184082</v>
      </c>
      <c r="H2549">
        <v>1334.8225098</v>
      </c>
      <c r="I2549">
        <v>1328.1701660000001</v>
      </c>
      <c r="J2549">
        <v>1326.9310303</v>
      </c>
      <c r="K2549">
        <v>2400</v>
      </c>
      <c r="L2549">
        <v>0</v>
      </c>
      <c r="M2549">
        <v>0</v>
      </c>
      <c r="N2549">
        <v>2400</v>
      </c>
    </row>
    <row r="2550" spans="1:14" x14ac:dyDescent="0.25">
      <c r="A2550">
        <v>1630.2837159999999</v>
      </c>
      <c r="B2550" s="1">
        <f>DATE(2014,10,17) + TIME(6,48,33)</f>
        <v>41929.283715277779</v>
      </c>
      <c r="C2550">
        <v>80</v>
      </c>
      <c r="D2550">
        <v>79.981712341000005</v>
      </c>
      <c r="E2550">
        <v>50</v>
      </c>
      <c r="F2550">
        <v>61.350521088000001</v>
      </c>
      <c r="G2550">
        <v>1336.1821289</v>
      </c>
      <c r="H2550">
        <v>1334.8215332</v>
      </c>
      <c r="I2550">
        <v>1328.1715088000001</v>
      </c>
      <c r="J2550">
        <v>1326.9321289</v>
      </c>
      <c r="K2550">
        <v>2400</v>
      </c>
      <c r="L2550">
        <v>0</v>
      </c>
      <c r="M2550">
        <v>0</v>
      </c>
      <c r="N2550">
        <v>2400</v>
      </c>
    </row>
    <row r="2551" spans="1:14" x14ac:dyDescent="0.25">
      <c r="A2551">
        <v>1633.821326</v>
      </c>
      <c r="B2551" s="1">
        <f>DATE(2014,10,20) + TIME(19,42,42)</f>
        <v>41932.821319444447</v>
      </c>
      <c r="C2551">
        <v>80</v>
      </c>
      <c r="D2551">
        <v>79.981826781999999</v>
      </c>
      <c r="E2551">
        <v>50</v>
      </c>
      <c r="F2551">
        <v>61.650150299000003</v>
      </c>
      <c r="G2551">
        <v>1336.1800536999999</v>
      </c>
      <c r="H2551">
        <v>1334.8205565999999</v>
      </c>
      <c r="I2551">
        <v>1328.1728516000001</v>
      </c>
      <c r="J2551">
        <v>1326.9329834</v>
      </c>
      <c r="K2551">
        <v>2400</v>
      </c>
      <c r="L2551">
        <v>0</v>
      </c>
      <c r="M2551">
        <v>0</v>
      </c>
      <c r="N2551">
        <v>2400</v>
      </c>
    </row>
    <row r="2552" spans="1:14" x14ac:dyDescent="0.25">
      <c r="A2552">
        <v>1637.445641</v>
      </c>
      <c r="B2552" s="1">
        <f>DATE(2014,10,24) + TIME(10,41,43)</f>
        <v>41936.445636574077</v>
      </c>
      <c r="C2552">
        <v>80</v>
      </c>
      <c r="D2552">
        <v>79.981620789000004</v>
      </c>
      <c r="E2552">
        <v>50</v>
      </c>
      <c r="F2552">
        <v>61.919132232999999</v>
      </c>
      <c r="G2552">
        <v>1336.1779785000001</v>
      </c>
      <c r="H2552">
        <v>1334.8194579999999</v>
      </c>
      <c r="I2552">
        <v>1328.1740723</v>
      </c>
      <c r="J2552">
        <v>1326.9339600000001</v>
      </c>
      <c r="K2552">
        <v>2400</v>
      </c>
      <c r="L2552">
        <v>0</v>
      </c>
      <c r="M2552">
        <v>0</v>
      </c>
      <c r="N2552">
        <v>2400</v>
      </c>
    </row>
    <row r="2553" spans="1:14" x14ac:dyDescent="0.25">
      <c r="A2553">
        <v>1639.2204489999999</v>
      </c>
      <c r="B2553" s="1">
        <f>DATE(2014,10,26) + TIME(5,17,26)</f>
        <v>41938.220439814817</v>
      </c>
      <c r="C2553">
        <v>80</v>
      </c>
      <c r="D2553">
        <v>79.981712341000005</v>
      </c>
      <c r="E2553">
        <v>50</v>
      </c>
      <c r="F2553">
        <v>62.181564330999997</v>
      </c>
      <c r="G2553">
        <v>1336.1759033000001</v>
      </c>
      <c r="H2553">
        <v>1334.8184814000001</v>
      </c>
      <c r="I2553">
        <v>1328.1755370999999</v>
      </c>
      <c r="J2553">
        <v>1326.9348144999999</v>
      </c>
      <c r="K2553">
        <v>2400</v>
      </c>
      <c r="L2553">
        <v>0</v>
      </c>
      <c r="M2553">
        <v>0</v>
      </c>
      <c r="N2553">
        <v>2400</v>
      </c>
    </row>
    <row r="2554" spans="1:14" x14ac:dyDescent="0.25">
      <c r="A2554">
        <v>1641.9063799999999</v>
      </c>
      <c r="B2554" s="1">
        <f>DATE(2014,10,28) + TIME(21,45,11)</f>
        <v>41940.906377314815</v>
      </c>
      <c r="C2554">
        <v>80</v>
      </c>
      <c r="D2554">
        <v>79.981895446999999</v>
      </c>
      <c r="E2554">
        <v>50</v>
      </c>
      <c r="F2554">
        <v>62.329597473</v>
      </c>
      <c r="G2554">
        <v>1336.1750488</v>
      </c>
      <c r="H2554">
        <v>1334.8179932</v>
      </c>
      <c r="I2554">
        <v>1328.1762695</v>
      </c>
      <c r="J2554">
        <v>1326.9364014</v>
      </c>
      <c r="K2554">
        <v>2400</v>
      </c>
      <c r="L2554">
        <v>0</v>
      </c>
      <c r="M2554">
        <v>0</v>
      </c>
      <c r="N2554">
        <v>2400</v>
      </c>
    </row>
    <row r="2555" spans="1:14" x14ac:dyDescent="0.25">
      <c r="A2555">
        <v>1643.4531899999999</v>
      </c>
      <c r="B2555" s="1">
        <f>DATE(2014,10,30) + TIME(10,52,35)</f>
        <v>41942.453182870369</v>
      </c>
      <c r="C2555">
        <v>80</v>
      </c>
      <c r="D2555">
        <v>79.981788635000001</v>
      </c>
      <c r="E2555">
        <v>50</v>
      </c>
      <c r="F2555">
        <v>62.501842498999999</v>
      </c>
      <c r="G2555">
        <v>1336.1735839999999</v>
      </c>
      <c r="H2555">
        <v>1334.8170166</v>
      </c>
      <c r="I2555">
        <v>1328.1770019999999</v>
      </c>
      <c r="J2555">
        <v>1326.9364014</v>
      </c>
      <c r="K2555">
        <v>2400</v>
      </c>
      <c r="L2555">
        <v>0</v>
      </c>
      <c r="M2555">
        <v>0</v>
      </c>
      <c r="N2555">
        <v>2400</v>
      </c>
    </row>
    <row r="2556" spans="1:14" x14ac:dyDescent="0.25">
      <c r="A2556">
        <v>1645</v>
      </c>
      <c r="B2556" s="1">
        <f>DATE(2014,11,1) + TIME(0,0,0)</f>
        <v>41944</v>
      </c>
      <c r="C2556">
        <v>80</v>
      </c>
      <c r="D2556">
        <v>79.981849670000003</v>
      </c>
      <c r="E2556">
        <v>50</v>
      </c>
      <c r="F2556">
        <v>62.612808227999999</v>
      </c>
      <c r="G2556">
        <v>1336.1727295000001</v>
      </c>
      <c r="H2556">
        <v>1334.8167725000001</v>
      </c>
      <c r="I2556">
        <v>1328.1774902</v>
      </c>
      <c r="J2556">
        <v>1326.9372559000001</v>
      </c>
      <c r="K2556">
        <v>2400</v>
      </c>
      <c r="L2556">
        <v>0</v>
      </c>
      <c r="M2556">
        <v>0</v>
      </c>
      <c r="N2556">
        <v>2400</v>
      </c>
    </row>
    <row r="2557" spans="1:14" x14ac:dyDescent="0.25">
      <c r="A2557">
        <v>1645.0000010000001</v>
      </c>
      <c r="B2557" s="1">
        <f>DATE(2014,11,1) + TIME(0,0,0)</f>
        <v>41944</v>
      </c>
      <c r="C2557">
        <v>80</v>
      </c>
      <c r="D2557">
        <v>79.981773376000007</v>
      </c>
      <c r="E2557">
        <v>50</v>
      </c>
      <c r="F2557">
        <v>62.612888335999997</v>
      </c>
      <c r="G2557">
        <v>1334.2626952999999</v>
      </c>
      <c r="H2557">
        <v>1334.0539550999999</v>
      </c>
      <c r="I2557">
        <v>1330.1024170000001</v>
      </c>
      <c r="J2557">
        <v>1328.927124</v>
      </c>
      <c r="K2557">
        <v>0</v>
      </c>
      <c r="L2557">
        <v>2400</v>
      </c>
      <c r="M2557">
        <v>2400</v>
      </c>
      <c r="N2557">
        <v>0</v>
      </c>
    </row>
    <row r="2558" spans="1:14" x14ac:dyDescent="0.25">
      <c r="A2558">
        <v>1645.000004</v>
      </c>
      <c r="B2558" s="1">
        <f>DATE(2014,11,1) + TIME(0,0,0)</f>
        <v>41944</v>
      </c>
      <c r="C2558">
        <v>80</v>
      </c>
      <c r="D2558">
        <v>79.981689453000001</v>
      </c>
      <c r="E2558">
        <v>50</v>
      </c>
      <c r="F2558">
        <v>62.612930298000002</v>
      </c>
      <c r="G2558">
        <v>1333.690918</v>
      </c>
      <c r="H2558">
        <v>1333.4658202999999</v>
      </c>
      <c r="I2558">
        <v>1330.8851318</v>
      </c>
      <c r="J2558">
        <v>1329.7391356999999</v>
      </c>
      <c r="K2558">
        <v>0</v>
      </c>
      <c r="L2558">
        <v>2400</v>
      </c>
      <c r="M2558">
        <v>2400</v>
      </c>
      <c r="N2558">
        <v>0</v>
      </c>
    </row>
    <row r="2559" spans="1:14" x14ac:dyDescent="0.25">
      <c r="A2559">
        <v>1645.0000130000001</v>
      </c>
      <c r="B2559" s="1">
        <f>DATE(2014,11,1) + TIME(0,0,1)</f>
        <v>41944.000011574077</v>
      </c>
      <c r="C2559">
        <v>80</v>
      </c>
      <c r="D2559">
        <v>79.981613159000005</v>
      </c>
      <c r="E2559">
        <v>50</v>
      </c>
      <c r="F2559">
        <v>62.612827301000003</v>
      </c>
      <c r="G2559">
        <v>1333.1574707</v>
      </c>
      <c r="H2559">
        <v>1332.9000243999999</v>
      </c>
      <c r="I2559">
        <v>1331.6839600000001</v>
      </c>
      <c r="J2559">
        <v>1330.5115966999999</v>
      </c>
      <c r="K2559">
        <v>0</v>
      </c>
      <c r="L2559">
        <v>2400</v>
      </c>
      <c r="M2559">
        <v>2400</v>
      </c>
      <c r="N2559">
        <v>0</v>
      </c>
    </row>
    <row r="2560" spans="1:14" x14ac:dyDescent="0.25">
      <c r="A2560">
        <v>1645.0000399999999</v>
      </c>
      <c r="B2560" s="1">
        <f>DATE(2014,11,1) + TIME(0,0,3)</f>
        <v>41944.000034722223</v>
      </c>
      <c r="C2560">
        <v>80</v>
      </c>
      <c r="D2560">
        <v>79.981536864999995</v>
      </c>
      <c r="E2560">
        <v>50</v>
      </c>
      <c r="F2560">
        <v>62.612300873000002</v>
      </c>
      <c r="G2560">
        <v>1332.6341553</v>
      </c>
      <c r="H2560">
        <v>1332.3443603999999</v>
      </c>
      <c r="I2560">
        <v>1332.4473877</v>
      </c>
      <c r="J2560">
        <v>1331.2470702999999</v>
      </c>
      <c r="K2560">
        <v>0</v>
      </c>
      <c r="L2560">
        <v>2400</v>
      </c>
      <c r="M2560">
        <v>2400</v>
      </c>
      <c r="N2560">
        <v>0</v>
      </c>
    </row>
    <row r="2561" spans="1:14" x14ac:dyDescent="0.25">
      <c r="A2561">
        <v>1645.000121</v>
      </c>
      <c r="B2561" s="1">
        <f>DATE(2014,11,1) + TIME(0,0,10)</f>
        <v>41944.000115740739</v>
      </c>
      <c r="C2561">
        <v>80</v>
      </c>
      <c r="D2561">
        <v>79.981452942000004</v>
      </c>
      <c r="E2561">
        <v>50</v>
      </c>
      <c r="F2561">
        <v>62.610469817999999</v>
      </c>
      <c r="G2561">
        <v>1332.0969238</v>
      </c>
      <c r="H2561">
        <v>1331.7763672000001</v>
      </c>
      <c r="I2561">
        <v>1333.1881103999999</v>
      </c>
      <c r="J2561">
        <v>1331.9587402</v>
      </c>
      <c r="K2561">
        <v>0</v>
      </c>
      <c r="L2561">
        <v>2400</v>
      </c>
      <c r="M2561">
        <v>2400</v>
      </c>
      <c r="N2561">
        <v>0</v>
      </c>
    </row>
    <row r="2562" spans="1:14" x14ac:dyDescent="0.25">
      <c r="A2562">
        <v>1645.000364</v>
      </c>
      <c r="B2562" s="1">
        <f>DATE(2014,11,1) + TIME(0,0,31)</f>
        <v>41944.000358796293</v>
      </c>
      <c r="C2562">
        <v>80</v>
      </c>
      <c r="D2562">
        <v>79.981369018999999</v>
      </c>
      <c r="E2562">
        <v>50</v>
      </c>
      <c r="F2562">
        <v>62.604621887</v>
      </c>
      <c r="G2562">
        <v>1331.5727539</v>
      </c>
      <c r="H2562">
        <v>1331.2230225000001</v>
      </c>
      <c r="I2562">
        <v>1333.8811035000001</v>
      </c>
      <c r="J2562">
        <v>1332.6176757999999</v>
      </c>
      <c r="K2562">
        <v>0</v>
      </c>
      <c r="L2562">
        <v>2400</v>
      </c>
      <c r="M2562">
        <v>2400</v>
      </c>
      <c r="N2562">
        <v>0</v>
      </c>
    </row>
    <row r="2563" spans="1:14" x14ac:dyDescent="0.25">
      <c r="A2563">
        <v>1645.0010930000001</v>
      </c>
      <c r="B2563" s="1">
        <f>DATE(2014,11,1) + TIME(0,1,34)</f>
        <v>41944.001087962963</v>
      </c>
      <c r="C2563">
        <v>80</v>
      </c>
      <c r="D2563">
        <v>79.981262207</v>
      </c>
      <c r="E2563">
        <v>50</v>
      </c>
      <c r="F2563">
        <v>62.586509704999997</v>
      </c>
      <c r="G2563">
        <v>1331.1573486</v>
      </c>
      <c r="H2563">
        <v>1330.7850341999999</v>
      </c>
      <c r="I2563">
        <v>1334.4204102000001</v>
      </c>
      <c r="J2563">
        <v>1333.1278076000001</v>
      </c>
      <c r="K2563">
        <v>0</v>
      </c>
      <c r="L2563">
        <v>2400</v>
      </c>
      <c r="M2563">
        <v>2400</v>
      </c>
      <c r="N2563">
        <v>0</v>
      </c>
    </row>
    <row r="2564" spans="1:14" x14ac:dyDescent="0.25">
      <c r="A2564">
        <v>1645.0032799999999</v>
      </c>
      <c r="B2564" s="1">
        <f>DATE(2014,11,1) + TIME(0,4,43)</f>
        <v>41944.003275462965</v>
      </c>
      <c r="C2564">
        <v>80</v>
      </c>
      <c r="D2564">
        <v>79.981109618999994</v>
      </c>
      <c r="E2564">
        <v>50</v>
      </c>
      <c r="F2564">
        <v>62.531681061</v>
      </c>
      <c r="G2564">
        <v>1330.9411620999999</v>
      </c>
      <c r="H2564">
        <v>1330.5585937999999</v>
      </c>
      <c r="I2564">
        <v>1334.6958007999999</v>
      </c>
      <c r="J2564">
        <v>1333.3891602000001</v>
      </c>
      <c r="K2564">
        <v>0</v>
      </c>
      <c r="L2564">
        <v>2400</v>
      </c>
      <c r="M2564">
        <v>2400</v>
      </c>
      <c r="N2564">
        <v>0</v>
      </c>
    </row>
    <row r="2565" spans="1:14" x14ac:dyDescent="0.25">
      <c r="A2565">
        <v>1645.0098410000001</v>
      </c>
      <c r="B2565" s="1">
        <f>DATE(2014,11,1) + TIME(0,14,10)</f>
        <v>41944.009837962964</v>
      </c>
      <c r="C2565">
        <v>80</v>
      </c>
      <c r="D2565">
        <v>79.980712890999996</v>
      </c>
      <c r="E2565">
        <v>50</v>
      </c>
      <c r="F2565">
        <v>62.369239807</v>
      </c>
      <c r="G2565">
        <v>1330.8847656</v>
      </c>
      <c r="H2565">
        <v>1330.4995117000001</v>
      </c>
      <c r="I2565">
        <v>1334.7615966999999</v>
      </c>
      <c r="J2565">
        <v>1333.4516602000001</v>
      </c>
      <c r="K2565">
        <v>0</v>
      </c>
      <c r="L2565">
        <v>2400</v>
      </c>
      <c r="M2565">
        <v>2400</v>
      </c>
      <c r="N2565">
        <v>0</v>
      </c>
    </row>
    <row r="2566" spans="1:14" x14ac:dyDescent="0.25">
      <c r="A2566">
        <v>1645.029524</v>
      </c>
      <c r="B2566" s="1">
        <f>DATE(2014,11,1) + TIME(0,42,30)</f>
        <v>41944.029513888891</v>
      </c>
      <c r="C2566">
        <v>80</v>
      </c>
      <c r="D2566">
        <v>79.979568481000001</v>
      </c>
      <c r="E2566">
        <v>50</v>
      </c>
      <c r="F2566">
        <v>61.903564453000001</v>
      </c>
      <c r="G2566">
        <v>1330.8767089999999</v>
      </c>
      <c r="H2566">
        <v>1330.4898682</v>
      </c>
      <c r="I2566">
        <v>1334.7608643000001</v>
      </c>
      <c r="J2566">
        <v>1333.4508057</v>
      </c>
      <c r="K2566">
        <v>0</v>
      </c>
      <c r="L2566">
        <v>2400</v>
      </c>
      <c r="M2566">
        <v>2400</v>
      </c>
      <c r="N2566">
        <v>0</v>
      </c>
    </row>
    <row r="2567" spans="1:14" x14ac:dyDescent="0.25">
      <c r="A2567">
        <v>1645.051749</v>
      </c>
      <c r="B2567" s="1">
        <f>DATE(2014,11,1) + TIME(1,14,31)</f>
        <v>41944.051747685182</v>
      </c>
      <c r="C2567">
        <v>80</v>
      </c>
      <c r="D2567">
        <v>79.978263854999994</v>
      </c>
      <c r="E2567">
        <v>50</v>
      </c>
      <c r="F2567">
        <v>61.403697968000003</v>
      </c>
      <c r="G2567">
        <v>1330.8712158000001</v>
      </c>
      <c r="H2567">
        <v>1330.4815673999999</v>
      </c>
      <c r="I2567">
        <v>1334.7554932</v>
      </c>
      <c r="J2567">
        <v>1333.4453125</v>
      </c>
      <c r="K2567">
        <v>0</v>
      </c>
      <c r="L2567">
        <v>2400</v>
      </c>
      <c r="M2567">
        <v>2400</v>
      </c>
      <c r="N2567">
        <v>0</v>
      </c>
    </row>
    <row r="2568" spans="1:14" x14ac:dyDescent="0.25">
      <c r="A2568">
        <v>1645.0749499999999</v>
      </c>
      <c r="B2568" s="1">
        <f>DATE(2014,11,1) + TIME(1,47,55)</f>
        <v>41944.074942129628</v>
      </c>
      <c r="C2568">
        <v>80</v>
      </c>
      <c r="D2568">
        <v>79.976890564000001</v>
      </c>
      <c r="E2568">
        <v>50</v>
      </c>
      <c r="F2568">
        <v>60.908275604000004</v>
      </c>
      <c r="G2568">
        <v>1330.8656006000001</v>
      </c>
      <c r="H2568">
        <v>1330.4727783000001</v>
      </c>
      <c r="I2568">
        <v>1334.7504882999999</v>
      </c>
      <c r="J2568">
        <v>1333.4401855000001</v>
      </c>
      <c r="K2568">
        <v>0</v>
      </c>
      <c r="L2568">
        <v>2400</v>
      </c>
      <c r="M2568">
        <v>2400</v>
      </c>
      <c r="N2568">
        <v>0</v>
      </c>
    </row>
    <row r="2569" spans="1:14" x14ac:dyDescent="0.25">
      <c r="A2569">
        <v>1645.099193</v>
      </c>
      <c r="B2569" s="1">
        <f>DATE(2014,11,1) + TIME(2,22,50)</f>
        <v>41944.099189814813</v>
      </c>
      <c r="C2569">
        <v>80</v>
      </c>
      <c r="D2569">
        <v>79.975440978999998</v>
      </c>
      <c r="E2569">
        <v>50</v>
      </c>
      <c r="F2569">
        <v>60.417461394999997</v>
      </c>
      <c r="G2569">
        <v>1330.8598632999999</v>
      </c>
      <c r="H2569">
        <v>1330.4638672000001</v>
      </c>
      <c r="I2569">
        <v>1334.7459716999999</v>
      </c>
      <c r="J2569">
        <v>1333.4353027</v>
      </c>
      <c r="K2569">
        <v>0</v>
      </c>
      <c r="L2569">
        <v>2400</v>
      </c>
      <c r="M2569">
        <v>2400</v>
      </c>
      <c r="N2569">
        <v>0</v>
      </c>
    </row>
    <row r="2570" spans="1:14" x14ac:dyDescent="0.25">
      <c r="A2570">
        <v>1645.124556</v>
      </c>
      <c r="B2570" s="1">
        <f>DATE(2014,11,1) + TIME(2,59,21)</f>
        <v>41944.124548611115</v>
      </c>
      <c r="C2570">
        <v>80</v>
      </c>
      <c r="D2570">
        <v>79.973907471000004</v>
      </c>
      <c r="E2570">
        <v>50</v>
      </c>
      <c r="F2570">
        <v>59.931400299000003</v>
      </c>
      <c r="G2570">
        <v>1330.854126</v>
      </c>
      <c r="H2570">
        <v>1330.4549560999999</v>
      </c>
      <c r="I2570">
        <v>1334.7418213000001</v>
      </c>
      <c r="J2570">
        <v>1333.4306641000001</v>
      </c>
      <c r="K2570">
        <v>0</v>
      </c>
      <c r="L2570">
        <v>2400</v>
      </c>
      <c r="M2570">
        <v>2400</v>
      </c>
      <c r="N2570">
        <v>0</v>
      </c>
    </row>
    <row r="2571" spans="1:14" x14ac:dyDescent="0.25">
      <c r="A2571">
        <v>1645.151122</v>
      </c>
      <c r="B2571" s="1">
        <f>DATE(2014,11,1) + TIME(3,37,36)</f>
        <v>41944.15111111111</v>
      </c>
      <c r="C2571">
        <v>80</v>
      </c>
      <c r="D2571">
        <v>79.972290039000001</v>
      </c>
      <c r="E2571">
        <v>50</v>
      </c>
      <c r="F2571">
        <v>59.450042725000003</v>
      </c>
      <c r="G2571">
        <v>1330.8481445</v>
      </c>
      <c r="H2571">
        <v>1330.4458007999999</v>
      </c>
      <c r="I2571">
        <v>1334.7380370999999</v>
      </c>
      <c r="J2571">
        <v>1333.4262695</v>
      </c>
      <c r="K2571">
        <v>0</v>
      </c>
      <c r="L2571">
        <v>2400</v>
      </c>
      <c r="M2571">
        <v>2400</v>
      </c>
      <c r="N2571">
        <v>0</v>
      </c>
    </row>
    <row r="2572" spans="1:14" x14ac:dyDescent="0.25">
      <c r="A2572">
        <v>1645.178983</v>
      </c>
      <c r="B2572" s="1">
        <f>DATE(2014,11,1) + TIME(4,17,44)</f>
        <v>41944.178981481484</v>
      </c>
      <c r="C2572">
        <v>80</v>
      </c>
      <c r="D2572">
        <v>79.970573424999998</v>
      </c>
      <c r="E2572">
        <v>50</v>
      </c>
      <c r="F2572">
        <v>58.973918914999999</v>
      </c>
      <c r="G2572">
        <v>1330.8422852000001</v>
      </c>
      <c r="H2572">
        <v>1330.4366454999999</v>
      </c>
      <c r="I2572">
        <v>1334.7348632999999</v>
      </c>
      <c r="J2572">
        <v>1333.4222411999999</v>
      </c>
      <c r="K2572">
        <v>0</v>
      </c>
      <c r="L2572">
        <v>2400</v>
      </c>
      <c r="M2572">
        <v>2400</v>
      </c>
      <c r="N2572">
        <v>0</v>
      </c>
    </row>
    <row r="2573" spans="1:14" x14ac:dyDescent="0.25">
      <c r="A2573">
        <v>1645.208241</v>
      </c>
      <c r="B2573" s="1">
        <f>DATE(2014,11,1) + TIME(4,59,52)</f>
        <v>41944.208240740743</v>
      </c>
      <c r="C2573">
        <v>80</v>
      </c>
      <c r="D2573">
        <v>79.96875</v>
      </c>
      <c r="E2573">
        <v>50</v>
      </c>
      <c r="F2573">
        <v>58.503276825</v>
      </c>
      <c r="G2573">
        <v>1330.8361815999999</v>
      </c>
      <c r="H2573">
        <v>1330.4272461</v>
      </c>
      <c r="I2573">
        <v>1334.7320557</v>
      </c>
      <c r="J2573">
        <v>1333.4185791</v>
      </c>
      <c r="K2573">
        <v>0</v>
      </c>
      <c r="L2573">
        <v>2400</v>
      </c>
      <c r="M2573">
        <v>2400</v>
      </c>
      <c r="N2573">
        <v>0</v>
      </c>
    </row>
    <row r="2574" spans="1:14" x14ac:dyDescent="0.25">
      <c r="A2574">
        <v>1645.23901</v>
      </c>
      <c r="B2574" s="1">
        <f>DATE(2014,11,1) + TIME(5,44,10)</f>
        <v>41944.239004629628</v>
      </c>
      <c r="C2574">
        <v>80</v>
      </c>
      <c r="D2574">
        <v>79.966812133999994</v>
      </c>
      <c r="E2574">
        <v>50</v>
      </c>
      <c r="F2574">
        <v>58.038406371999997</v>
      </c>
      <c r="G2574">
        <v>1330.8299560999999</v>
      </c>
      <c r="H2574">
        <v>1330.4178466999999</v>
      </c>
      <c r="I2574">
        <v>1334.7297363</v>
      </c>
      <c r="J2574">
        <v>1333.4151611</v>
      </c>
      <c r="K2574">
        <v>0</v>
      </c>
      <c r="L2574">
        <v>2400</v>
      </c>
      <c r="M2574">
        <v>2400</v>
      </c>
      <c r="N2574">
        <v>0</v>
      </c>
    </row>
    <row r="2575" spans="1:14" x14ac:dyDescent="0.25">
      <c r="A2575">
        <v>1645.2714100000001</v>
      </c>
      <c r="B2575" s="1">
        <f>DATE(2014,11,1) + TIME(6,30,49)</f>
        <v>41944.27140046296</v>
      </c>
      <c r="C2575">
        <v>80</v>
      </c>
      <c r="D2575">
        <v>79.964752196999996</v>
      </c>
      <c r="E2575">
        <v>50</v>
      </c>
      <c r="F2575">
        <v>57.579727173000002</v>
      </c>
      <c r="G2575">
        <v>1330.8237305</v>
      </c>
      <c r="H2575">
        <v>1330.4080810999999</v>
      </c>
      <c r="I2575">
        <v>1334.7280272999999</v>
      </c>
      <c r="J2575">
        <v>1333.4122314000001</v>
      </c>
      <c r="K2575">
        <v>0</v>
      </c>
      <c r="L2575">
        <v>2400</v>
      </c>
      <c r="M2575">
        <v>2400</v>
      </c>
      <c r="N2575">
        <v>0</v>
      </c>
    </row>
    <row r="2576" spans="1:14" x14ac:dyDescent="0.25">
      <c r="A2576">
        <v>1645.305582</v>
      </c>
      <c r="B2576" s="1">
        <f>DATE(2014,11,1) + TIME(7,20,2)</f>
        <v>41944.305578703701</v>
      </c>
      <c r="C2576">
        <v>80</v>
      </c>
      <c r="D2576">
        <v>79.962562560999999</v>
      </c>
      <c r="E2576">
        <v>50</v>
      </c>
      <c r="F2576">
        <v>57.127586364999999</v>
      </c>
      <c r="G2576">
        <v>1330.8173827999999</v>
      </c>
      <c r="H2576">
        <v>1330.3983154</v>
      </c>
      <c r="I2576">
        <v>1334.7269286999999</v>
      </c>
      <c r="J2576">
        <v>1333.409668</v>
      </c>
      <c r="K2576">
        <v>0</v>
      </c>
      <c r="L2576">
        <v>2400</v>
      </c>
      <c r="M2576">
        <v>2400</v>
      </c>
      <c r="N2576">
        <v>0</v>
      </c>
    </row>
    <row r="2577" spans="1:14" x14ac:dyDescent="0.25">
      <c r="A2577">
        <v>1645.34169</v>
      </c>
      <c r="B2577" s="1">
        <f>DATE(2014,11,1) + TIME(8,12,2)</f>
        <v>41944.341689814813</v>
      </c>
      <c r="C2577">
        <v>80</v>
      </c>
      <c r="D2577">
        <v>79.960212708</v>
      </c>
      <c r="E2577">
        <v>50</v>
      </c>
      <c r="F2577">
        <v>56.682273864999999</v>
      </c>
      <c r="G2577">
        <v>1330.8107910000001</v>
      </c>
      <c r="H2577">
        <v>1330.3883057</v>
      </c>
      <c r="I2577">
        <v>1334.7264404</v>
      </c>
      <c r="J2577">
        <v>1333.4074707</v>
      </c>
      <c r="K2577">
        <v>0</v>
      </c>
      <c r="L2577">
        <v>2400</v>
      </c>
      <c r="M2577">
        <v>2400</v>
      </c>
      <c r="N2577">
        <v>0</v>
      </c>
    </row>
    <row r="2578" spans="1:14" x14ac:dyDescent="0.25">
      <c r="A2578">
        <v>1645.3799160000001</v>
      </c>
      <c r="B2578" s="1">
        <f>DATE(2014,11,1) + TIME(9,7,4)</f>
        <v>41944.379907407405</v>
      </c>
      <c r="C2578">
        <v>80</v>
      </c>
      <c r="D2578">
        <v>79.957702636999997</v>
      </c>
      <c r="E2578">
        <v>50</v>
      </c>
      <c r="F2578">
        <v>56.244224547999998</v>
      </c>
      <c r="G2578">
        <v>1330.8041992000001</v>
      </c>
      <c r="H2578">
        <v>1330.3780518000001</v>
      </c>
      <c r="I2578">
        <v>1334.7265625</v>
      </c>
      <c r="J2578">
        <v>1333.4057617000001</v>
      </c>
      <c r="K2578">
        <v>0</v>
      </c>
      <c r="L2578">
        <v>2400</v>
      </c>
      <c r="M2578">
        <v>2400</v>
      </c>
      <c r="N2578">
        <v>0</v>
      </c>
    </row>
    <row r="2579" spans="1:14" x14ac:dyDescent="0.25">
      <c r="A2579">
        <v>1645.4204629999999</v>
      </c>
      <c r="B2579" s="1">
        <f>DATE(2014,11,1) + TIME(10,5,27)</f>
        <v>41944.420451388891</v>
      </c>
      <c r="C2579">
        <v>80</v>
      </c>
      <c r="D2579">
        <v>79.955009459999999</v>
      </c>
      <c r="E2579">
        <v>50</v>
      </c>
      <c r="F2579">
        <v>55.813919067</v>
      </c>
      <c r="G2579">
        <v>1330.7973632999999</v>
      </c>
      <c r="H2579">
        <v>1330.3676757999999</v>
      </c>
      <c r="I2579">
        <v>1334.7274170000001</v>
      </c>
      <c r="J2579">
        <v>1333.4045410000001</v>
      </c>
      <c r="K2579">
        <v>0</v>
      </c>
      <c r="L2579">
        <v>2400</v>
      </c>
      <c r="M2579">
        <v>2400</v>
      </c>
      <c r="N2579">
        <v>0</v>
      </c>
    </row>
    <row r="2580" spans="1:14" x14ac:dyDescent="0.25">
      <c r="A2580">
        <v>1645.4635599999999</v>
      </c>
      <c r="B2580" s="1">
        <f>DATE(2014,11,1) + TIME(11,7,31)</f>
        <v>41944.463553240741</v>
      </c>
      <c r="C2580">
        <v>80</v>
      </c>
      <c r="D2580">
        <v>79.952117920000006</v>
      </c>
      <c r="E2580">
        <v>50</v>
      </c>
      <c r="F2580">
        <v>55.391899109000001</v>
      </c>
      <c r="G2580">
        <v>1330.7904053</v>
      </c>
      <c r="H2580">
        <v>1330.3569336</v>
      </c>
      <c r="I2580">
        <v>1334.7288818</v>
      </c>
      <c r="J2580">
        <v>1333.4036865</v>
      </c>
      <c r="K2580">
        <v>0</v>
      </c>
      <c r="L2580">
        <v>2400</v>
      </c>
      <c r="M2580">
        <v>2400</v>
      </c>
      <c r="N2580">
        <v>0</v>
      </c>
    </row>
    <row r="2581" spans="1:14" x14ac:dyDescent="0.25">
      <c r="A2581">
        <v>1645.509472</v>
      </c>
      <c r="B2581" s="1">
        <f>DATE(2014,11,1) + TIME(12,13,38)</f>
        <v>41944.509467592594</v>
      </c>
      <c r="C2581">
        <v>80</v>
      </c>
      <c r="D2581">
        <v>79.948997497999997</v>
      </c>
      <c r="E2581">
        <v>50</v>
      </c>
      <c r="F2581">
        <v>54.978755950999997</v>
      </c>
      <c r="G2581">
        <v>1330.7832031</v>
      </c>
      <c r="H2581">
        <v>1330.3459473</v>
      </c>
      <c r="I2581">
        <v>1334.7310791</v>
      </c>
      <c r="J2581">
        <v>1333.4033202999999</v>
      </c>
      <c r="K2581">
        <v>0</v>
      </c>
      <c r="L2581">
        <v>2400</v>
      </c>
      <c r="M2581">
        <v>2400</v>
      </c>
      <c r="N2581">
        <v>0</v>
      </c>
    </row>
    <row r="2582" spans="1:14" x14ac:dyDescent="0.25">
      <c r="A2582">
        <v>1645.5585000000001</v>
      </c>
      <c r="B2582" s="1">
        <f>DATE(2014,11,1) + TIME(13,24,14)</f>
        <v>41944.558495370373</v>
      </c>
      <c r="C2582">
        <v>80</v>
      </c>
      <c r="D2582">
        <v>79.945632935000006</v>
      </c>
      <c r="E2582">
        <v>50</v>
      </c>
      <c r="F2582">
        <v>54.575149535999998</v>
      </c>
      <c r="G2582">
        <v>1330.7758789</v>
      </c>
      <c r="H2582">
        <v>1330.3347168</v>
      </c>
      <c r="I2582">
        <v>1334.7341309000001</v>
      </c>
      <c r="J2582">
        <v>1333.4035644999999</v>
      </c>
      <c r="K2582">
        <v>0</v>
      </c>
      <c r="L2582">
        <v>2400</v>
      </c>
      <c r="M2582">
        <v>2400</v>
      </c>
      <c r="N2582">
        <v>0</v>
      </c>
    </row>
    <row r="2583" spans="1:14" x14ac:dyDescent="0.25">
      <c r="A2583">
        <v>1645.6109939999999</v>
      </c>
      <c r="B2583" s="1">
        <f>DATE(2014,11,1) + TIME(14,39,49)</f>
        <v>41944.610983796294</v>
      </c>
      <c r="C2583">
        <v>80</v>
      </c>
      <c r="D2583">
        <v>79.941986084000007</v>
      </c>
      <c r="E2583">
        <v>50</v>
      </c>
      <c r="F2583">
        <v>54.181808472</v>
      </c>
      <c r="G2583">
        <v>1330.7683105000001</v>
      </c>
      <c r="H2583">
        <v>1330.3231201000001</v>
      </c>
      <c r="I2583">
        <v>1334.7379149999999</v>
      </c>
      <c r="J2583">
        <v>1333.4042969</v>
      </c>
      <c r="K2583">
        <v>0</v>
      </c>
      <c r="L2583">
        <v>2400</v>
      </c>
      <c r="M2583">
        <v>2400</v>
      </c>
      <c r="N2583">
        <v>0</v>
      </c>
    </row>
    <row r="2584" spans="1:14" x14ac:dyDescent="0.25">
      <c r="A2584">
        <v>1645.6673559999999</v>
      </c>
      <c r="B2584" s="1">
        <f>DATE(2014,11,1) + TIME(16,0,59)</f>
        <v>41944.667349537034</v>
      </c>
      <c r="C2584">
        <v>80</v>
      </c>
      <c r="D2584">
        <v>79.938034058</v>
      </c>
      <c r="E2584">
        <v>50</v>
      </c>
      <c r="F2584">
        <v>53.799545287999997</v>
      </c>
      <c r="G2584">
        <v>1330.760376</v>
      </c>
      <c r="H2584">
        <v>1330.3112793</v>
      </c>
      <c r="I2584">
        <v>1334.7424315999999</v>
      </c>
      <c r="J2584">
        <v>1333.4055175999999</v>
      </c>
      <c r="K2584">
        <v>0</v>
      </c>
      <c r="L2584">
        <v>2400</v>
      </c>
      <c r="M2584">
        <v>2400</v>
      </c>
      <c r="N2584">
        <v>0</v>
      </c>
    </row>
    <row r="2585" spans="1:14" x14ac:dyDescent="0.25">
      <c r="A2585">
        <v>1645.728057</v>
      </c>
      <c r="B2585" s="1">
        <f>DATE(2014,11,1) + TIME(17,28,24)</f>
        <v>41944.728055555555</v>
      </c>
      <c r="C2585">
        <v>80</v>
      </c>
      <c r="D2585">
        <v>79.933723450000002</v>
      </c>
      <c r="E2585">
        <v>50</v>
      </c>
      <c r="F2585">
        <v>53.429248809999997</v>
      </c>
      <c r="G2585">
        <v>1330.7523193</v>
      </c>
      <c r="H2585">
        <v>1330.2989502</v>
      </c>
      <c r="I2585">
        <v>1334.7479248</v>
      </c>
      <c r="J2585">
        <v>1333.4074707</v>
      </c>
      <c r="K2585">
        <v>0</v>
      </c>
      <c r="L2585">
        <v>2400</v>
      </c>
      <c r="M2585">
        <v>2400</v>
      </c>
      <c r="N2585">
        <v>0</v>
      </c>
    </row>
    <row r="2586" spans="1:14" x14ac:dyDescent="0.25">
      <c r="A2586">
        <v>1645.7936649999999</v>
      </c>
      <c r="B2586" s="1">
        <f>DATE(2014,11,1) + TIME(19,2,52)</f>
        <v>41944.793657407405</v>
      </c>
      <c r="C2586">
        <v>80</v>
      </c>
      <c r="D2586">
        <v>79.929023743000002</v>
      </c>
      <c r="E2586">
        <v>50</v>
      </c>
      <c r="F2586">
        <v>53.071826934999997</v>
      </c>
      <c r="G2586">
        <v>1330.7438964999999</v>
      </c>
      <c r="H2586">
        <v>1330.2861327999999</v>
      </c>
      <c r="I2586">
        <v>1334.7541504000001</v>
      </c>
      <c r="J2586">
        <v>1333.4097899999999</v>
      </c>
      <c r="K2586">
        <v>0</v>
      </c>
      <c r="L2586">
        <v>2400</v>
      </c>
      <c r="M2586">
        <v>2400</v>
      </c>
      <c r="N2586">
        <v>0</v>
      </c>
    </row>
    <row r="2587" spans="1:14" x14ac:dyDescent="0.25">
      <c r="A2587">
        <v>1645.864824</v>
      </c>
      <c r="B2587" s="1">
        <f>DATE(2014,11,1) + TIME(20,45,20)</f>
        <v>41944.864814814813</v>
      </c>
      <c r="C2587">
        <v>80</v>
      </c>
      <c r="D2587">
        <v>79.923881531000006</v>
      </c>
      <c r="E2587">
        <v>50</v>
      </c>
      <c r="F2587">
        <v>52.728404998999999</v>
      </c>
      <c r="G2587">
        <v>1330.7351074000001</v>
      </c>
      <c r="H2587">
        <v>1330.2728271000001</v>
      </c>
      <c r="I2587">
        <v>1334.7612305</v>
      </c>
      <c r="J2587">
        <v>1333.4128418</v>
      </c>
      <c r="K2587">
        <v>0</v>
      </c>
      <c r="L2587">
        <v>2400</v>
      </c>
      <c r="M2587">
        <v>2400</v>
      </c>
      <c r="N2587">
        <v>0</v>
      </c>
    </row>
    <row r="2588" spans="1:14" x14ac:dyDescent="0.25">
      <c r="A2588">
        <v>1645.9423099999999</v>
      </c>
      <c r="B2588" s="1">
        <f>DATE(2014,11,1) + TIME(22,36,55)</f>
        <v>41944.942303240743</v>
      </c>
      <c r="C2588">
        <v>80</v>
      </c>
      <c r="D2588">
        <v>79.918228149000001</v>
      </c>
      <c r="E2588">
        <v>50</v>
      </c>
      <c r="F2588">
        <v>52.400154114000003</v>
      </c>
      <c r="G2588">
        <v>1330.7259521000001</v>
      </c>
      <c r="H2588">
        <v>1330.2590332</v>
      </c>
      <c r="I2588">
        <v>1334.7691649999999</v>
      </c>
      <c r="J2588">
        <v>1333.4165039</v>
      </c>
      <c r="K2588">
        <v>0</v>
      </c>
      <c r="L2588">
        <v>2400</v>
      </c>
      <c r="M2588">
        <v>2400</v>
      </c>
      <c r="N2588">
        <v>0</v>
      </c>
    </row>
    <row r="2589" spans="1:14" x14ac:dyDescent="0.25">
      <c r="A2589">
        <v>1646.0270579999999</v>
      </c>
      <c r="B2589" s="1">
        <f>DATE(2014,11,2) + TIME(0,38,57)</f>
        <v>41945.027048611111</v>
      </c>
      <c r="C2589">
        <v>80</v>
      </c>
      <c r="D2589">
        <v>79.911994934000006</v>
      </c>
      <c r="E2589">
        <v>50</v>
      </c>
      <c r="F2589">
        <v>52.088317871000001</v>
      </c>
      <c r="G2589">
        <v>1330.7163086</v>
      </c>
      <c r="H2589">
        <v>1330.2445068</v>
      </c>
      <c r="I2589">
        <v>1334.7779541</v>
      </c>
      <c r="J2589">
        <v>1333.4206543</v>
      </c>
      <c r="K2589">
        <v>0</v>
      </c>
      <c r="L2589">
        <v>2400</v>
      </c>
      <c r="M2589">
        <v>2400</v>
      </c>
      <c r="N2589">
        <v>0</v>
      </c>
    </row>
    <row r="2590" spans="1:14" x14ac:dyDescent="0.25">
      <c r="A2590">
        <v>1646.1178500000001</v>
      </c>
      <c r="B2590" s="1">
        <f>DATE(2014,11,2) + TIME(2,49,42)</f>
        <v>41945.117847222224</v>
      </c>
      <c r="C2590">
        <v>80</v>
      </c>
      <c r="D2590">
        <v>79.905258179</v>
      </c>
      <c r="E2590">
        <v>50</v>
      </c>
      <c r="F2590">
        <v>51.800571441999999</v>
      </c>
      <c r="G2590">
        <v>1330.7062988</v>
      </c>
      <c r="H2590">
        <v>1330.2293701000001</v>
      </c>
      <c r="I2590">
        <v>1334.7877197</v>
      </c>
      <c r="J2590">
        <v>1333.4256591999999</v>
      </c>
      <c r="K2590">
        <v>0</v>
      </c>
      <c r="L2590">
        <v>2400</v>
      </c>
      <c r="M2590">
        <v>2400</v>
      </c>
      <c r="N2590">
        <v>0</v>
      </c>
    </row>
    <row r="2591" spans="1:14" x14ac:dyDescent="0.25">
      <c r="A2591">
        <v>1646.2154410000001</v>
      </c>
      <c r="B2591" s="1">
        <f>DATE(2014,11,2) + TIME(5,10,14)</f>
        <v>41945.215439814812</v>
      </c>
      <c r="C2591">
        <v>80</v>
      </c>
      <c r="D2591">
        <v>79.897964478000006</v>
      </c>
      <c r="E2591">
        <v>50</v>
      </c>
      <c r="F2591">
        <v>51.536731719999999</v>
      </c>
      <c r="G2591">
        <v>1330.6959228999999</v>
      </c>
      <c r="H2591">
        <v>1330.2137451000001</v>
      </c>
      <c r="I2591">
        <v>1334.7979736</v>
      </c>
      <c r="J2591">
        <v>1333.4310303</v>
      </c>
      <c r="K2591">
        <v>0</v>
      </c>
      <c r="L2591">
        <v>2400</v>
      </c>
      <c r="M2591">
        <v>2400</v>
      </c>
      <c r="N2591">
        <v>0</v>
      </c>
    </row>
    <row r="2592" spans="1:14" x14ac:dyDescent="0.25">
      <c r="A2592">
        <v>1646.320811</v>
      </c>
      <c r="B2592" s="1">
        <f>DATE(2014,11,2) + TIME(7,41,58)</f>
        <v>41945.320810185185</v>
      </c>
      <c r="C2592">
        <v>80</v>
      </c>
      <c r="D2592">
        <v>79.890037536999998</v>
      </c>
      <c r="E2592">
        <v>50</v>
      </c>
      <c r="F2592">
        <v>51.296398162999999</v>
      </c>
      <c r="G2592">
        <v>1330.6850586</v>
      </c>
      <c r="H2592">
        <v>1330.1976318</v>
      </c>
      <c r="I2592">
        <v>1334.8087158000001</v>
      </c>
      <c r="J2592">
        <v>1333.4367675999999</v>
      </c>
      <c r="K2592">
        <v>0</v>
      </c>
      <c r="L2592">
        <v>2400</v>
      </c>
      <c r="M2592">
        <v>2400</v>
      </c>
      <c r="N2592">
        <v>0</v>
      </c>
    </row>
    <row r="2593" spans="1:14" x14ac:dyDescent="0.25">
      <c r="A2593">
        <v>1646.435152</v>
      </c>
      <c r="B2593" s="1">
        <f>DATE(2014,11,2) + TIME(10,26,37)</f>
        <v>41945.435150462959</v>
      </c>
      <c r="C2593">
        <v>80</v>
      </c>
      <c r="D2593">
        <v>79.881401061999995</v>
      </c>
      <c r="E2593">
        <v>50</v>
      </c>
      <c r="F2593">
        <v>51.079162598000003</v>
      </c>
      <c r="G2593">
        <v>1330.6738281</v>
      </c>
      <c r="H2593">
        <v>1330.1809082</v>
      </c>
      <c r="I2593">
        <v>1334.8195800999999</v>
      </c>
      <c r="J2593">
        <v>1333.442749</v>
      </c>
      <c r="K2593">
        <v>0</v>
      </c>
      <c r="L2593">
        <v>2400</v>
      </c>
      <c r="M2593">
        <v>2400</v>
      </c>
      <c r="N2593">
        <v>0</v>
      </c>
    </row>
    <row r="2594" spans="1:14" x14ac:dyDescent="0.25">
      <c r="A2594">
        <v>1646.5599279999999</v>
      </c>
      <c r="B2594" s="1">
        <f>DATE(2014,11,2) + TIME(13,26,17)</f>
        <v>41945.559918981482</v>
      </c>
      <c r="C2594">
        <v>80</v>
      </c>
      <c r="D2594">
        <v>79.871955872000001</v>
      </c>
      <c r="E2594">
        <v>50</v>
      </c>
      <c r="F2594">
        <v>50.884590148999997</v>
      </c>
      <c r="G2594">
        <v>1330.6621094</v>
      </c>
      <c r="H2594">
        <v>1330.1634521000001</v>
      </c>
      <c r="I2594">
        <v>1334.8308105000001</v>
      </c>
      <c r="J2594">
        <v>1333.4489745999999</v>
      </c>
      <c r="K2594">
        <v>0</v>
      </c>
      <c r="L2594">
        <v>2400</v>
      </c>
      <c r="M2594">
        <v>2400</v>
      </c>
      <c r="N2594">
        <v>0</v>
      </c>
    </row>
    <row r="2595" spans="1:14" x14ac:dyDescent="0.25">
      <c r="A2595">
        <v>1646.6969610000001</v>
      </c>
      <c r="B2595" s="1">
        <f>DATE(2014,11,2) + TIME(16,43,37)</f>
        <v>41945.696956018517</v>
      </c>
      <c r="C2595">
        <v>80</v>
      </c>
      <c r="D2595">
        <v>79.861587524000001</v>
      </c>
      <c r="E2595">
        <v>50</v>
      </c>
      <c r="F2595">
        <v>50.712181090999998</v>
      </c>
      <c r="G2595">
        <v>1330.6497803</v>
      </c>
      <c r="H2595">
        <v>1330.1450195</v>
      </c>
      <c r="I2595">
        <v>1334.8420410000001</v>
      </c>
      <c r="J2595">
        <v>1333.4554443</v>
      </c>
      <c r="K2595">
        <v>0</v>
      </c>
      <c r="L2595">
        <v>2400</v>
      </c>
      <c r="M2595">
        <v>2400</v>
      </c>
      <c r="N2595">
        <v>0</v>
      </c>
    </row>
    <row r="2596" spans="1:14" x14ac:dyDescent="0.25">
      <c r="A2596">
        <v>1646.847004</v>
      </c>
      <c r="B2596" s="1">
        <f>DATE(2014,11,2) + TIME(20,19,41)</f>
        <v>41945.847002314818</v>
      </c>
      <c r="C2596">
        <v>80</v>
      </c>
      <c r="D2596">
        <v>79.850250243999994</v>
      </c>
      <c r="E2596">
        <v>50</v>
      </c>
      <c r="F2596">
        <v>50.562583922999998</v>
      </c>
      <c r="G2596">
        <v>1330.6367187999999</v>
      </c>
      <c r="H2596">
        <v>1330.1257324000001</v>
      </c>
      <c r="I2596">
        <v>1334.8532714999999</v>
      </c>
      <c r="J2596">
        <v>1333.4620361</v>
      </c>
      <c r="K2596">
        <v>0</v>
      </c>
      <c r="L2596">
        <v>2400</v>
      </c>
      <c r="M2596">
        <v>2400</v>
      </c>
      <c r="N2596">
        <v>0</v>
      </c>
    </row>
    <row r="2597" spans="1:14" x14ac:dyDescent="0.25">
      <c r="A2597">
        <v>1647.0018660000001</v>
      </c>
      <c r="B2597" s="1">
        <f>DATE(2014,11,3) + TIME(0,2,41)</f>
        <v>41946.001863425925</v>
      </c>
      <c r="C2597">
        <v>80</v>
      </c>
      <c r="D2597">
        <v>79.838500976999995</v>
      </c>
      <c r="E2597">
        <v>50</v>
      </c>
      <c r="F2597">
        <v>50.441001892000003</v>
      </c>
      <c r="G2597">
        <v>1330.6229248</v>
      </c>
      <c r="H2597">
        <v>1330.1054687999999</v>
      </c>
      <c r="I2597">
        <v>1334.864624</v>
      </c>
      <c r="J2597">
        <v>1333.4688721</v>
      </c>
      <c r="K2597">
        <v>0</v>
      </c>
      <c r="L2597">
        <v>2400</v>
      </c>
      <c r="M2597">
        <v>2400</v>
      </c>
      <c r="N2597">
        <v>0</v>
      </c>
    </row>
    <row r="2598" spans="1:14" x14ac:dyDescent="0.25">
      <c r="A2598">
        <v>1647.162225</v>
      </c>
      <c r="B2598" s="1">
        <f>DATE(2014,11,3) + TIME(3,53,36)</f>
        <v>41946.162222222221</v>
      </c>
      <c r="C2598">
        <v>80</v>
      </c>
      <c r="D2598">
        <v>79.826324463000006</v>
      </c>
      <c r="E2598">
        <v>50</v>
      </c>
      <c r="F2598">
        <v>50.342613219999997</v>
      </c>
      <c r="G2598">
        <v>1330.6091309000001</v>
      </c>
      <c r="H2598">
        <v>1330.0852050999999</v>
      </c>
      <c r="I2598">
        <v>1334.8748779</v>
      </c>
      <c r="J2598">
        <v>1333.4750977000001</v>
      </c>
      <c r="K2598">
        <v>0</v>
      </c>
      <c r="L2598">
        <v>2400</v>
      </c>
      <c r="M2598">
        <v>2400</v>
      </c>
      <c r="N2598">
        <v>0</v>
      </c>
    </row>
    <row r="2599" spans="1:14" x14ac:dyDescent="0.25">
      <c r="A2599">
        <v>1647.3285100000001</v>
      </c>
      <c r="B2599" s="1">
        <f>DATE(2014,11,3) + TIME(7,53,3)</f>
        <v>41946.328506944446</v>
      </c>
      <c r="C2599">
        <v>80</v>
      </c>
      <c r="D2599">
        <v>79.813713074000006</v>
      </c>
      <c r="E2599">
        <v>50</v>
      </c>
      <c r="F2599">
        <v>50.263523102000001</v>
      </c>
      <c r="G2599">
        <v>1330.5952147999999</v>
      </c>
      <c r="H2599">
        <v>1330.0648193</v>
      </c>
      <c r="I2599">
        <v>1334.8841553</v>
      </c>
      <c r="J2599">
        <v>1333.4808350000001</v>
      </c>
      <c r="K2599">
        <v>0</v>
      </c>
      <c r="L2599">
        <v>2400</v>
      </c>
      <c r="M2599">
        <v>2400</v>
      </c>
      <c r="N2599">
        <v>0</v>
      </c>
    </row>
    <row r="2600" spans="1:14" x14ac:dyDescent="0.25">
      <c r="A2600">
        <v>1647.5011930000001</v>
      </c>
      <c r="B2600" s="1">
        <f>DATE(2014,11,3) + TIME(12,1,43)</f>
        <v>41946.501192129632</v>
      </c>
      <c r="C2600">
        <v>80</v>
      </c>
      <c r="D2600">
        <v>79.800674438000001</v>
      </c>
      <c r="E2600">
        <v>50</v>
      </c>
      <c r="F2600">
        <v>50.200405121000003</v>
      </c>
      <c r="G2600">
        <v>1330.5811768000001</v>
      </c>
      <c r="H2600">
        <v>1330.0441894999999</v>
      </c>
      <c r="I2600">
        <v>1334.8923339999999</v>
      </c>
      <c r="J2600">
        <v>1333.4859618999999</v>
      </c>
      <c r="K2600">
        <v>0</v>
      </c>
      <c r="L2600">
        <v>2400</v>
      </c>
      <c r="M2600">
        <v>2400</v>
      </c>
      <c r="N2600">
        <v>0</v>
      </c>
    </row>
    <row r="2601" spans="1:14" x14ac:dyDescent="0.25">
      <c r="A2601">
        <v>1647.680781</v>
      </c>
      <c r="B2601" s="1">
        <f>DATE(2014,11,3) + TIME(16,20,19)</f>
        <v>41946.680775462963</v>
      </c>
      <c r="C2601">
        <v>80</v>
      </c>
      <c r="D2601">
        <v>79.787193298000005</v>
      </c>
      <c r="E2601">
        <v>50</v>
      </c>
      <c r="F2601">
        <v>50.150413512999997</v>
      </c>
      <c r="G2601">
        <v>1330.5668945</v>
      </c>
      <c r="H2601">
        <v>1330.0233154</v>
      </c>
      <c r="I2601">
        <v>1334.8995361</v>
      </c>
      <c r="J2601">
        <v>1333.4906006000001</v>
      </c>
      <c r="K2601">
        <v>0</v>
      </c>
      <c r="L2601">
        <v>2400</v>
      </c>
      <c r="M2601">
        <v>2400</v>
      </c>
      <c r="N2601">
        <v>0</v>
      </c>
    </row>
    <row r="2602" spans="1:14" x14ac:dyDescent="0.25">
      <c r="A2602">
        <v>1647.8678170000001</v>
      </c>
      <c r="B2602" s="1">
        <f>DATE(2014,11,3) + TIME(20,49,39)</f>
        <v>41946.867812500001</v>
      </c>
      <c r="C2602">
        <v>80</v>
      </c>
      <c r="D2602">
        <v>79.773277282999999</v>
      </c>
      <c r="E2602">
        <v>50</v>
      </c>
      <c r="F2602">
        <v>50.111152648999997</v>
      </c>
      <c r="G2602">
        <v>1330.5523682</v>
      </c>
      <c r="H2602">
        <v>1330.0023193</v>
      </c>
      <c r="I2602">
        <v>1334.9057617000001</v>
      </c>
      <c r="J2602">
        <v>1333.4946289</v>
      </c>
      <c r="K2602">
        <v>0</v>
      </c>
      <c r="L2602">
        <v>2400</v>
      </c>
      <c r="M2602">
        <v>2400</v>
      </c>
      <c r="N2602">
        <v>0</v>
      </c>
    </row>
    <row r="2603" spans="1:14" x14ac:dyDescent="0.25">
      <c r="A2603">
        <v>1648.0628979999999</v>
      </c>
      <c r="B2603" s="1">
        <f>DATE(2014,11,4) + TIME(1,30,34)</f>
        <v>41947.062893518516</v>
      </c>
      <c r="C2603">
        <v>80</v>
      </c>
      <c r="D2603">
        <v>79.758911132999998</v>
      </c>
      <c r="E2603">
        <v>50</v>
      </c>
      <c r="F2603">
        <v>50.080581664999997</v>
      </c>
      <c r="G2603">
        <v>1330.5377197</v>
      </c>
      <c r="H2603">
        <v>1329.980957</v>
      </c>
      <c r="I2603">
        <v>1334.9111327999999</v>
      </c>
      <c r="J2603">
        <v>1333.4981689000001</v>
      </c>
      <c r="K2603">
        <v>0</v>
      </c>
      <c r="L2603">
        <v>2400</v>
      </c>
      <c r="M2603">
        <v>2400</v>
      </c>
      <c r="N2603">
        <v>0</v>
      </c>
    </row>
    <row r="2604" spans="1:14" x14ac:dyDescent="0.25">
      <c r="A2604">
        <v>1648.2666710000001</v>
      </c>
      <c r="B2604" s="1">
        <f>DATE(2014,11,4) + TIME(6,24,0)</f>
        <v>41947.26666666667</v>
      </c>
      <c r="C2604">
        <v>80</v>
      </c>
      <c r="D2604">
        <v>79.744079589999998</v>
      </c>
      <c r="E2604">
        <v>50</v>
      </c>
      <c r="F2604">
        <v>50.056999206999997</v>
      </c>
      <c r="G2604">
        <v>1330.5228271000001</v>
      </c>
      <c r="H2604">
        <v>1329.9593506000001</v>
      </c>
      <c r="I2604">
        <v>1334.9155272999999</v>
      </c>
      <c r="J2604">
        <v>1333.5012207</v>
      </c>
      <c r="K2604">
        <v>0</v>
      </c>
      <c r="L2604">
        <v>2400</v>
      </c>
      <c r="M2604">
        <v>2400</v>
      </c>
      <c r="N2604">
        <v>0</v>
      </c>
    </row>
    <row r="2605" spans="1:14" x14ac:dyDescent="0.25">
      <c r="A2605">
        <v>1648.4798470000001</v>
      </c>
      <c r="B2605" s="1">
        <f>DATE(2014,11,4) + TIME(11,30,58)</f>
        <v>41947.479837962965</v>
      </c>
      <c r="C2605">
        <v>80</v>
      </c>
      <c r="D2605">
        <v>79.728767395000006</v>
      </c>
      <c r="E2605">
        <v>50</v>
      </c>
      <c r="F2605">
        <v>50.038982390999998</v>
      </c>
      <c r="G2605">
        <v>1330.5075684000001</v>
      </c>
      <c r="H2605">
        <v>1329.9372559000001</v>
      </c>
      <c r="I2605">
        <v>1334.9193115</v>
      </c>
      <c r="J2605">
        <v>1333.5037841999999</v>
      </c>
      <c r="K2605">
        <v>0</v>
      </c>
      <c r="L2605">
        <v>2400</v>
      </c>
      <c r="M2605">
        <v>2400</v>
      </c>
      <c r="N2605">
        <v>0</v>
      </c>
    </row>
    <row r="2606" spans="1:14" x14ac:dyDescent="0.25">
      <c r="A2606">
        <v>1648.702747</v>
      </c>
      <c r="B2606" s="1">
        <f>DATE(2014,11,4) + TIME(16,51,57)</f>
        <v>41947.702743055554</v>
      </c>
      <c r="C2606">
        <v>80</v>
      </c>
      <c r="D2606">
        <v>79.712974548000005</v>
      </c>
      <c r="E2606">
        <v>50</v>
      </c>
      <c r="F2606">
        <v>50.025379180999998</v>
      </c>
      <c r="G2606">
        <v>1330.4919434000001</v>
      </c>
      <c r="H2606">
        <v>1329.9147949000001</v>
      </c>
      <c r="I2606">
        <v>1334.9222411999999</v>
      </c>
      <c r="J2606">
        <v>1333.5059814000001</v>
      </c>
      <c r="K2606">
        <v>0</v>
      </c>
      <c r="L2606">
        <v>2400</v>
      </c>
      <c r="M2606">
        <v>2400</v>
      </c>
      <c r="N2606">
        <v>0</v>
      </c>
    </row>
    <row r="2607" spans="1:14" x14ac:dyDescent="0.25">
      <c r="A2607">
        <v>1648.937048</v>
      </c>
      <c r="B2607" s="1">
        <f>DATE(2014,11,4) + TIME(22,29,20)</f>
        <v>41947.937037037038</v>
      </c>
      <c r="C2607">
        <v>80</v>
      </c>
      <c r="D2607">
        <v>79.696640015</v>
      </c>
      <c r="E2607">
        <v>50</v>
      </c>
      <c r="F2607">
        <v>50.015178679999998</v>
      </c>
      <c r="G2607">
        <v>1330.4760742000001</v>
      </c>
      <c r="H2607">
        <v>1329.8919678</v>
      </c>
      <c r="I2607">
        <v>1334.9244385</v>
      </c>
      <c r="J2607">
        <v>1333.5076904</v>
      </c>
      <c r="K2607">
        <v>0</v>
      </c>
      <c r="L2607">
        <v>2400</v>
      </c>
      <c r="M2607">
        <v>2400</v>
      </c>
      <c r="N2607">
        <v>0</v>
      </c>
    </row>
    <row r="2608" spans="1:14" x14ac:dyDescent="0.25">
      <c r="A2608">
        <v>1649.183329</v>
      </c>
      <c r="B2608" s="1">
        <f>DATE(2014,11,5) + TIME(4,23,59)</f>
        <v>41948.183321759258</v>
      </c>
      <c r="C2608">
        <v>80</v>
      </c>
      <c r="D2608">
        <v>79.679725646999998</v>
      </c>
      <c r="E2608">
        <v>50</v>
      </c>
      <c r="F2608">
        <v>50.007625580000003</v>
      </c>
      <c r="G2608">
        <v>1330.4598389</v>
      </c>
      <c r="H2608">
        <v>1329.8686522999999</v>
      </c>
      <c r="I2608">
        <v>1334.9260254000001</v>
      </c>
      <c r="J2608">
        <v>1333.5090332</v>
      </c>
      <c r="K2608">
        <v>0</v>
      </c>
      <c r="L2608">
        <v>2400</v>
      </c>
      <c r="M2608">
        <v>2400</v>
      </c>
      <c r="N2608">
        <v>0</v>
      </c>
    </row>
    <row r="2609" spans="1:14" x14ac:dyDescent="0.25">
      <c r="A2609">
        <v>1649.4424859999999</v>
      </c>
      <c r="B2609" s="1">
        <f>DATE(2014,11,5) + TIME(10,37,10)</f>
        <v>41948.442476851851</v>
      </c>
      <c r="C2609">
        <v>80</v>
      </c>
      <c r="D2609">
        <v>79.662208557</v>
      </c>
      <c r="E2609">
        <v>50</v>
      </c>
      <c r="F2609">
        <v>50.002094268999997</v>
      </c>
      <c r="G2609">
        <v>1330.4431152</v>
      </c>
      <c r="H2609">
        <v>1329.8447266000001</v>
      </c>
      <c r="I2609">
        <v>1334.927124</v>
      </c>
      <c r="J2609">
        <v>1333.5101318</v>
      </c>
      <c r="K2609">
        <v>0</v>
      </c>
      <c r="L2609">
        <v>2400</v>
      </c>
      <c r="M2609">
        <v>2400</v>
      </c>
      <c r="N2609">
        <v>0</v>
      </c>
    </row>
    <row r="2610" spans="1:14" x14ac:dyDescent="0.25">
      <c r="A2610">
        <v>1649.7149710000001</v>
      </c>
      <c r="B2610" s="1">
        <f>DATE(2014,11,5) + TIME(17,9,33)</f>
        <v>41948.714965277781</v>
      </c>
      <c r="C2610">
        <v>80</v>
      </c>
      <c r="D2610">
        <v>79.644065857000001</v>
      </c>
      <c r="E2610">
        <v>50</v>
      </c>
      <c r="F2610">
        <v>49.998092651</v>
      </c>
      <c r="G2610">
        <v>1330.4259033000001</v>
      </c>
      <c r="H2610">
        <v>1329.8201904</v>
      </c>
      <c r="I2610">
        <v>1334.9276123</v>
      </c>
      <c r="J2610">
        <v>1333.5107422000001</v>
      </c>
      <c r="K2610">
        <v>0</v>
      </c>
      <c r="L2610">
        <v>2400</v>
      </c>
      <c r="M2610">
        <v>2400</v>
      </c>
      <c r="N2610">
        <v>0</v>
      </c>
    </row>
    <row r="2611" spans="1:14" x14ac:dyDescent="0.25">
      <c r="A2611">
        <v>1650.001669</v>
      </c>
      <c r="B2611" s="1">
        <f>DATE(2014,11,6) + TIME(0,2,24)</f>
        <v>41949.001666666663</v>
      </c>
      <c r="C2611">
        <v>80</v>
      </c>
      <c r="D2611">
        <v>79.625244140999996</v>
      </c>
      <c r="E2611">
        <v>50</v>
      </c>
      <c r="F2611">
        <v>49.995227814000003</v>
      </c>
      <c r="G2611">
        <v>1330.4083252</v>
      </c>
      <c r="H2611">
        <v>1329.7951660000001</v>
      </c>
      <c r="I2611">
        <v>1334.9276123</v>
      </c>
      <c r="J2611">
        <v>1333.5111084</v>
      </c>
      <c r="K2611">
        <v>0</v>
      </c>
      <c r="L2611">
        <v>2400</v>
      </c>
      <c r="M2611">
        <v>2400</v>
      </c>
      <c r="N2611">
        <v>0</v>
      </c>
    </row>
    <row r="2612" spans="1:14" x14ac:dyDescent="0.25">
      <c r="A2612">
        <v>1650.3037690000001</v>
      </c>
      <c r="B2612" s="1">
        <f>DATE(2014,11,6) + TIME(7,17,25)</f>
        <v>41949.303761574076</v>
      </c>
      <c r="C2612">
        <v>80</v>
      </c>
      <c r="D2612">
        <v>79.605674743999998</v>
      </c>
      <c r="E2612">
        <v>50</v>
      </c>
      <c r="F2612">
        <v>49.993194580000001</v>
      </c>
      <c r="G2612">
        <v>1330.3901367000001</v>
      </c>
      <c r="H2612">
        <v>1329.7694091999999</v>
      </c>
      <c r="I2612">
        <v>1334.9272461</v>
      </c>
      <c r="J2612">
        <v>1333.5112305</v>
      </c>
      <c r="K2612">
        <v>0</v>
      </c>
      <c r="L2612">
        <v>2400</v>
      </c>
      <c r="M2612">
        <v>2400</v>
      </c>
      <c r="N2612">
        <v>0</v>
      </c>
    </row>
    <row r="2613" spans="1:14" x14ac:dyDescent="0.25">
      <c r="A2613">
        <v>1650.6227730000001</v>
      </c>
      <c r="B2613" s="1">
        <f>DATE(2014,11,6) + TIME(14,56,47)</f>
        <v>41949.622766203705</v>
      </c>
      <c r="C2613">
        <v>80</v>
      </c>
      <c r="D2613">
        <v>79.585258483999993</v>
      </c>
      <c r="E2613">
        <v>50</v>
      </c>
      <c r="F2613">
        <v>49.991760253999999</v>
      </c>
      <c r="G2613">
        <v>1330.3714600000001</v>
      </c>
      <c r="H2613">
        <v>1329.7430420000001</v>
      </c>
      <c r="I2613">
        <v>1334.9265137</v>
      </c>
      <c r="J2613">
        <v>1333.5111084</v>
      </c>
      <c r="K2613">
        <v>0</v>
      </c>
      <c r="L2613">
        <v>2400</v>
      </c>
      <c r="M2613">
        <v>2400</v>
      </c>
      <c r="N2613">
        <v>0</v>
      </c>
    </row>
    <row r="2614" spans="1:14" x14ac:dyDescent="0.25">
      <c r="A2614">
        <v>1650.9603179999999</v>
      </c>
      <c r="B2614" s="1">
        <f>DATE(2014,11,6) + TIME(23,2,51)</f>
        <v>41949.960312499999</v>
      </c>
      <c r="C2614">
        <v>80</v>
      </c>
      <c r="D2614">
        <v>79.563888550000001</v>
      </c>
      <c r="E2614">
        <v>50</v>
      </c>
      <c r="F2614">
        <v>49.990753173999998</v>
      </c>
      <c r="G2614">
        <v>1330.3522949000001</v>
      </c>
      <c r="H2614">
        <v>1329.7159423999999</v>
      </c>
      <c r="I2614">
        <v>1334.925293</v>
      </c>
      <c r="J2614">
        <v>1333.5107422000001</v>
      </c>
      <c r="K2614">
        <v>0</v>
      </c>
      <c r="L2614">
        <v>2400</v>
      </c>
      <c r="M2614">
        <v>2400</v>
      </c>
      <c r="N2614">
        <v>0</v>
      </c>
    </row>
    <row r="2615" spans="1:14" x14ac:dyDescent="0.25">
      <c r="A2615">
        <v>1651.318213</v>
      </c>
      <c r="B2615" s="1">
        <f>DATE(2014,11,7) + TIME(7,38,13)</f>
        <v>41950.318206018521</v>
      </c>
      <c r="C2615">
        <v>80</v>
      </c>
      <c r="D2615">
        <v>79.541435242000006</v>
      </c>
      <c r="E2615">
        <v>50</v>
      </c>
      <c r="F2615">
        <v>49.990047455000003</v>
      </c>
      <c r="G2615">
        <v>1330.3323975000001</v>
      </c>
      <c r="H2615">
        <v>1329.6881103999999</v>
      </c>
      <c r="I2615">
        <v>1334.9238281</v>
      </c>
      <c r="J2615">
        <v>1333.5102539</v>
      </c>
      <c r="K2615">
        <v>0</v>
      </c>
      <c r="L2615">
        <v>2400</v>
      </c>
      <c r="M2615">
        <v>2400</v>
      </c>
      <c r="N2615">
        <v>0</v>
      </c>
    </row>
    <row r="2616" spans="1:14" x14ac:dyDescent="0.25">
      <c r="A2616">
        <v>1651.683835</v>
      </c>
      <c r="B2616" s="1">
        <f>DATE(2014,11,7) + TIME(16,24,43)</f>
        <v>41950.683831018519</v>
      </c>
      <c r="C2616">
        <v>80</v>
      </c>
      <c r="D2616">
        <v>79.518371582</v>
      </c>
      <c r="E2616">
        <v>50</v>
      </c>
      <c r="F2616">
        <v>49.989570618000002</v>
      </c>
      <c r="G2616">
        <v>1330.3120117000001</v>
      </c>
      <c r="H2616">
        <v>1329.6593018000001</v>
      </c>
      <c r="I2616">
        <v>1334.9219971</v>
      </c>
      <c r="J2616">
        <v>1333.5095214999999</v>
      </c>
      <c r="K2616">
        <v>0</v>
      </c>
      <c r="L2616">
        <v>2400</v>
      </c>
      <c r="M2616">
        <v>2400</v>
      </c>
      <c r="N2616">
        <v>0</v>
      </c>
    </row>
    <row r="2617" spans="1:14" x14ac:dyDescent="0.25">
      <c r="A2617">
        <v>1652.0558920000001</v>
      </c>
      <c r="B2617" s="1">
        <f>DATE(2014,11,8) + TIME(1,20,29)</f>
        <v>41951.055891203701</v>
      </c>
      <c r="C2617">
        <v>80</v>
      </c>
      <c r="D2617">
        <v>79.494750976999995</v>
      </c>
      <c r="E2617">
        <v>50</v>
      </c>
      <c r="F2617">
        <v>49.989238739000001</v>
      </c>
      <c r="G2617">
        <v>1330.2913818</v>
      </c>
      <c r="H2617">
        <v>1329.6304932</v>
      </c>
      <c r="I2617">
        <v>1334.9200439000001</v>
      </c>
      <c r="J2617">
        <v>1333.5086670000001</v>
      </c>
      <c r="K2617">
        <v>0</v>
      </c>
      <c r="L2617">
        <v>2400</v>
      </c>
      <c r="M2617">
        <v>2400</v>
      </c>
      <c r="N2617">
        <v>0</v>
      </c>
    </row>
    <row r="2618" spans="1:14" x14ac:dyDescent="0.25">
      <c r="A2618">
        <v>1652.437983</v>
      </c>
      <c r="B2618" s="1">
        <f>DATE(2014,11,8) + TIME(10,30,41)</f>
        <v>41951.437974537039</v>
      </c>
      <c r="C2618">
        <v>80</v>
      </c>
      <c r="D2618">
        <v>79.470413207999997</v>
      </c>
      <c r="E2618">
        <v>50</v>
      </c>
      <c r="F2618">
        <v>49.989006042</v>
      </c>
      <c r="G2618">
        <v>1330.2707519999999</v>
      </c>
      <c r="H2618">
        <v>1329.6016846</v>
      </c>
      <c r="I2618">
        <v>1334.9179687999999</v>
      </c>
      <c r="J2618">
        <v>1333.5078125</v>
      </c>
      <c r="K2618">
        <v>0</v>
      </c>
      <c r="L2618">
        <v>2400</v>
      </c>
      <c r="M2618">
        <v>2400</v>
      </c>
      <c r="N2618">
        <v>0</v>
      </c>
    </row>
    <row r="2619" spans="1:14" x14ac:dyDescent="0.25">
      <c r="A2619">
        <v>1652.8337429999999</v>
      </c>
      <c r="B2619" s="1">
        <f>DATE(2014,11,8) + TIME(20,0,35)</f>
        <v>41951.833738425928</v>
      </c>
      <c r="C2619">
        <v>80</v>
      </c>
      <c r="D2619">
        <v>79.445167541999993</v>
      </c>
      <c r="E2619">
        <v>50</v>
      </c>
      <c r="F2619">
        <v>49.988838196000003</v>
      </c>
      <c r="G2619">
        <v>1330.25</v>
      </c>
      <c r="H2619">
        <v>1329.5727539</v>
      </c>
      <c r="I2619">
        <v>1334.9157714999999</v>
      </c>
      <c r="J2619">
        <v>1333.5067139</v>
      </c>
      <c r="K2619">
        <v>0</v>
      </c>
      <c r="L2619">
        <v>2400</v>
      </c>
      <c r="M2619">
        <v>2400</v>
      </c>
      <c r="N2619">
        <v>0</v>
      </c>
    </row>
    <row r="2620" spans="1:14" x14ac:dyDescent="0.25">
      <c r="A2620">
        <v>1653.2466139999999</v>
      </c>
      <c r="B2620" s="1">
        <f>DATE(2014,11,9) + TIME(5,55,7)</f>
        <v>41952.246608796297</v>
      </c>
      <c r="C2620">
        <v>80</v>
      </c>
      <c r="D2620">
        <v>79.418785095000004</v>
      </c>
      <c r="E2620">
        <v>50</v>
      </c>
      <c r="F2620">
        <v>49.988712311</v>
      </c>
      <c r="G2620">
        <v>1330.2290039</v>
      </c>
      <c r="H2620">
        <v>1329.5435791</v>
      </c>
      <c r="I2620">
        <v>1334.9134521000001</v>
      </c>
      <c r="J2620">
        <v>1333.5057373</v>
      </c>
      <c r="K2620">
        <v>0</v>
      </c>
      <c r="L2620">
        <v>2400</v>
      </c>
      <c r="M2620">
        <v>2400</v>
      </c>
      <c r="N2620">
        <v>0</v>
      </c>
    </row>
    <row r="2621" spans="1:14" x14ac:dyDescent="0.25">
      <c r="A2621">
        <v>1653.6805690000001</v>
      </c>
      <c r="B2621" s="1">
        <f>DATE(2014,11,9) + TIME(16,20,1)</f>
        <v>41952.680567129632</v>
      </c>
      <c r="C2621">
        <v>80</v>
      </c>
      <c r="D2621">
        <v>79.391006469999994</v>
      </c>
      <c r="E2621">
        <v>50</v>
      </c>
      <c r="F2621">
        <v>49.988620758000003</v>
      </c>
      <c r="G2621">
        <v>1330.2076416</v>
      </c>
      <c r="H2621">
        <v>1329.5139160000001</v>
      </c>
      <c r="I2621">
        <v>1334.9110106999999</v>
      </c>
      <c r="J2621">
        <v>1333.5045166</v>
      </c>
      <c r="K2621">
        <v>0</v>
      </c>
      <c r="L2621">
        <v>2400</v>
      </c>
      <c r="M2621">
        <v>2400</v>
      </c>
      <c r="N2621">
        <v>0</v>
      </c>
    </row>
    <row r="2622" spans="1:14" x14ac:dyDescent="0.25">
      <c r="A2622">
        <v>1654.130639</v>
      </c>
      <c r="B2622" s="1">
        <f>DATE(2014,11,10) + TIME(3,8,7)</f>
        <v>41953.130636574075</v>
      </c>
      <c r="C2622">
        <v>80</v>
      </c>
      <c r="D2622">
        <v>79.361885071000003</v>
      </c>
      <c r="E2622">
        <v>50</v>
      </c>
      <c r="F2622">
        <v>49.988548279</v>
      </c>
      <c r="G2622">
        <v>1330.1857910000001</v>
      </c>
      <c r="H2622">
        <v>1329.4836425999999</v>
      </c>
      <c r="I2622">
        <v>1334.9084473</v>
      </c>
      <c r="J2622">
        <v>1333.5032959</v>
      </c>
      <c r="K2622">
        <v>0</v>
      </c>
      <c r="L2622">
        <v>2400</v>
      </c>
      <c r="M2622">
        <v>2400</v>
      </c>
      <c r="N2622">
        <v>0</v>
      </c>
    </row>
    <row r="2623" spans="1:14" x14ac:dyDescent="0.25">
      <c r="A2623">
        <v>1654.5906419999999</v>
      </c>
      <c r="B2623" s="1">
        <f>DATE(2014,11,10) + TIME(14,10,31)</f>
        <v>41953.590636574074</v>
      </c>
      <c r="C2623">
        <v>80</v>
      </c>
      <c r="D2623">
        <v>79.331619262999993</v>
      </c>
      <c r="E2623">
        <v>50</v>
      </c>
      <c r="F2623">
        <v>49.988491058000001</v>
      </c>
      <c r="G2623">
        <v>1330.1635742000001</v>
      </c>
      <c r="H2623">
        <v>1329.453125</v>
      </c>
      <c r="I2623">
        <v>1334.9057617000001</v>
      </c>
      <c r="J2623">
        <v>1333.5020752</v>
      </c>
      <c r="K2623">
        <v>0</v>
      </c>
      <c r="L2623">
        <v>2400</v>
      </c>
      <c r="M2623">
        <v>2400</v>
      </c>
      <c r="N2623">
        <v>0</v>
      </c>
    </row>
    <row r="2624" spans="1:14" x14ac:dyDescent="0.25">
      <c r="A2624">
        <v>1655.063543</v>
      </c>
      <c r="B2624" s="1">
        <f>DATE(2014,11,11) + TIME(1,31,30)</f>
        <v>41954.06354166667</v>
      </c>
      <c r="C2624">
        <v>80</v>
      </c>
      <c r="D2624">
        <v>79.300071716000005</v>
      </c>
      <c r="E2624">
        <v>50</v>
      </c>
      <c r="F2624">
        <v>49.988449097</v>
      </c>
      <c r="G2624">
        <v>1330.1413574000001</v>
      </c>
      <c r="H2624">
        <v>1329.4224853999999</v>
      </c>
      <c r="I2624">
        <v>1334.9030762</v>
      </c>
      <c r="J2624">
        <v>1333.5008545000001</v>
      </c>
      <c r="K2624">
        <v>0</v>
      </c>
      <c r="L2624">
        <v>2400</v>
      </c>
      <c r="M2624">
        <v>2400</v>
      </c>
      <c r="N2624">
        <v>0</v>
      </c>
    </row>
    <row r="2625" spans="1:14" x14ac:dyDescent="0.25">
      <c r="A2625">
        <v>1655.554646</v>
      </c>
      <c r="B2625" s="1">
        <f>DATE(2014,11,11) + TIME(13,18,41)</f>
        <v>41954.5546412037</v>
      </c>
      <c r="C2625">
        <v>80</v>
      </c>
      <c r="D2625">
        <v>79.266983031999999</v>
      </c>
      <c r="E2625">
        <v>50</v>
      </c>
      <c r="F2625">
        <v>49.988410950000002</v>
      </c>
      <c r="G2625">
        <v>1330.1188964999999</v>
      </c>
      <c r="H2625">
        <v>1329.3916016000001</v>
      </c>
      <c r="I2625">
        <v>1334.9003906</v>
      </c>
      <c r="J2625">
        <v>1333.4996338000001</v>
      </c>
      <c r="K2625">
        <v>0</v>
      </c>
      <c r="L2625">
        <v>2400</v>
      </c>
      <c r="M2625">
        <v>2400</v>
      </c>
      <c r="N2625">
        <v>0</v>
      </c>
    </row>
    <row r="2626" spans="1:14" x14ac:dyDescent="0.25">
      <c r="A2626">
        <v>1656.0680520000001</v>
      </c>
      <c r="B2626" s="1">
        <f>DATE(2014,11,12) + TIME(1,37,59)</f>
        <v>41955.068043981482</v>
      </c>
      <c r="C2626">
        <v>80</v>
      </c>
      <c r="D2626">
        <v>79.232070922999995</v>
      </c>
      <c r="E2626">
        <v>50</v>
      </c>
      <c r="F2626">
        <v>49.988380432</v>
      </c>
      <c r="G2626">
        <v>1330.0961914</v>
      </c>
      <c r="H2626">
        <v>1329.3604736</v>
      </c>
      <c r="I2626">
        <v>1334.8977050999999</v>
      </c>
      <c r="J2626">
        <v>1333.4984131000001</v>
      </c>
      <c r="K2626">
        <v>0</v>
      </c>
      <c r="L2626">
        <v>2400</v>
      </c>
      <c r="M2626">
        <v>2400</v>
      </c>
      <c r="N2626">
        <v>0</v>
      </c>
    </row>
    <row r="2627" spans="1:14" x14ac:dyDescent="0.25">
      <c r="A2627">
        <v>1656.6085370000001</v>
      </c>
      <c r="B2627" s="1">
        <f>DATE(2014,11,12) + TIME(14,36,17)</f>
        <v>41955.608530092592</v>
      </c>
      <c r="C2627">
        <v>80</v>
      </c>
      <c r="D2627">
        <v>79.194999695000007</v>
      </c>
      <c r="E2627">
        <v>50</v>
      </c>
      <c r="F2627">
        <v>49.988353729000004</v>
      </c>
      <c r="G2627">
        <v>1330.0731201000001</v>
      </c>
      <c r="H2627">
        <v>1329.3288574000001</v>
      </c>
      <c r="I2627">
        <v>1334.8948975000001</v>
      </c>
      <c r="J2627">
        <v>1333.4971923999999</v>
      </c>
      <c r="K2627">
        <v>0</v>
      </c>
      <c r="L2627">
        <v>2400</v>
      </c>
      <c r="M2627">
        <v>2400</v>
      </c>
      <c r="N2627">
        <v>0</v>
      </c>
    </row>
    <row r="2628" spans="1:14" x14ac:dyDescent="0.25">
      <c r="A2628">
        <v>1657.181904</v>
      </c>
      <c r="B2628" s="1">
        <f>DATE(2014,11,13) + TIME(4,21,56)</f>
        <v>41956.181898148148</v>
      </c>
      <c r="C2628">
        <v>80</v>
      </c>
      <c r="D2628">
        <v>79.155334472999996</v>
      </c>
      <c r="E2628">
        <v>50</v>
      </c>
      <c r="F2628">
        <v>49.988330841</v>
      </c>
      <c r="G2628">
        <v>1330.0493164</v>
      </c>
      <c r="H2628">
        <v>1329.2965088000001</v>
      </c>
      <c r="I2628">
        <v>1334.8920897999999</v>
      </c>
      <c r="J2628">
        <v>1333.4958495999999</v>
      </c>
      <c r="K2628">
        <v>0</v>
      </c>
      <c r="L2628">
        <v>2400</v>
      </c>
      <c r="M2628">
        <v>2400</v>
      </c>
      <c r="N2628">
        <v>0</v>
      </c>
    </row>
    <row r="2629" spans="1:14" x14ac:dyDescent="0.25">
      <c r="A2629">
        <v>1657.7714550000001</v>
      </c>
      <c r="B2629" s="1">
        <f>DATE(2014,11,13) + TIME(18,30,53)</f>
        <v>41956.77144675926</v>
      </c>
      <c r="C2629">
        <v>80</v>
      </c>
      <c r="D2629">
        <v>79.113456725999995</v>
      </c>
      <c r="E2629">
        <v>50</v>
      </c>
      <c r="F2629">
        <v>49.988307953000003</v>
      </c>
      <c r="G2629">
        <v>1330.0249022999999</v>
      </c>
      <c r="H2629">
        <v>1329.2634277</v>
      </c>
      <c r="I2629">
        <v>1334.8891602000001</v>
      </c>
      <c r="J2629">
        <v>1333.4945068</v>
      </c>
      <c r="K2629">
        <v>0</v>
      </c>
      <c r="L2629">
        <v>2400</v>
      </c>
      <c r="M2629">
        <v>2400</v>
      </c>
      <c r="N2629">
        <v>0</v>
      </c>
    </row>
    <row r="2630" spans="1:14" x14ac:dyDescent="0.25">
      <c r="A2630">
        <v>1658.3772839999999</v>
      </c>
      <c r="B2630" s="1">
        <f>DATE(2014,11,14) + TIME(9,3,17)</f>
        <v>41957.377280092594</v>
      </c>
      <c r="C2630">
        <v>80</v>
      </c>
      <c r="D2630">
        <v>79.069450377999999</v>
      </c>
      <c r="E2630">
        <v>50</v>
      </c>
      <c r="F2630">
        <v>49.988288879000002</v>
      </c>
      <c r="G2630">
        <v>1330.0002440999999</v>
      </c>
      <c r="H2630">
        <v>1329.2299805</v>
      </c>
      <c r="I2630">
        <v>1334.8862305</v>
      </c>
      <c r="J2630">
        <v>1333.4932861</v>
      </c>
      <c r="K2630">
        <v>0</v>
      </c>
      <c r="L2630">
        <v>2400</v>
      </c>
      <c r="M2630">
        <v>2400</v>
      </c>
      <c r="N2630">
        <v>0</v>
      </c>
    </row>
    <row r="2631" spans="1:14" x14ac:dyDescent="0.25">
      <c r="A2631">
        <v>1659.003242</v>
      </c>
      <c r="B2631" s="1">
        <f>DATE(2014,11,15) + TIME(0,4,40)</f>
        <v>41958.003240740742</v>
      </c>
      <c r="C2631">
        <v>80</v>
      </c>
      <c r="D2631">
        <v>79.023185729999994</v>
      </c>
      <c r="E2631">
        <v>50</v>
      </c>
      <c r="F2631">
        <v>49.988269805999998</v>
      </c>
      <c r="G2631">
        <v>1329.9753418</v>
      </c>
      <c r="H2631">
        <v>1329.1964111</v>
      </c>
      <c r="I2631">
        <v>1334.8833007999999</v>
      </c>
      <c r="J2631">
        <v>1333.4920654</v>
      </c>
      <c r="K2631">
        <v>0</v>
      </c>
      <c r="L2631">
        <v>2400</v>
      </c>
      <c r="M2631">
        <v>2400</v>
      </c>
      <c r="N2631">
        <v>0</v>
      </c>
    </row>
    <row r="2632" spans="1:14" x14ac:dyDescent="0.25">
      <c r="A2632">
        <v>1659.6552039999999</v>
      </c>
      <c r="B2632" s="1">
        <f>DATE(2014,11,15) + TIME(15,43,29)</f>
        <v>41958.65519675926</v>
      </c>
      <c r="C2632">
        <v>80</v>
      </c>
      <c r="D2632">
        <v>78.974372864000003</v>
      </c>
      <c r="E2632">
        <v>50</v>
      </c>
      <c r="F2632">
        <v>49.988250731999997</v>
      </c>
      <c r="G2632">
        <v>1329.9503173999999</v>
      </c>
      <c r="H2632">
        <v>1329.1625977000001</v>
      </c>
      <c r="I2632">
        <v>1334.8803711</v>
      </c>
      <c r="J2632">
        <v>1333.4907227000001</v>
      </c>
      <c r="K2632">
        <v>0</v>
      </c>
      <c r="L2632">
        <v>2400</v>
      </c>
      <c r="M2632">
        <v>2400</v>
      </c>
      <c r="N2632">
        <v>0</v>
      </c>
    </row>
    <row r="2633" spans="1:14" x14ac:dyDescent="0.25">
      <c r="A2633">
        <v>1660.3302369999999</v>
      </c>
      <c r="B2633" s="1">
        <f>DATE(2014,11,16) + TIME(7,55,32)</f>
        <v>41959.330231481479</v>
      </c>
      <c r="C2633">
        <v>80</v>
      </c>
      <c r="D2633">
        <v>78.922927856000001</v>
      </c>
      <c r="E2633">
        <v>50</v>
      </c>
      <c r="F2633">
        <v>49.988235474</v>
      </c>
      <c r="G2633">
        <v>1329.9249268000001</v>
      </c>
      <c r="H2633">
        <v>1329.1285399999999</v>
      </c>
      <c r="I2633">
        <v>1334.8774414</v>
      </c>
      <c r="J2633">
        <v>1333.4895019999999</v>
      </c>
      <c r="K2633">
        <v>0</v>
      </c>
      <c r="L2633">
        <v>2400</v>
      </c>
      <c r="M2633">
        <v>2400</v>
      </c>
      <c r="N2633">
        <v>0</v>
      </c>
    </row>
    <row r="2634" spans="1:14" x14ac:dyDescent="0.25">
      <c r="A2634">
        <v>1661.0131940000001</v>
      </c>
      <c r="B2634" s="1">
        <f>DATE(2014,11,17) + TIME(0,18,59)</f>
        <v>41960.013182870367</v>
      </c>
      <c r="C2634">
        <v>80</v>
      </c>
      <c r="D2634">
        <v>78.869331360000004</v>
      </c>
      <c r="E2634">
        <v>50</v>
      </c>
      <c r="F2634">
        <v>49.988216399999999</v>
      </c>
      <c r="G2634">
        <v>1329.8992920000001</v>
      </c>
      <c r="H2634">
        <v>1329.0941161999999</v>
      </c>
      <c r="I2634">
        <v>1334.8745117000001</v>
      </c>
      <c r="J2634">
        <v>1333.4882812000001</v>
      </c>
      <c r="K2634">
        <v>0</v>
      </c>
      <c r="L2634">
        <v>2400</v>
      </c>
      <c r="M2634">
        <v>2400</v>
      </c>
      <c r="N2634">
        <v>0</v>
      </c>
    </row>
    <row r="2635" spans="1:14" x14ac:dyDescent="0.25">
      <c r="A2635">
        <v>1661.7129130000001</v>
      </c>
      <c r="B2635" s="1">
        <f>DATE(2014,11,17) + TIME(17,6,35)</f>
        <v>41960.712905092594</v>
      </c>
      <c r="C2635">
        <v>80</v>
      </c>
      <c r="D2635">
        <v>78.813537597999996</v>
      </c>
      <c r="E2635">
        <v>50</v>
      </c>
      <c r="F2635">
        <v>49.988201140999998</v>
      </c>
      <c r="G2635">
        <v>1329.8739014</v>
      </c>
      <c r="H2635">
        <v>1329.0600586</v>
      </c>
      <c r="I2635">
        <v>1334.8717041</v>
      </c>
      <c r="J2635">
        <v>1333.4871826000001</v>
      </c>
      <c r="K2635">
        <v>0</v>
      </c>
      <c r="L2635">
        <v>2400</v>
      </c>
      <c r="M2635">
        <v>2400</v>
      </c>
      <c r="N2635">
        <v>0</v>
      </c>
    </row>
    <row r="2636" spans="1:14" x14ac:dyDescent="0.25">
      <c r="A2636">
        <v>1662.43579</v>
      </c>
      <c r="B2636" s="1">
        <f>DATE(2014,11,18) + TIME(10,27,32)</f>
        <v>41961.435787037037</v>
      </c>
      <c r="C2636">
        <v>80</v>
      </c>
      <c r="D2636">
        <v>78.755218506000006</v>
      </c>
      <c r="E2636">
        <v>50</v>
      </c>
      <c r="F2636">
        <v>49.988185883</v>
      </c>
      <c r="G2636">
        <v>1329.8483887</v>
      </c>
      <c r="H2636">
        <v>1329.026001</v>
      </c>
      <c r="I2636">
        <v>1334.8688964999999</v>
      </c>
      <c r="J2636">
        <v>1333.4860839999999</v>
      </c>
      <c r="K2636">
        <v>0</v>
      </c>
      <c r="L2636">
        <v>2400</v>
      </c>
      <c r="M2636">
        <v>2400</v>
      </c>
      <c r="N2636">
        <v>0</v>
      </c>
    </row>
    <row r="2637" spans="1:14" x14ac:dyDescent="0.25">
      <c r="A2637">
        <v>1663.1882969999999</v>
      </c>
      <c r="B2637" s="1">
        <f>DATE(2014,11,19) + TIME(4,31,8)</f>
        <v>41962.188287037039</v>
      </c>
      <c r="C2637">
        <v>80</v>
      </c>
      <c r="D2637">
        <v>78.693908691000004</v>
      </c>
      <c r="E2637">
        <v>50</v>
      </c>
      <c r="F2637">
        <v>49.988170623999999</v>
      </c>
      <c r="G2637">
        <v>1329.822876</v>
      </c>
      <c r="H2637">
        <v>1328.9919434000001</v>
      </c>
      <c r="I2637">
        <v>1334.8659668</v>
      </c>
      <c r="J2637">
        <v>1333.4849853999999</v>
      </c>
      <c r="K2637">
        <v>0</v>
      </c>
      <c r="L2637">
        <v>2400</v>
      </c>
      <c r="M2637">
        <v>2400</v>
      </c>
      <c r="N2637">
        <v>0</v>
      </c>
    </row>
    <row r="2638" spans="1:14" x14ac:dyDescent="0.25">
      <c r="A2638">
        <v>1663.9778650000001</v>
      </c>
      <c r="B2638" s="1">
        <f>DATE(2014,11,19) + TIME(23,28,7)</f>
        <v>41962.977858796294</v>
      </c>
      <c r="C2638">
        <v>80</v>
      </c>
      <c r="D2638">
        <v>78.629035950000002</v>
      </c>
      <c r="E2638">
        <v>50</v>
      </c>
      <c r="F2638">
        <v>49.988151549999998</v>
      </c>
      <c r="G2638">
        <v>1329.7969971</v>
      </c>
      <c r="H2638">
        <v>1328.9577637</v>
      </c>
      <c r="I2638">
        <v>1334.8631591999999</v>
      </c>
      <c r="J2638">
        <v>1333.4838867000001</v>
      </c>
      <c r="K2638">
        <v>0</v>
      </c>
      <c r="L2638">
        <v>2400</v>
      </c>
      <c r="M2638">
        <v>2400</v>
      </c>
      <c r="N2638">
        <v>0</v>
      </c>
    </row>
    <row r="2639" spans="1:14" x14ac:dyDescent="0.25">
      <c r="A2639">
        <v>1664.7988339999999</v>
      </c>
      <c r="B2639" s="1">
        <f>DATE(2014,11,20) + TIME(19,10,19)</f>
        <v>41963.798831018517</v>
      </c>
      <c r="C2639">
        <v>80</v>
      </c>
      <c r="D2639">
        <v>78.560394286999994</v>
      </c>
      <c r="E2639">
        <v>50</v>
      </c>
      <c r="F2639">
        <v>49.988136292</v>
      </c>
      <c r="G2639">
        <v>1329.7707519999999</v>
      </c>
      <c r="H2639">
        <v>1328.9229736</v>
      </c>
      <c r="I2639">
        <v>1334.8602295000001</v>
      </c>
      <c r="J2639">
        <v>1333.4827881000001</v>
      </c>
      <c r="K2639">
        <v>0</v>
      </c>
      <c r="L2639">
        <v>2400</v>
      </c>
      <c r="M2639">
        <v>2400</v>
      </c>
      <c r="N2639">
        <v>0</v>
      </c>
    </row>
    <row r="2640" spans="1:14" x14ac:dyDescent="0.25">
      <c r="A2640">
        <v>1665.6471779999999</v>
      </c>
      <c r="B2640" s="1">
        <f>DATE(2014,11,21) + TIME(15,31,56)</f>
        <v>41964.647175925929</v>
      </c>
      <c r="C2640">
        <v>80</v>
      </c>
      <c r="D2640">
        <v>78.488029479999994</v>
      </c>
      <c r="E2640">
        <v>50</v>
      </c>
      <c r="F2640">
        <v>49.988121032999999</v>
      </c>
      <c r="G2640">
        <v>1329.7441406</v>
      </c>
      <c r="H2640">
        <v>1328.8879394999999</v>
      </c>
      <c r="I2640">
        <v>1334.8572998</v>
      </c>
      <c r="J2640">
        <v>1333.4818115</v>
      </c>
      <c r="K2640">
        <v>0</v>
      </c>
      <c r="L2640">
        <v>2400</v>
      </c>
      <c r="M2640">
        <v>2400</v>
      </c>
      <c r="N2640">
        <v>0</v>
      </c>
    </row>
    <row r="2641" spans="1:14" x14ac:dyDescent="0.25">
      <c r="A2641">
        <v>1666.532193</v>
      </c>
      <c r="B2641" s="1">
        <f>DATE(2014,11,22) + TIME(12,46,21)</f>
        <v>41965.532187500001</v>
      </c>
      <c r="C2641">
        <v>80</v>
      </c>
      <c r="D2641">
        <v>78.411666870000005</v>
      </c>
      <c r="E2641">
        <v>50</v>
      </c>
      <c r="F2641">
        <v>49.988101958999998</v>
      </c>
      <c r="G2641">
        <v>1329.7172852000001</v>
      </c>
      <c r="H2641">
        <v>1328.8525391000001</v>
      </c>
      <c r="I2641">
        <v>1334.8544922000001</v>
      </c>
      <c r="J2641">
        <v>1333.4807129000001</v>
      </c>
      <c r="K2641">
        <v>0</v>
      </c>
      <c r="L2641">
        <v>2400</v>
      </c>
      <c r="M2641">
        <v>2400</v>
      </c>
      <c r="N2641">
        <v>0</v>
      </c>
    </row>
    <row r="2642" spans="1:14" x14ac:dyDescent="0.25">
      <c r="A2642">
        <v>1667.4642060000001</v>
      </c>
      <c r="B2642" s="1">
        <f>DATE(2014,11,23) + TIME(11,8,27)</f>
        <v>41966.464201388888</v>
      </c>
      <c r="C2642">
        <v>80</v>
      </c>
      <c r="D2642">
        <v>78.330635071000003</v>
      </c>
      <c r="E2642">
        <v>50</v>
      </c>
      <c r="F2642">
        <v>49.988086699999997</v>
      </c>
      <c r="G2642">
        <v>1329.6900635</v>
      </c>
      <c r="H2642">
        <v>1328.8168945</v>
      </c>
      <c r="I2642">
        <v>1334.8515625</v>
      </c>
      <c r="J2642">
        <v>1333.4797363</v>
      </c>
      <c r="K2642">
        <v>0</v>
      </c>
      <c r="L2642">
        <v>2400</v>
      </c>
      <c r="M2642">
        <v>2400</v>
      </c>
      <c r="N2642">
        <v>0</v>
      </c>
    </row>
    <row r="2643" spans="1:14" x14ac:dyDescent="0.25">
      <c r="A2643">
        <v>1668.4307799999999</v>
      </c>
      <c r="B2643" s="1">
        <f>DATE(2014,11,24) + TIME(10,20,19)</f>
        <v>41967.430775462963</v>
      </c>
      <c r="C2643">
        <v>80</v>
      </c>
      <c r="D2643">
        <v>78.244812011999997</v>
      </c>
      <c r="E2643">
        <v>50</v>
      </c>
      <c r="F2643">
        <v>49.988067627</v>
      </c>
      <c r="G2643">
        <v>1329.6623535000001</v>
      </c>
      <c r="H2643">
        <v>1328.7807617000001</v>
      </c>
      <c r="I2643">
        <v>1334.8486327999999</v>
      </c>
      <c r="J2643">
        <v>1333.4787598</v>
      </c>
      <c r="K2643">
        <v>0</v>
      </c>
      <c r="L2643">
        <v>2400</v>
      </c>
      <c r="M2643">
        <v>2400</v>
      </c>
      <c r="N2643">
        <v>0</v>
      </c>
    </row>
    <row r="2644" spans="1:14" x14ac:dyDescent="0.25">
      <c r="A2644">
        <v>1669.399287</v>
      </c>
      <c r="B2644" s="1">
        <f>DATE(2014,11,25) + TIME(9,34,58)</f>
        <v>41968.399282407408</v>
      </c>
      <c r="C2644">
        <v>80</v>
      </c>
      <c r="D2644">
        <v>78.155471801999994</v>
      </c>
      <c r="E2644">
        <v>50</v>
      </c>
      <c r="F2644">
        <v>49.988048552999999</v>
      </c>
      <c r="G2644">
        <v>1329.6342772999999</v>
      </c>
      <c r="H2644">
        <v>1328.7442627</v>
      </c>
      <c r="I2644">
        <v>1334.8455810999999</v>
      </c>
      <c r="J2644">
        <v>1333.4779053</v>
      </c>
      <c r="K2644">
        <v>0</v>
      </c>
      <c r="L2644">
        <v>2400</v>
      </c>
      <c r="M2644">
        <v>2400</v>
      </c>
      <c r="N2644">
        <v>0</v>
      </c>
    </row>
    <row r="2645" spans="1:14" x14ac:dyDescent="0.25">
      <c r="A2645">
        <v>1670.379862</v>
      </c>
      <c r="B2645" s="1">
        <f>DATE(2014,11,26) + TIME(9,7,0)</f>
        <v>41969.379861111112</v>
      </c>
      <c r="C2645">
        <v>80</v>
      </c>
      <c r="D2645">
        <v>78.063560486</v>
      </c>
      <c r="E2645">
        <v>50</v>
      </c>
      <c r="F2645">
        <v>49.988029480000002</v>
      </c>
      <c r="G2645">
        <v>1329.6066894999999</v>
      </c>
      <c r="H2645">
        <v>1328.7081298999999</v>
      </c>
      <c r="I2645">
        <v>1334.8427733999999</v>
      </c>
      <c r="J2645">
        <v>1333.4769286999999</v>
      </c>
      <c r="K2645">
        <v>0</v>
      </c>
      <c r="L2645">
        <v>2400</v>
      </c>
      <c r="M2645">
        <v>2400</v>
      </c>
      <c r="N2645">
        <v>0</v>
      </c>
    </row>
    <row r="2646" spans="1:14" x14ac:dyDescent="0.25">
      <c r="A2646">
        <v>1671.3873679999999</v>
      </c>
      <c r="B2646" s="1">
        <f>DATE(2014,11,27) + TIME(9,17,48)</f>
        <v>41970.387361111112</v>
      </c>
      <c r="C2646">
        <v>80</v>
      </c>
      <c r="D2646">
        <v>77.968711853000002</v>
      </c>
      <c r="E2646">
        <v>50</v>
      </c>
      <c r="F2646">
        <v>49.988010406000001</v>
      </c>
      <c r="G2646">
        <v>1329.5793457</v>
      </c>
      <c r="H2646">
        <v>1328.6726074000001</v>
      </c>
      <c r="I2646">
        <v>1334.8399658000001</v>
      </c>
      <c r="J2646">
        <v>1333.4760742000001</v>
      </c>
      <c r="K2646">
        <v>0</v>
      </c>
      <c r="L2646">
        <v>2400</v>
      </c>
      <c r="M2646">
        <v>2400</v>
      </c>
      <c r="N2646">
        <v>0</v>
      </c>
    </row>
    <row r="2647" spans="1:14" x14ac:dyDescent="0.25">
      <c r="A2647">
        <v>1672.4313540000001</v>
      </c>
      <c r="B2647" s="1">
        <f>DATE(2014,11,28) + TIME(10,21,8)</f>
        <v>41971.431342592594</v>
      </c>
      <c r="C2647">
        <v>80</v>
      </c>
      <c r="D2647">
        <v>77.870101929</v>
      </c>
      <c r="E2647">
        <v>50</v>
      </c>
      <c r="F2647">
        <v>49.987991332999997</v>
      </c>
      <c r="G2647">
        <v>1329.5522461</v>
      </c>
      <c r="H2647">
        <v>1328.6374512</v>
      </c>
      <c r="I2647">
        <v>1334.8371582</v>
      </c>
      <c r="J2647">
        <v>1333.4753418</v>
      </c>
      <c r="K2647">
        <v>0</v>
      </c>
      <c r="L2647">
        <v>2400</v>
      </c>
      <c r="M2647">
        <v>2400</v>
      </c>
      <c r="N2647">
        <v>0</v>
      </c>
    </row>
    <row r="2648" spans="1:14" x14ac:dyDescent="0.25">
      <c r="A2648">
        <v>1673.5191830000001</v>
      </c>
      <c r="B2648" s="1">
        <f>DATE(2014,11,29) + TIME(12,27,37)</f>
        <v>41972.519178240742</v>
      </c>
      <c r="C2648">
        <v>80</v>
      </c>
      <c r="D2648">
        <v>77.766899108999993</v>
      </c>
      <c r="E2648">
        <v>50</v>
      </c>
      <c r="F2648">
        <v>49.987972259999999</v>
      </c>
      <c r="G2648">
        <v>1329.5250243999999</v>
      </c>
      <c r="H2648">
        <v>1328.6022949000001</v>
      </c>
      <c r="I2648">
        <v>1334.8343506000001</v>
      </c>
      <c r="J2648">
        <v>1333.4746094</v>
      </c>
      <c r="K2648">
        <v>0</v>
      </c>
      <c r="L2648">
        <v>2400</v>
      </c>
      <c r="M2648">
        <v>2400</v>
      </c>
      <c r="N2648">
        <v>0</v>
      </c>
    </row>
    <row r="2649" spans="1:14" x14ac:dyDescent="0.25">
      <c r="A2649">
        <v>1674.638277</v>
      </c>
      <c r="B2649" s="1">
        <f>DATE(2014,11,30) + TIME(15,19,7)</f>
        <v>41973.638275462959</v>
      </c>
      <c r="C2649">
        <v>80</v>
      </c>
      <c r="D2649">
        <v>77.658988953000005</v>
      </c>
      <c r="E2649">
        <v>50</v>
      </c>
      <c r="F2649">
        <v>49.987953185999999</v>
      </c>
      <c r="G2649">
        <v>1329.4975586</v>
      </c>
      <c r="H2649">
        <v>1328.5668945</v>
      </c>
      <c r="I2649">
        <v>1334.8316649999999</v>
      </c>
      <c r="J2649">
        <v>1333.4738769999999</v>
      </c>
      <c r="K2649">
        <v>0</v>
      </c>
      <c r="L2649">
        <v>2400</v>
      </c>
      <c r="M2649">
        <v>2400</v>
      </c>
      <c r="N2649">
        <v>0</v>
      </c>
    </row>
    <row r="2650" spans="1:14" x14ac:dyDescent="0.25">
      <c r="A2650">
        <v>1675</v>
      </c>
      <c r="B2650" s="1">
        <f>DATE(2014,12,1) + TIME(0,0,0)</f>
        <v>41974</v>
      </c>
      <c r="C2650">
        <v>80</v>
      </c>
      <c r="D2650">
        <v>77.593574524000005</v>
      </c>
      <c r="E2650">
        <v>50</v>
      </c>
      <c r="F2650">
        <v>49.987941741999997</v>
      </c>
      <c r="G2650">
        <v>1329.4708252</v>
      </c>
      <c r="H2650">
        <v>1328.5333252</v>
      </c>
      <c r="I2650">
        <v>1334.8288574000001</v>
      </c>
      <c r="J2650">
        <v>1333.4731445</v>
      </c>
      <c r="K2650">
        <v>0</v>
      </c>
      <c r="L2650">
        <v>2400</v>
      </c>
      <c r="M2650">
        <v>2400</v>
      </c>
      <c r="N2650">
        <v>0</v>
      </c>
    </row>
    <row r="2651" spans="1:14" x14ac:dyDescent="0.25">
      <c r="A2651">
        <v>1676.16929</v>
      </c>
      <c r="B2651" s="1">
        <f>DATE(2014,12,2) + TIME(4,3,46)</f>
        <v>41975.169282407405</v>
      </c>
      <c r="C2651">
        <v>80</v>
      </c>
      <c r="D2651">
        <v>77.499885559000006</v>
      </c>
      <c r="E2651">
        <v>50</v>
      </c>
      <c r="F2651">
        <v>49.987926483000003</v>
      </c>
      <c r="G2651">
        <v>1329.4576416</v>
      </c>
      <c r="H2651">
        <v>1328.5137939000001</v>
      </c>
      <c r="I2651">
        <v>1334.8280029</v>
      </c>
      <c r="J2651">
        <v>1333.4729004000001</v>
      </c>
      <c r="K2651">
        <v>0</v>
      </c>
      <c r="L2651">
        <v>2400</v>
      </c>
      <c r="M2651">
        <v>2400</v>
      </c>
      <c r="N2651">
        <v>0</v>
      </c>
    </row>
    <row r="2652" spans="1:14" x14ac:dyDescent="0.25">
      <c r="A2652">
        <v>1677.426643</v>
      </c>
      <c r="B2652" s="1">
        <f>DATE(2014,12,3) + TIME(10,14,21)</f>
        <v>41976.426631944443</v>
      </c>
      <c r="C2652">
        <v>80</v>
      </c>
      <c r="D2652">
        <v>77.386154175000001</v>
      </c>
      <c r="E2652">
        <v>50</v>
      </c>
      <c r="F2652">
        <v>49.987907409999998</v>
      </c>
      <c r="G2652">
        <v>1329.432251</v>
      </c>
      <c r="H2652">
        <v>1328.4824219</v>
      </c>
      <c r="I2652">
        <v>1334.8251952999999</v>
      </c>
      <c r="J2652">
        <v>1333.4722899999999</v>
      </c>
      <c r="K2652">
        <v>0</v>
      </c>
      <c r="L2652">
        <v>2400</v>
      </c>
      <c r="M2652">
        <v>2400</v>
      </c>
      <c r="N2652">
        <v>0</v>
      </c>
    </row>
    <row r="2653" spans="1:14" x14ac:dyDescent="0.25">
      <c r="A2653">
        <v>1678.7246230000001</v>
      </c>
      <c r="B2653" s="1">
        <f>DATE(2014,12,4) + TIME(17,23,27)</f>
        <v>41977.724618055552</v>
      </c>
      <c r="C2653">
        <v>80</v>
      </c>
      <c r="D2653">
        <v>77.260536193999997</v>
      </c>
      <c r="E2653">
        <v>50</v>
      </c>
      <c r="F2653">
        <v>49.987884520999998</v>
      </c>
      <c r="G2653">
        <v>1329.4045410000001</v>
      </c>
      <c r="H2653">
        <v>1328.4476318</v>
      </c>
      <c r="I2653">
        <v>1334.8223877</v>
      </c>
      <c r="J2653">
        <v>1333.4715576000001</v>
      </c>
      <c r="K2653">
        <v>0</v>
      </c>
      <c r="L2653">
        <v>2400</v>
      </c>
      <c r="M2653">
        <v>2400</v>
      </c>
      <c r="N2653">
        <v>0</v>
      </c>
    </row>
    <row r="2654" spans="1:14" x14ac:dyDescent="0.25">
      <c r="A2654">
        <v>1680.0295880000001</v>
      </c>
      <c r="B2654" s="1">
        <f>DATE(2014,12,6) + TIME(0,42,36)</f>
        <v>41979.029583333337</v>
      </c>
      <c r="C2654">
        <v>80</v>
      </c>
      <c r="D2654">
        <v>77.128730774000005</v>
      </c>
      <c r="E2654">
        <v>50</v>
      </c>
      <c r="F2654">
        <v>49.987865448000001</v>
      </c>
      <c r="G2654">
        <v>1329.3759766000001</v>
      </c>
      <c r="H2654">
        <v>1328.4113769999999</v>
      </c>
      <c r="I2654">
        <v>1334.8194579999999</v>
      </c>
      <c r="J2654">
        <v>1333.4709473</v>
      </c>
      <c r="K2654">
        <v>0</v>
      </c>
      <c r="L2654">
        <v>2400</v>
      </c>
      <c r="M2654">
        <v>2400</v>
      </c>
      <c r="N2654">
        <v>0</v>
      </c>
    </row>
    <row r="2655" spans="1:14" x14ac:dyDescent="0.25">
      <c r="A2655">
        <v>1681.3649069999999</v>
      </c>
      <c r="B2655" s="1">
        <f>DATE(2014,12,7) + TIME(8,45,27)</f>
        <v>41980.364895833336</v>
      </c>
      <c r="C2655">
        <v>80</v>
      </c>
      <c r="D2655">
        <v>76.993293761999993</v>
      </c>
      <c r="E2655">
        <v>50</v>
      </c>
      <c r="F2655">
        <v>49.987842559999997</v>
      </c>
      <c r="G2655">
        <v>1329.3475341999999</v>
      </c>
      <c r="H2655">
        <v>1328.3752440999999</v>
      </c>
      <c r="I2655">
        <v>1334.8166504000001</v>
      </c>
      <c r="J2655">
        <v>1333.4703368999999</v>
      </c>
      <c r="K2655">
        <v>0</v>
      </c>
      <c r="L2655">
        <v>2400</v>
      </c>
      <c r="M2655">
        <v>2400</v>
      </c>
      <c r="N2655">
        <v>0</v>
      </c>
    </row>
    <row r="2656" spans="1:14" x14ac:dyDescent="0.25">
      <c r="A2656">
        <v>1682.744776</v>
      </c>
      <c r="B2656" s="1">
        <f>DATE(2014,12,8) + TIME(17,52,28)</f>
        <v>41981.744768518518</v>
      </c>
      <c r="C2656">
        <v>80</v>
      </c>
      <c r="D2656">
        <v>76.853622436999999</v>
      </c>
      <c r="E2656">
        <v>50</v>
      </c>
      <c r="F2656">
        <v>49.987823486000003</v>
      </c>
      <c r="G2656">
        <v>1329.3193358999999</v>
      </c>
      <c r="H2656">
        <v>1328.3393555</v>
      </c>
      <c r="I2656">
        <v>1334.8139647999999</v>
      </c>
      <c r="J2656">
        <v>1333.4698486</v>
      </c>
      <c r="K2656">
        <v>0</v>
      </c>
      <c r="L2656">
        <v>2400</v>
      </c>
      <c r="M2656">
        <v>2400</v>
      </c>
      <c r="N2656">
        <v>0</v>
      </c>
    </row>
    <row r="2657" spans="1:14" x14ac:dyDescent="0.25">
      <c r="A2657">
        <v>1684.1851320000001</v>
      </c>
      <c r="B2657" s="1">
        <f>DATE(2014,12,10) + TIME(4,26,35)</f>
        <v>41983.185127314813</v>
      </c>
      <c r="C2657">
        <v>80</v>
      </c>
      <c r="D2657">
        <v>76.708526610999996</v>
      </c>
      <c r="E2657">
        <v>50</v>
      </c>
      <c r="F2657">
        <v>49.987800598</v>
      </c>
      <c r="G2657">
        <v>1329.2911377</v>
      </c>
      <c r="H2657">
        <v>1328.3035889</v>
      </c>
      <c r="I2657">
        <v>1334.8112793</v>
      </c>
      <c r="J2657">
        <v>1333.4693603999999</v>
      </c>
      <c r="K2657">
        <v>0</v>
      </c>
      <c r="L2657">
        <v>2400</v>
      </c>
      <c r="M2657">
        <v>2400</v>
      </c>
      <c r="N2657">
        <v>0</v>
      </c>
    </row>
    <row r="2658" spans="1:14" x14ac:dyDescent="0.25">
      <c r="A2658">
        <v>1685.7045439999999</v>
      </c>
      <c r="B2658" s="1">
        <f>DATE(2014,12,11) + TIME(16,54,32)</f>
        <v>41984.70453703704</v>
      </c>
      <c r="C2658">
        <v>80</v>
      </c>
      <c r="D2658">
        <v>76.556457519999995</v>
      </c>
      <c r="E2658">
        <v>50</v>
      </c>
      <c r="F2658">
        <v>49.987777710000003</v>
      </c>
      <c r="G2658">
        <v>1329.2626952999999</v>
      </c>
      <c r="H2658">
        <v>1328.2675781</v>
      </c>
      <c r="I2658">
        <v>1334.8084716999999</v>
      </c>
      <c r="J2658">
        <v>1333.4688721</v>
      </c>
      <c r="K2658">
        <v>0</v>
      </c>
      <c r="L2658">
        <v>2400</v>
      </c>
      <c r="M2658">
        <v>2400</v>
      </c>
      <c r="N2658">
        <v>0</v>
      </c>
    </row>
    <row r="2659" spans="1:14" x14ac:dyDescent="0.25">
      <c r="A2659">
        <v>1687.2419540000001</v>
      </c>
      <c r="B2659" s="1">
        <f>DATE(2014,12,13) + TIME(5,48,24)</f>
        <v>41986.241944444446</v>
      </c>
      <c r="C2659">
        <v>80</v>
      </c>
      <c r="D2659">
        <v>76.397682189999998</v>
      </c>
      <c r="E2659">
        <v>50</v>
      </c>
      <c r="F2659">
        <v>49.987754821999999</v>
      </c>
      <c r="G2659">
        <v>1329.2337646000001</v>
      </c>
      <c r="H2659">
        <v>1328.2312012</v>
      </c>
      <c r="I2659">
        <v>1334.8056641000001</v>
      </c>
      <c r="J2659">
        <v>1333.4683838000001</v>
      </c>
      <c r="K2659">
        <v>0</v>
      </c>
      <c r="L2659">
        <v>2400</v>
      </c>
      <c r="M2659">
        <v>2400</v>
      </c>
      <c r="N2659">
        <v>0</v>
      </c>
    </row>
    <row r="2660" spans="1:14" x14ac:dyDescent="0.25">
      <c r="A2660">
        <v>1688.8039220000001</v>
      </c>
      <c r="B2660" s="1">
        <f>DATE(2014,12,14) + TIME(19,17,38)</f>
        <v>41987.803912037038</v>
      </c>
      <c r="C2660">
        <v>80</v>
      </c>
      <c r="D2660">
        <v>76.235275268999999</v>
      </c>
      <c r="E2660">
        <v>50</v>
      </c>
      <c r="F2660">
        <v>49.987731934000003</v>
      </c>
      <c r="G2660">
        <v>1329.2049560999999</v>
      </c>
      <c r="H2660">
        <v>1328.1949463000001</v>
      </c>
      <c r="I2660">
        <v>1334.8029785000001</v>
      </c>
      <c r="J2660">
        <v>1333.4680175999999</v>
      </c>
      <c r="K2660">
        <v>0</v>
      </c>
      <c r="L2660">
        <v>2400</v>
      </c>
      <c r="M2660">
        <v>2400</v>
      </c>
      <c r="N2660">
        <v>0</v>
      </c>
    </row>
    <row r="2661" spans="1:14" x14ac:dyDescent="0.25">
      <c r="A2661">
        <v>1690.4103230000001</v>
      </c>
      <c r="B2661" s="1">
        <f>DATE(2014,12,16) + TIME(9,50,51)</f>
        <v>41989.410312499997</v>
      </c>
      <c r="C2661">
        <v>80</v>
      </c>
      <c r="D2661">
        <v>76.069236755000006</v>
      </c>
      <c r="E2661">
        <v>50</v>
      </c>
      <c r="F2661">
        <v>49.987709045000003</v>
      </c>
      <c r="G2661">
        <v>1329.1765137</v>
      </c>
      <c r="H2661">
        <v>1328.1590576000001</v>
      </c>
      <c r="I2661">
        <v>1334.800293</v>
      </c>
      <c r="J2661">
        <v>1333.4675293</v>
      </c>
      <c r="K2661">
        <v>0</v>
      </c>
      <c r="L2661">
        <v>2400</v>
      </c>
      <c r="M2661">
        <v>2400</v>
      </c>
      <c r="N2661">
        <v>0</v>
      </c>
    </row>
    <row r="2662" spans="1:14" x14ac:dyDescent="0.25">
      <c r="A2662">
        <v>1692.1024669999999</v>
      </c>
      <c r="B2662" s="1">
        <f>DATE(2014,12,18) + TIME(2,27,33)</f>
        <v>41991.102465277778</v>
      </c>
      <c r="C2662">
        <v>80</v>
      </c>
      <c r="D2662">
        <v>75.897552489999995</v>
      </c>
      <c r="E2662">
        <v>50</v>
      </c>
      <c r="F2662">
        <v>49.987686156999999</v>
      </c>
      <c r="G2662">
        <v>1329.1481934000001</v>
      </c>
      <c r="H2662">
        <v>1328.1235352000001</v>
      </c>
      <c r="I2662">
        <v>1334.7976074000001</v>
      </c>
      <c r="J2662">
        <v>1333.4672852000001</v>
      </c>
      <c r="K2662">
        <v>0</v>
      </c>
      <c r="L2662">
        <v>2400</v>
      </c>
      <c r="M2662">
        <v>2400</v>
      </c>
      <c r="N2662">
        <v>0</v>
      </c>
    </row>
    <row r="2663" spans="1:14" x14ac:dyDescent="0.25">
      <c r="A2663">
        <v>1693.8900839999999</v>
      </c>
      <c r="B2663" s="1">
        <f>DATE(2014,12,19) + TIME(21,21,43)</f>
        <v>41992.890081018515</v>
      </c>
      <c r="C2663">
        <v>80</v>
      </c>
      <c r="D2663">
        <v>75.717330933</v>
      </c>
      <c r="E2663">
        <v>50</v>
      </c>
      <c r="F2663">
        <v>49.987659454000003</v>
      </c>
      <c r="G2663">
        <v>1329.1195068</v>
      </c>
      <c r="H2663">
        <v>1328.0877685999999</v>
      </c>
      <c r="I2663">
        <v>1334.7949219</v>
      </c>
      <c r="J2663">
        <v>1333.4669189000001</v>
      </c>
      <c r="K2663">
        <v>0</v>
      </c>
      <c r="L2663">
        <v>2400</v>
      </c>
      <c r="M2663">
        <v>2400</v>
      </c>
      <c r="N2663">
        <v>0</v>
      </c>
    </row>
    <row r="2664" spans="1:14" x14ac:dyDescent="0.25">
      <c r="A2664">
        <v>1695.7283210000001</v>
      </c>
      <c r="B2664" s="1">
        <f>DATE(2014,12,21) + TIME(17,28,46)</f>
        <v>41994.728310185186</v>
      </c>
      <c r="C2664">
        <v>80</v>
      </c>
      <c r="D2664">
        <v>75.528350829999994</v>
      </c>
      <c r="E2664">
        <v>50</v>
      </c>
      <c r="F2664">
        <v>49.987636565999999</v>
      </c>
      <c r="G2664">
        <v>1329.090332</v>
      </c>
      <c r="H2664">
        <v>1328.0513916</v>
      </c>
      <c r="I2664">
        <v>1334.7921143000001</v>
      </c>
      <c r="J2664">
        <v>1333.4665527</v>
      </c>
      <c r="K2664">
        <v>0</v>
      </c>
      <c r="L2664">
        <v>2400</v>
      </c>
      <c r="M2664">
        <v>2400</v>
      </c>
      <c r="N2664">
        <v>0</v>
      </c>
    </row>
    <row r="2665" spans="1:14" x14ac:dyDescent="0.25">
      <c r="A2665">
        <v>1697.621384</v>
      </c>
      <c r="B2665" s="1">
        <f>DATE(2014,12,23) + TIME(14,54,47)</f>
        <v>41996.621377314812</v>
      </c>
      <c r="C2665">
        <v>80</v>
      </c>
      <c r="D2665">
        <v>75.333183289000004</v>
      </c>
      <c r="E2665">
        <v>50</v>
      </c>
      <c r="F2665">
        <v>49.987609863000003</v>
      </c>
      <c r="G2665">
        <v>1329.0609131000001</v>
      </c>
      <c r="H2665">
        <v>1328.0147704999999</v>
      </c>
      <c r="I2665">
        <v>1334.7894286999999</v>
      </c>
      <c r="J2665">
        <v>1333.4663086</v>
      </c>
      <c r="K2665">
        <v>0</v>
      </c>
      <c r="L2665">
        <v>2400</v>
      </c>
      <c r="M2665">
        <v>2400</v>
      </c>
      <c r="N2665">
        <v>0</v>
      </c>
    </row>
    <row r="2666" spans="1:14" x14ac:dyDescent="0.25">
      <c r="A2666">
        <v>1699.5940760000001</v>
      </c>
      <c r="B2666" s="1">
        <f>DATE(2014,12,25) + TIME(14,15,28)</f>
        <v>41998.594074074077</v>
      </c>
      <c r="C2666">
        <v>80</v>
      </c>
      <c r="D2666">
        <v>75.131675720000004</v>
      </c>
      <c r="E2666">
        <v>50</v>
      </c>
      <c r="F2666">
        <v>49.987586974999999</v>
      </c>
      <c r="G2666">
        <v>1329.0316161999999</v>
      </c>
      <c r="H2666">
        <v>1327.9782714999999</v>
      </c>
      <c r="I2666">
        <v>1334.7866211</v>
      </c>
      <c r="J2666">
        <v>1333.4660644999999</v>
      </c>
      <c r="K2666">
        <v>0</v>
      </c>
      <c r="L2666">
        <v>2400</v>
      </c>
      <c r="M2666">
        <v>2400</v>
      </c>
      <c r="N2666">
        <v>0</v>
      </c>
    </row>
    <row r="2667" spans="1:14" x14ac:dyDescent="0.25">
      <c r="A2667">
        <v>1701.664113</v>
      </c>
      <c r="B2667" s="1">
        <f>DATE(2014,12,27) + TIME(15,56,19)</f>
        <v>42000.6641087963</v>
      </c>
      <c r="C2667">
        <v>80</v>
      </c>
      <c r="D2667">
        <v>74.921936035000002</v>
      </c>
      <c r="E2667">
        <v>50</v>
      </c>
      <c r="F2667">
        <v>49.987560272000003</v>
      </c>
      <c r="G2667">
        <v>1329.0020752</v>
      </c>
      <c r="H2667">
        <v>1327.9416504000001</v>
      </c>
      <c r="I2667">
        <v>1334.7839355000001</v>
      </c>
      <c r="J2667">
        <v>1333.4658202999999</v>
      </c>
      <c r="K2667">
        <v>0</v>
      </c>
      <c r="L2667">
        <v>2400</v>
      </c>
      <c r="M2667">
        <v>2400</v>
      </c>
      <c r="N2667">
        <v>0</v>
      </c>
    </row>
    <row r="2668" spans="1:14" x14ac:dyDescent="0.25">
      <c r="A2668">
        <v>1703.73533</v>
      </c>
      <c r="B2668" s="1">
        <f>DATE(2014,12,29) + TIME(17,38,52)</f>
        <v>42002.735324074078</v>
      </c>
      <c r="C2668">
        <v>80</v>
      </c>
      <c r="D2668">
        <v>74.704360961999996</v>
      </c>
      <c r="E2668">
        <v>50</v>
      </c>
      <c r="F2668">
        <v>49.987533569</v>
      </c>
      <c r="G2668">
        <v>1328.9722899999999</v>
      </c>
      <c r="H2668">
        <v>1327.9046631000001</v>
      </c>
      <c r="I2668">
        <v>1334.7811279</v>
      </c>
      <c r="J2668">
        <v>1333.4655762</v>
      </c>
      <c r="K2668">
        <v>0</v>
      </c>
      <c r="L2668">
        <v>2400</v>
      </c>
      <c r="M2668">
        <v>2400</v>
      </c>
      <c r="N2668">
        <v>0</v>
      </c>
    </row>
    <row r="2669" spans="1:14" x14ac:dyDescent="0.25">
      <c r="A2669">
        <v>1705.8305949999999</v>
      </c>
      <c r="B2669" s="1">
        <f>DATE(2014,12,31) + TIME(19,56,3)</f>
        <v>42004.830590277779</v>
      </c>
      <c r="C2669">
        <v>80</v>
      </c>
      <c r="D2669">
        <v>74.484970093000001</v>
      </c>
      <c r="E2669">
        <v>50</v>
      </c>
      <c r="F2669">
        <v>49.987510681000003</v>
      </c>
      <c r="G2669">
        <v>1328.9428711</v>
      </c>
      <c r="H2669">
        <v>1327.8680420000001</v>
      </c>
      <c r="I2669">
        <v>1334.7784423999999</v>
      </c>
      <c r="J2669">
        <v>1333.4654541</v>
      </c>
      <c r="K2669">
        <v>0</v>
      </c>
      <c r="L2669">
        <v>2400</v>
      </c>
      <c r="M2669">
        <v>2400</v>
      </c>
      <c r="N2669">
        <v>0</v>
      </c>
    </row>
    <row r="2670" spans="1:14" x14ac:dyDescent="0.25">
      <c r="A2670">
        <v>1706</v>
      </c>
      <c r="B2670" s="1">
        <f>DATE(2015,1,1) + TIME(0,0,0)</f>
        <v>42005</v>
      </c>
      <c r="C2670">
        <v>80</v>
      </c>
      <c r="D2670">
        <v>74.415985106999997</v>
      </c>
      <c r="E2670">
        <v>50</v>
      </c>
      <c r="F2670">
        <v>49.987503052000001</v>
      </c>
      <c r="G2670">
        <v>1328.9146728999999</v>
      </c>
      <c r="H2670">
        <v>1327.8353271000001</v>
      </c>
      <c r="I2670">
        <v>1334.7758789</v>
      </c>
      <c r="J2670">
        <v>1333.4652100000001</v>
      </c>
      <c r="K2670">
        <v>0</v>
      </c>
      <c r="L2670">
        <v>2400</v>
      </c>
      <c r="M2670">
        <v>2400</v>
      </c>
      <c r="N2670">
        <v>0</v>
      </c>
    </row>
    <row r="2671" spans="1:14" x14ac:dyDescent="0.25">
      <c r="A2671">
        <v>1708.1440950000001</v>
      </c>
      <c r="B2671" s="1">
        <f>DATE(2015,1,3) + TIME(3,27,29)</f>
        <v>42007.144085648149</v>
      </c>
      <c r="C2671">
        <v>80</v>
      </c>
      <c r="D2671">
        <v>74.234893799000005</v>
      </c>
      <c r="E2671">
        <v>50</v>
      </c>
      <c r="F2671">
        <v>49.987480163999997</v>
      </c>
      <c r="G2671">
        <v>1328.9090576000001</v>
      </c>
      <c r="H2671">
        <v>1327.8244629000001</v>
      </c>
      <c r="I2671">
        <v>1334.7757568</v>
      </c>
      <c r="J2671">
        <v>1333.465332</v>
      </c>
      <c r="K2671">
        <v>0</v>
      </c>
      <c r="L2671">
        <v>2400</v>
      </c>
      <c r="M2671">
        <v>2400</v>
      </c>
      <c r="N2671">
        <v>0</v>
      </c>
    </row>
    <row r="2672" spans="1:14" x14ac:dyDescent="0.25">
      <c r="A2672">
        <v>1710.3863309999999</v>
      </c>
      <c r="B2672" s="1">
        <f>DATE(2015,1,5) + TIME(9,16,19)</f>
        <v>42009.386331018519</v>
      </c>
      <c r="C2672">
        <v>80</v>
      </c>
      <c r="D2672">
        <v>74.014595032000003</v>
      </c>
      <c r="E2672">
        <v>50</v>
      </c>
      <c r="F2672">
        <v>49.987457274999997</v>
      </c>
      <c r="G2672">
        <v>1328.8826904</v>
      </c>
      <c r="H2672">
        <v>1327.7930908000001</v>
      </c>
      <c r="I2672">
        <v>1334.7731934000001</v>
      </c>
      <c r="J2672">
        <v>1333.4652100000001</v>
      </c>
      <c r="K2672">
        <v>0</v>
      </c>
      <c r="L2672">
        <v>2400</v>
      </c>
      <c r="M2672">
        <v>2400</v>
      </c>
      <c r="N2672">
        <v>0</v>
      </c>
    </row>
    <row r="2673" spans="1:14" x14ac:dyDescent="0.25">
      <c r="A2673">
        <v>1712.738282</v>
      </c>
      <c r="B2673" s="1">
        <f>DATE(2015,1,7) + TIME(17,43,7)</f>
        <v>42011.738275462965</v>
      </c>
      <c r="C2673">
        <v>80</v>
      </c>
      <c r="D2673">
        <v>73.780029296999999</v>
      </c>
      <c r="E2673">
        <v>50</v>
      </c>
      <c r="F2673">
        <v>49.987430572999997</v>
      </c>
      <c r="G2673">
        <v>1328.8546143000001</v>
      </c>
      <c r="H2673">
        <v>1327.7587891000001</v>
      </c>
      <c r="I2673">
        <v>1334.7705077999999</v>
      </c>
      <c r="J2673">
        <v>1333.4650879000001</v>
      </c>
      <c r="K2673">
        <v>0</v>
      </c>
      <c r="L2673">
        <v>2400</v>
      </c>
      <c r="M2673">
        <v>2400</v>
      </c>
      <c r="N2673">
        <v>0</v>
      </c>
    </row>
    <row r="2674" spans="1:14" x14ac:dyDescent="0.25">
      <c r="A2674">
        <v>1715.2371479999999</v>
      </c>
      <c r="B2674" s="1">
        <f>DATE(2015,1,10) + TIME(5,41,29)</f>
        <v>42014.237141203703</v>
      </c>
      <c r="C2674">
        <v>80</v>
      </c>
      <c r="D2674">
        <v>73.533020019999995</v>
      </c>
      <c r="E2674">
        <v>50</v>
      </c>
      <c r="F2674">
        <v>49.987403870000001</v>
      </c>
      <c r="G2674">
        <v>1328.8258057</v>
      </c>
      <c r="H2674">
        <v>1327.7235106999999</v>
      </c>
      <c r="I2674">
        <v>1334.7679443</v>
      </c>
      <c r="J2674">
        <v>1333.4649658000001</v>
      </c>
      <c r="K2674">
        <v>0</v>
      </c>
      <c r="L2674">
        <v>2400</v>
      </c>
      <c r="M2674">
        <v>2400</v>
      </c>
      <c r="N2674">
        <v>0</v>
      </c>
    </row>
    <row r="2675" spans="1:14" x14ac:dyDescent="0.25">
      <c r="A2675">
        <v>1717.8559990000001</v>
      </c>
      <c r="B2675" s="1">
        <f>DATE(2015,1,12) + TIME(20,32,38)</f>
        <v>42016.855995370373</v>
      </c>
      <c r="C2675">
        <v>80</v>
      </c>
      <c r="D2675">
        <v>73.272537231000001</v>
      </c>
      <c r="E2675">
        <v>50</v>
      </c>
      <c r="F2675">
        <v>49.987377166999998</v>
      </c>
      <c r="G2675">
        <v>1328.7963867000001</v>
      </c>
      <c r="H2675">
        <v>1327.6873779</v>
      </c>
      <c r="I2675">
        <v>1334.7652588000001</v>
      </c>
      <c r="J2675">
        <v>1333.4648437999999</v>
      </c>
      <c r="K2675">
        <v>0</v>
      </c>
      <c r="L2675">
        <v>2400</v>
      </c>
      <c r="M2675">
        <v>2400</v>
      </c>
      <c r="N2675">
        <v>0</v>
      </c>
    </row>
    <row r="2676" spans="1:14" x14ac:dyDescent="0.25">
      <c r="A2676">
        <v>1720.52837</v>
      </c>
      <c r="B2676" s="1">
        <f>DATE(2015,1,15) + TIME(12,40,51)</f>
        <v>42019.528368055559</v>
      </c>
      <c r="C2676">
        <v>80</v>
      </c>
      <c r="D2676">
        <v>73.001152039000004</v>
      </c>
      <c r="E2676">
        <v>50</v>
      </c>
      <c r="F2676">
        <v>49.987350464000002</v>
      </c>
      <c r="G2676">
        <v>1328.7663574000001</v>
      </c>
      <c r="H2676">
        <v>1327.6506348</v>
      </c>
      <c r="I2676">
        <v>1334.7625731999999</v>
      </c>
      <c r="J2676">
        <v>1333.4648437999999</v>
      </c>
      <c r="K2676">
        <v>0</v>
      </c>
      <c r="L2676">
        <v>2400</v>
      </c>
      <c r="M2676">
        <v>2400</v>
      </c>
      <c r="N2676">
        <v>0</v>
      </c>
    </row>
    <row r="2677" spans="1:14" x14ac:dyDescent="0.25">
      <c r="A2677">
        <v>1723.27009</v>
      </c>
      <c r="B2677" s="1">
        <f>DATE(2015,1,18) + TIME(6,28,55)</f>
        <v>42022.27008101852</v>
      </c>
      <c r="C2677">
        <v>80</v>
      </c>
      <c r="D2677">
        <v>72.724090575999995</v>
      </c>
      <c r="E2677">
        <v>50</v>
      </c>
      <c r="F2677">
        <v>49.987323760999999</v>
      </c>
      <c r="G2677">
        <v>1328.7363281</v>
      </c>
      <c r="H2677">
        <v>1327.6137695</v>
      </c>
      <c r="I2677">
        <v>1334.7598877</v>
      </c>
      <c r="J2677">
        <v>1333.4648437999999</v>
      </c>
      <c r="K2677">
        <v>0</v>
      </c>
      <c r="L2677">
        <v>2400</v>
      </c>
      <c r="M2677">
        <v>2400</v>
      </c>
      <c r="N2677">
        <v>0</v>
      </c>
    </row>
    <row r="2678" spans="1:14" x14ac:dyDescent="0.25">
      <c r="A2678">
        <v>1726.1355840000001</v>
      </c>
      <c r="B2678" s="1">
        <f>DATE(2015,1,21) + TIME(3,15,14)</f>
        <v>42025.135578703703</v>
      </c>
      <c r="C2678">
        <v>80</v>
      </c>
      <c r="D2678">
        <v>72.440010071000003</v>
      </c>
      <c r="E2678">
        <v>50</v>
      </c>
      <c r="F2678">
        <v>49.987297058000003</v>
      </c>
      <c r="G2678">
        <v>1328.7066649999999</v>
      </c>
      <c r="H2678">
        <v>1327.5773925999999</v>
      </c>
      <c r="I2678">
        <v>1334.7572021000001</v>
      </c>
      <c r="J2678">
        <v>1333.4647216999999</v>
      </c>
      <c r="K2678">
        <v>0</v>
      </c>
      <c r="L2678">
        <v>2400</v>
      </c>
      <c r="M2678">
        <v>2400</v>
      </c>
      <c r="N2678">
        <v>0</v>
      </c>
    </row>
    <row r="2679" spans="1:14" x14ac:dyDescent="0.25">
      <c r="A2679">
        <v>1729.0330899999999</v>
      </c>
      <c r="B2679" s="1">
        <f>DATE(2015,1,24) + TIME(0,47,38)</f>
        <v>42028.033078703702</v>
      </c>
      <c r="C2679">
        <v>80</v>
      </c>
      <c r="D2679">
        <v>72.146659850999995</v>
      </c>
      <c r="E2679">
        <v>50</v>
      </c>
      <c r="F2679">
        <v>49.987266540999997</v>
      </c>
      <c r="G2679">
        <v>1328.6768798999999</v>
      </c>
      <c r="H2679">
        <v>1327.5408935999999</v>
      </c>
      <c r="I2679">
        <v>1334.7546387</v>
      </c>
      <c r="J2679">
        <v>1333.4647216999999</v>
      </c>
      <c r="K2679">
        <v>0</v>
      </c>
      <c r="L2679">
        <v>2400</v>
      </c>
      <c r="M2679">
        <v>2400</v>
      </c>
      <c r="N2679">
        <v>0</v>
      </c>
    </row>
    <row r="2680" spans="1:14" x14ac:dyDescent="0.25">
      <c r="A2680">
        <v>1731.982759</v>
      </c>
      <c r="B2680" s="1">
        <f>DATE(2015,1,26) + TIME(23,35,10)</f>
        <v>42030.982754629629</v>
      </c>
      <c r="C2680">
        <v>80</v>
      </c>
      <c r="D2680">
        <v>71.849960327000005</v>
      </c>
      <c r="E2680">
        <v>50</v>
      </c>
      <c r="F2680">
        <v>49.987239838000001</v>
      </c>
      <c r="G2680">
        <v>1328.6474608999999</v>
      </c>
      <c r="H2680">
        <v>1327.5047606999999</v>
      </c>
      <c r="I2680">
        <v>1334.7520752</v>
      </c>
      <c r="J2680">
        <v>1333.4647216999999</v>
      </c>
      <c r="K2680">
        <v>0</v>
      </c>
      <c r="L2680">
        <v>2400</v>
      </c>
      <c r="M2680">
        <v>2400</v>
      </c>
      <c r="N2680">
        <v>0</v>
      </c>
    </row>
    <row r="2681" spans="1:14" x14ac:dyDescent="0.25">
      <c r="A2681">
        <v>1735.023668</v>
      </c>
      <c r="B2681" s="1">
        <f>DATE(2015,1,30) + TIME(0,34,4)</f>
        <v>42034.023657407408</v>
      </c>
      <c r="C2681">
        <v>80</v>
      </c>
      <c r="D2681">
        <v>71.548957825000002</v>
      </c>
      <c r="E2681">
        <v>50</v>
      </c>
      <c r="F2681">
        <v>49.987213134999998</v>
      </c>
      <c r="G2681">
        <v>1328.6184082</v>
      </c>
      <c r="H2681">
        <v>1327.4691161999999</v>
      </c>
      <c r="I2681">
        <v>1334.7495117000001</v>
      </c>
      <c r="J2681">
        <v>1333.4647216999999</v>
      </c>
      <c r="K2681">
        <v>0</v>
      </c>
      <c r="L2681">
        <v>2400</v>
      </c>
      <c r="M2681">
        <v>2400</v>
      </c>
      <c r="N2681">
        <v>0</v>
      </c>
    </row>
    <row r="2682" spans="1:14" x14ac:dyDescent="0.25">
      <c r="A2682">
        <v>1737</v>
      </c>
      <c r="B2682" s="1">
        <f>DATE(2015,2,1) + TIME(0,0,0)</f>
        <v>42036</v>
      </c>
      <c r="C2682">
        <v>80</v>
      </c>
      <c r="D2682">
        <v>71.263359070000007</v>
      </c>
      <c r="E2682">
        <v>50</v>
      </c>
      <c r="F2682">
        <v>49.987190247000001</v>
      </c>
      <c r="G2682">
        <v>1328.5897216999999</v>
      </c>
      <c r="H2682">
        <v>1327.4343262</v>
      </c>
      <c r="I2682">
        <v>1334.7469481999999</v>
      </c>
      <c r="J2682">
        <v>1333.4647216999999</v>
      </c>
      <c r="K2682">
        <v>0</v>
      </c>
      <c r="L2682">
        <v>2400</v>
      </c>
      <c r="M2682">
        <v>2400</v>
      </c>
      <c r="N2682">
        <v>0</v>
      </c>
    </row>
    <row r="2683" spans="1:14" x14ac:dyDescent="0.25">
      <c r="A2683">
        <v>1740.210476</v>
      </c>
      <c r="B2683" s="1">
        <f>DATE(2015,2,4) + TIME(5,3,5)</f>
        <v>42039.210474537038</v>
      </c>
      <c r="C2683">
        <v>80</v>
      </c>
      <c r="D2683">
        <v>71.028228760000005</v>
      </c>
      <c r="E2683">
        <v>50</v>
      </c>
      <c r="F2683">
        <v>49.987171173</v>
      </c>
      <c r="G2683">
        <v>1328.5681152</v>
      </c>
      <c r="H2683">
        <v>1327.4051514</v>
      </c>
      <c r="I2683">
        <v>1334.7453613</v>
      </c>
      <c r="J2683">
        <v>1333.4647216999999</v>
      </c>
      <c r="K2683">
        <v>0</v>
      </c>
      <c r="L2683">
        <v>2400</v>
      </c>
      <c r="M2683">
        <v>2400</v>
      </c>
      <c r="N2683">
        <v>0</v>
      </c>
    </row>
    <row r="2684" spans="1:14" x14ac:dyDescent="0.25">
      <c r="A2684">
        <v>1743.6631520000001</v>
      </c>
      <c r="B2684" s="1">
        <f>DATE(2015,2,7) + TIME(15,54,56)</f>
        <v>42042.663148148145</v>
      </c>
      <c r="C2684">
        <v>80</v>
      </c>
      <c r="D2684">
        <v>70.712501525999997</v>
      </c>
      <c r="E2684">
        <v>50</v>
      </c>
      <c r="F2684">
        <v>49.987144469999997</v>
      </c>
      <c r="G2684">
        <v>1328.5423584</v>
      </c>
      <c r="H2684">
        <v>1327.3756103999999</v>
      </c>
      <c r="I2684">
        <v>1334.7429199000001</v>
      </c>
      <c r="J2684">
        <v>1333.4648437999999</v>
      </c>
      <c r="K2684">
        <v>0</v>
      </c>
      <c r="L2684">
        <v>2400</v>
      </c>
      <c r="M2684">
        <v>2400</v>
      </c>
      <c r="N2684">
        <v>0</v>
      </c>
    </row>
    <row r="2685" spans="1:14" x14ac:dyDescent="0.25">
      <c r="A2685">
        <v>1747.2319219999999</v>
      </c>
      <c r="B2685" s="1">
        <f>DATE(2015,2,11) + TIME(5,33,58)</f>
        <v>42046.231921296298</v>
      </c>
      <c r="C2685">
        <v>80</v>
      </c>
      <c r="D2685">
        <v>70.373558044000006</v>
      </c>
      <c r="E2685">
        <v>50</v>
      </c>
      <c r="F2685">
        <v>49.987117767000001</v>
      </c>
      <c r="G2685">
        <v>1328.5134277</v>
      </c>
      <c r="H2685">
        <v>1327.3409423999999</v>
      </c>
      <c r="I2685">
        <v>1334.7402344</v>
      </c>
      <c r="J2685">
        <v>1333.4648437999999</v>
      </c>
      <c r="K2685">
        <v>0</v>
      </c>
      <c r="L2685">
        <v>2400</v>
      </c>
      <c r="M2685">
        <v>2400</v>
      </c>
      <c r="N2685">
        <v>0</v>
      </c>
    </row>
    <row r="2686" spans="1:14" x14ac:dyDescent="0.25">
      <c r="A2686">
        <v>1751.0191709999999</v>
      </c>
      <c r="B2686" s="1">
        <f>DATE(2015,2,15) + TIME(0,27,36)</f>
        <v>42050.019166666665</v>
      </c>
      <c r="C2686">
        <v>80</v>
      </c>
      <c r="D2686">
        <v>70.019172667999996</v>
      </c>
      <c r="E2686">
        <v>50</v>
      </c>
      <c r="F2686">
        <v>49.987091063999998</v>
      </c>
      <c r="G2686">
        <v>1328.4840088000001</v>
      </c>
      <c r="H2686">
        <v>1327.3050536999999</v>
      </c>
      <c r="I2686">
        <v>1334.7376709</v>
      </c>
      <c r="J2686">
        <v>1333.4648437999999</v>
      </c>
      <c r="K2686">
        <v>0</v>
      </c>
      <c r="L2686">
        <v>2400</v>
      </c>
      <c r="M2686">
        <v>2400</v>
      </c>
      <c r="N2686">
        <v>0</v>
      </c>
    </row>
    <row r="2687" spans="1:14" x14ac:dyDescent="0.25">
      <c r="A2687">
        <v>1754.949703</v>
      </c>
      <c r="B2687" s="1">
        <f>DATE(2015,2,18) + TIME(22,47,34)</f>
        <v>42053.949699074074</v>
      </c>
      <c r="C2687">
        <v>80</v>
      </c>
      <c r="D2687">
        <v>69.650924683</v>
      </c>
      <c r="E2687">
        <v>50</v>
      </c>
      <c r="F2687">
        <v>49.987064361999998</v>
      </c>
      <c r="G2687">
        <v>1328.4539795000001</v>
      </c>
      <c r="H2687">
        <v>1327.2685547000001</v>
      </c>
      <c r="I2687">
        <v>1334.7349853999999</v>
      </c>
      <c r="J2687">
        <v>1333.4648437999999</v>
      </c>
      <c r="K2687">
        <v>0</v>
      </c>
      <c r="L2687">
        <v>2400</v>
      </c>
      <c r="M2687">
        <v>2400</v>
      </c>
      <c r="N2687">
        <v>0</v>
      </c>
    </row>
    <row r="2688" spans="1:14" x14ac:dyDescent="0.25">
      <c r="A2688">
        <v>1758.912527</v>
      </c>
      <c r="B2688" s="1">
        <f>DATE(2015,2,22) + TIME(21,54,2)</f>
        <v>42057.912523148145</v>
      </c>
      <c r="C2688">
        <v>80</v>
      </c>
      <c r="D2688">
        <v>69.265708923000005</v>
      </c>
      <c r="E2688">
        <v>50</v>
      </c>
      <c r="F2688">
        <v>49.987037659000002</v>
      </c>
      <c r="G2688">
        <v>1328.4238281</v>
      </c>
      <c r="H2688">
        <v>1327.2318115</v>
      </c>
      <c r="I2688">
        <v>1334.7324219</v>
      </c>
      <c r="J2688">
        <v>1333.4648437999999</v>
      </c>
      <c r="K2688">
        <v>0</v>
      </c>
      <c r="L2688">
        <v>2400</v>
      </c>
      <c r="M2688">
        <v>2400</v>
      </c>
      <c r="N2688">
        <v>0</v>
      </c>
    </row>
    <row r="2689" spans="1:14" x14ac:dyDescent="0.25">
      <c r="A2689">
        <v>1762.9702380000001</v>
      </c>
      <c r="B2689" s="1">
        <f>DATE(2015,2,26) + TIME(23,17,8)</f>
        <v>42061.970231481479</v>
      </c>
      <c r="C2689">
        <v>80</v>
      </c>
      <c r="D2689">
        <v>68.889801024999997</v>
      </c>
      <c r="E2689">
        <v>50</v>
      </c>
      <c r="F2689">
        <v>49.987010955999999</v>
      </c>
      <c r="G2689">
        <v>1328.394043</v>
      </c>
      <c r="H2689">
        <v>1327.1953125</v>
      </c>
      <c r="I2689">
        <v>1334.7297363</v>
      </c>
      <c r="J2689">
        <v>1333.4648437999999</v>
      </c>
      <c r="K2689">
        <v>0</v>
      </c>
      <c r="L2689">
        <v>2400</v>
      </c>
      <c r="M2689">
        <v>2400</v>
      </c>
      <c r="N2689">
        <v>0</v>
      </c>
    </row>
    <row r="2690" spans="1:14" x14ac:dyDescent="0.25">
      <c r="A2690">
        <v>1765</v>
      </c>
      <c r="B2690" s="1">
        <f>DATE(2015,3,1) + TIME(0,0,0)</f>
        <v>42064</v>
      </c>
      <c r="C2690">
        <v>80</v>
      </c>
      <c r="D2690">
        <v>68.527122497999997</v>
      </c>
      <c r="E2690">
        <v>50</v>
      </c>
      <c r="F2690">
        <v>49.986988068000002</v>
      </c>
      <c r="G2690">
        <v>1328.3648682</v>
      </c>
      <c r="H2690">
        <v>1327.1602783000001</v>
      </c>
      <c r="I2690">
        <v>1334.7271728999999</v>
      </c>
      <c r="J2690">
        <v>1333.4648437999999</v>
      </c>
      <c r="K2690">
        <v>0</v>
      </c>
      <c r="L2690">
        <v>2400</v>
      </c>
      <c r="M2690">
        <v>2400</v>
      </c>
      <c r="N2690">
        <v>0</v>
      </c>
    </row>
    <row r="2691" spans="1:14" x14ac:dyDescent="0.25">
      <c r="A2691">
        <v>1769.216991</v>
      </c>
      <c r="B2691" s="1">
        <f>DATE(2015,3,5) + TIME(5,12,28)</f>
        <v>42068.216990740744</v>
      </c>
      <c r="C2691">
        <v>80</v>
      </c>
      <c r="D2691">
        <v>68.287895203000005</v>
      </c>
      <c r="E2691">
        <v>50</v>
      </c>
      <c r="F2691">
        <v>49.986968994000001</v>
      </c>
      <c r="G2691">
        <v>1328.3459473</v>
      </c>
      <c r="H2691">
        <v>1327.1330565999999</v>
      </c>
      <c r="I2691">
        <v>1334.7259521000001</v>
      </c>
      <c r="J2691">
        <v>1333.4648437999999</v>
      </c>
      <c r="K2691">
        <v>0</v>
      </c>
      <c r="L2691">
        <v>2400</v>
      </c>
      <c r="M2691">
        <v>2400</v>
      </c>
      <c r="N2691">
        <v>0</v>
      </c>
    </row>
    <row r="2692" spans="1:14" x14ac:dyDescent="0.25">
      <c r="A2692">
        <v>1773.7723619999999</v>
      </c>
      <c r="B2692" s="1">
        <f>DATE(2015,3,9) + TIME(18,32,12)</f>
        <v>42072.772361111114</v>
      </c>
      <c r="C2692">
        <v>80</v>
      </c>
      <c r="D2692">
        <v>67.883430481000005</v>
      </c>
      <c r="E2692">
        <v>50</v>
      </c>
      <c r="F2692">
        <v>49.986946105999998</v>
      </c>
      <c r="G2692">
        <v>1328.3215332</v>
      </c>
      <c r="H2692">
        <v>1327.1060791</v>
      </c>
      <c r="I2692">
        <v>1334.7235106999999</v>
      </c>
      <c r="J2692">
        <v>1333.4648437999999</v>
      </c>
      <c r="K2692">
        <v>0</v>
      </c>
      <c r="L2692">
        <v>2400</v>
      </c>
      <c r="M2692">
        <v>2400</v>
      </c>
      <c r="N2692">
        <v>0</v>
      </c>
    </row>
    <row r="2693" spans="1:14" x14ac:dyDescent="0.25">
      <c r="A2693">
        <v>1778.46955</v>
      </c>
      <c r="B2693" s="1">
        <f>DATE(2015,3,14) + TIME(11,16,9)</f>
        <v>42077.469548611109</v>
      </c>
      <c r="C2693">
        <v>80</v>
      </c>
      <c r="D2693">
        <v>67.496070861999996</v>
      </c>
      <c r="E2693">
        <v>50</v>
      </c>
      <c r="F2693">
        <v>49.986919403000002</v>
      </c>
      <c r="G2693">
        <v>1328.2927245999999</v>
      </c>
      <c r="H2693">
        <v>1327.0715332</v>
      </c>
      <c r="I2693">
        <v>1334.7208252</v>
      </c>
      <c r="J2693">
        <v>1333.4648437999999</v>
      </c>
      <c r="K2693">
        <v>0</v>
      </c>
      <c r="L2693">
        <v>2400</v>
      </c>
      <c r="M2693">
        <v>2400</v>
      </c>
      <c r="N2693">
        <v>0</v>
      </c>
    </row>
    <row r="2694" spans="1:14" x14ac:dyDescent="0.25">
      <c r="A2694">
        <v>1783.3734629999999</v>
      </c>
      <c r="B2694" s="1">
        <f>DATE(2015,3,19) + TIME(8,57,47)</f>
        <v>42082.373460648145</v>
      </c>
      <c r="C2694">
        <v>80</v>
      </c>
      <c r="D2694">
        <v>66.983276367000002</v>
      </c>
      <c r="E2694">
        <v>50</v>
      </c>
      <c r="F2694">
        <v>49.986896514999998</v>
      </c>
      <c r="G2694">
        <v>1328.2636719</v>
      </c>
      <c r="H2694">
        <v>1327.0362548999999</v>
      </c>
      <c r="I2694">
        <v>1334.7181396000001</v>
      </c>
      <c r="J2694">
        <v>1333.4647216999999</v>
      </c>
      <c r="K2694">
        <v>0</v>
      </c>
      <c r="L2694">
        <v>2400</v>
      </c>
      <c r="M2694">
        <v>2400</v>
      </c>
      <c r="N2694">
        <v>0</v>
      </c>
    </row>
    <row r="2695" spans="1:14" x14ac:dyDescent="0.25">
      <c r="A2695">
        <v>1785.865661</v>
      </c>
      <c r="B2695" s="1">
        <f>DATE(2015,3,21) + TIME(20,46,33)</f>
        <v>42084.865659722222</v>
      </c>
      <c r="C2695">
        <v>80</v>
      </c>
      <c r="D2695">
        <v>66.652153014999996</v>
      </c>
      <c r="E2695">
        <v>50</v>
      </c>
      <c r="F2695">
        <v>49.986873627000001</v>
      </c>
      <c r="G2695">
        <v>1328.2340088000001</v>
      </c>
      <c r="H2695">
        <v>1327.0002440999999</v>
      </c>
      <c r="I2695">
        <v>1334.7154541</v>
      </c>
      <c r="J2695">
        <v>1333.4645995999999</v>
      </c>
      <c r="K2695">
        <v>0</v>
      </c>
      <c r="L2695">
        <v>2400</v>
      </c>
      <c r="M2695">
        <v>2400</v>
      </c>
      <c r="N2695">
        <v>0</v>
      </c>
    </row>
    <row r="2696" spans="1:14" x14ac:dyDescent="0.25">
      <c r="A2696">
        <v>1788.3578580000001</v>
      </c>
      <c r="B2696" s="1">
        <f>DATE(2015,3,24) + TIME(8,35,18)</f>
        <v>42087.357847222222</v>
      </c>
      <c r="C2696">
        <v>80</v>
      </c>
      <c r="D2696">
        <v>66.362464904999996</v>
      </c>
      <c r="E2696">
        <v>50</v>
      </c>
      <c r="F2696">
        <v>49.986858368</v>
      </c>
      <c r="G2696">
        <v>1328.2154541</v>
      </c>
      <c r="H2696">
        <v>1326.9747314000001</v>
      </c>
      <c r="I2696">
        <v>1334.7142334</v>
      </c>
      <c r="J2696">
        <v>1333.4645995999999</v>
      </c>
      <c r="K2696">
        <v>0</v>
      </c>
      <c r="L2696">
        <v>2400</v>
      </c>
      <c r="M2696">
        <v>2400</v>
      </c>
      <c r="N2696">
        <v>0</v>
      </c>
    </row>
    <row r="2697" spans="1:14" x14ac:dyDescent="0.25">
      <c r="A2697">
        <v>1790.850056</v>
      </c>
      <c r="B2697" s="1">
        <f>DATE(2015,3,26) + TIME(20,24,4)</f>
        <v>42089.850046296298</v>
      </c>
      <c r="C2697">
        <v>80</v>
      </c>
      <c r="D2697">
        <v>66.139389038000004</v>
      </c>
      <c r="E2697">
        <v>50</v>
      </c>
      <c r="F2697">
        <v>49.986846923999998</v>
      </c>
      <c r="G2697">
        <v>1328.199707</v>
      </c>
      <c r="H2697">
        <v>1326.9539795000001</v>
      </c>
      <c r="I2697">
        <v>1334.7128906</v>
      </c>
      <c r="J2697">
        <v>1333.4644774999999</v>
      </c>
      <c r="K2697">
        <v>0</v>
      </c>
      <c r="L2697">
        <v>2400</v>
      </c>
      <c r="M2697">
        <v>2400</v>
      </c>
      <c r="N2697">
        <v>0</v>
      </c>
    </row>
    <row r="2698" spans="1:14" x14ac:dyDescent="0.25">
      <c r="A2698">
        <v>1793.4250280000001</v>
      </c>
      <c r="B2698" s="1">
        <f>DATE(2015,3,29) + TIME(10,12,2)</f>
        <v>42092.425023148149</v>
      </c>
      <c r="C2698">
        <v>80</v>
      </c>
      <c r="D2698">
        <v>65.895301818999997</v>
      </c>
      <c r="E2698">
        <v>50</v>
      </c>
      <c r="F2698">
        <v>49.986835480000003</v>
      </c>
      <c r="G2698">
        <v>1328.1857910000001</v>
      </c>
      <c r="H2698">
        <v>1326.9371338000001</v>
      </c>
      <c r="I2698">
        <v>1334.7116699000001</v>
      </c>
      <c r="J2698">
        <v>1333.4644774999999</v>
      </c>
      <c r="K2698">
        <v>0</v>
      </c>
      <c r="L2698">
        <v>2400</v>
      </c>
      <c r="M2698">
        <v>2400</v>
      </c>
      <c r="N2698">
        <v>0</v>
      </c>
    </row>
    <row r="2699" spans="1:14" x14ac:dyDescent="0.25">
      <c r="A2699">
        <v>1796</v>
      </c>
      <c r="B2699" s="1">
        <f>DATE(2015,4,1) + TIME(0,0,0)</f>
        <v>42095</v>
      </c>
      <c r="C2699">
        <v>80</v>
      </c>
      <c r="D2699">
        <v>65.73765564</v>
      </c>
      <c r="E2699">
        <v>50</v>
      </c>
      <c r="F2699">
        <v>49.986824036000002</v>
      </c>
      <c r="G2699">
        <v>1328.1716309000001</v>
      </c>
      <c r="H2699">
        <v>1326.9196777</v>
      </c>
      <c r="I2699">
        <v>1334.7104492000001</v>
      </c>
      <c r="J2699">
        <v>1333.4643555</v>
      </c>
      <c r="K2699">
        <v>0</v>
      </c>
      <c r="L2699">
        <v>2400</v>
      </c>
      <c r="M2699">
        <v>2400</v>
      </c>
      <c r="N2699"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Plot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Griendt, Toon van de</dc:creator>
  <cp:lastModifiedBy>Griendt, Toon van de</cp:lastModifiedBy>
  <dcterms:created xsi:type="dcterms:W3CDTF">2022-06-22T18:43:24Z</dcterms:created>
  <dcterms:modified xsi:type="dcterms:W3CDTF">2022-06-22T18:44:08Z</dcterms:modified>
</cp:coreProperties>
</file>